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0_04\"/>
    </mc:Choice>
  </mc:AlternateContent>
  <bookViews>
    <workbookView xWindow="0" yWindow="0" windowWidth="19200" windowHeight="9413"/>
  </bookViews>
  <sheets>
    <sheet name="Knoten" sheetId="1" r:id="rId1"/>
    <sheet name="System" sheetId="2" r:id="rId2"/>
    <sheet name="Normalkraft" sheetId="3" r:id="rId3"/>
    <sheet name="Querkraft" sheetId="4" r:id="rId4"/>
    <sheet name="Momente" sheetId="5" r:id="rId5"/>
    <sheet name="SensA" sheetId="6" r:id="rId6"/>
    <sheet name="L-V" sheetId="7" r:id="rId7"/>
    <sheet name="PlotData" sheetId="8" r:id="rId8"/>
    <sheet name="PlotM" sheetId="9" r:id="rId9"/>
    <sheet name="PlotQ" sheetId="10" r:id="rId10"/>
    <sheet name="PlotN" sheetId="11" r:id="rId11"/>
    <sheet name="PlotS" sheetId="12" r:id="rId12"/>
    <sheet name="SetUp" sheetId="13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_1">[1]Ksys!#REF!</definedName>
    <definedName name="e_2">[1]Ksys!#REF!</definedName>
    <definedName name="e1_ele">System!$Y$3:$Y$43</definedName>
    <definedName name="e2_ele">System!$Z$3:$Z$43</definedName>
    <definedName name="EA">[1]Element!$D$7</definedName>
    <definedName name="EA_ele">System!$H$3:$H$43</definedName>
    <definedName name="EI">[1]Element!$C$7</definedName>
    <definedName name="EI_ele">System!$G$3:$G$43</definedName>
    <definedName name="Einflusslinie_node">Knoten!$AD$2:$AD$42</definedName>
    <definedName name="Einheitslast_ele">System!$AQ$3:$AQ$43</definedName>
    <definedName name="ele_cosinus">System!$K$121:$K$161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Knoten!$C$3:$AD$42</definedName>
    <definedName name="Knoten_reset">Knoten!$H$3:$AC$42</definedName>
    <definedName name="Knotendaten">Knoten!$C$3:$AD$42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Knoten!$AF$23</definedName>
    <definedName name="lin_qxi">System!$N$121:$N$161</definedName>
    <definedName name="lin_qxk">System!$O$121:$O$161</definedName>
    <definedName name="lin_qzi">System!$P$121:$P$161</definedName>
    <definedName name="lin_qzk">System!$Q$121:$Q$161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Knoten!$AC$2:$AC$42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s" localSheetId="0">-8*N*w0/L^2</definedName>
    <definedName name="qs" localSheetId="6">-8*N*w0/L^2</definedName>
    <definedName name="qs" localSheetId="4">-8*N*w0/L^2</definedName>
    <definedName name="qs" localSheetId="2">-8*N*w0/L^2</definedName>
    <definedName name="qs" localSheetId="7">-8*N*w0/L^2</definedName>
    <definedName name="qs" localSheetId="8">-8*N*w0/L^2</definedName>
    <definedName name="qs" localSheetId="10">-8*N*w0/L^2</definedName>
    <definedName name="qs" localSheetId="9">-8*N*w0/L^2</definedName>
    <definedName name="qs" localSheetId="3">-8*N*w0/L^2</definedName>
    <definedName name="qs" localSheetId="12">-8*N*w0/L^2</definedName>
    <definedName name="qs" localSheetId="1">-8*N*w0/L^2</definedName>
    <definedName name="qs">-8*N*w0/L^2</definedName>
    <definedName name="qx">[1]Element!$E$7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>System!$L$3:$L$43</definedName>
    <definedName name="qz">[1]Element!$F$7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System!$C$4:$AT$43</definedName>
    <definedName name="T">[1]Element!$C$53:$H$58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Knoten!$AA$2:$AA$42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Knoten!$AB$2:$AB$42</definedName>
    <definedName name="Winkel_ele">System!$F$3:$F$43</definedName>
    <definedName name="wzero_ele">System!$AF$3:$AF$43</definedName>
    <definedName name="x_node">Knoten!$C$2:$C$42</definedName>
    <definedName name="x0_node">Knoten!$Y$2:$Y$42</definedName>
    <definedName name="z_node">Knoten!$D$2:$D$42</definedName>
    <definedName name="z0_node">Knoten!$Z$2:$Z$42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5" i="12" l="1"/>
  <c r="BC35" i="12"/>
  <c r="AN35" i="12"/>
  <c r="AM35" i="12"/>
  <c r="BD34" i="12"/>
  <c r="BC34" i="12"/>
  <c r="AN34" i="12"/>
  <c r="AM34" i="12"/>
  <c r="BD33" i="12"/>
  <c r="BC33" i="12"/>
  <c r="AN33" i="12"/>
  <c r="AM33" i="12"/>
  <c r="BD32" i="12"/>
  <c r="BC32" i="12"/>
  <c r="AN32" i="12"/>
  <c r="AM32" i="12"/>
  <c r="BD31" i="12"/>
  <c r="BC31" i="12"/>
  <c r="AN31" i="12"/>
  <c r="AM31" i="12"/>
  <c r="BD30" i="12"/>
  <c r="BC30" i="12"/>
  <c r="AN30" i="12"/>
  <c r="AM30" i="12"/>
  <c r="BD29" i="12"/>
  <c r="BC29" i="12"/>
  <c r="AN29" i="12"/>
  <c r="AM29" i="12"/>
  <c r="BD28" i="12"/>
  <c r="BC28" i="12"/>
  <c r="AN28" i="12"/>
  <c r="AM28" i="12"/>
  <c r="BD27" i="12"/>
  <c r="BC27" i="12"/>
  <c r="AN27" i="12"/>
  <c r="AM27" i="12"/>
  <c r="BD26" i="12"/>
  <c r="BC26" i="12"/>
  <c r="AN26" i="12"/>
  <c r="AM26" i="12"/>
  <c r="BD25" i="12"/>
  <c r="BC25" i="12"/>
  <c r="AN25" i="12"/>
  <c r="AM25" i="12"/>
  <c r="BD24" i="12"/>
  <c r="BC24" i="12"/>
  <c r="AN24" i="12"/>
  <c r="AM24" i="12"/>
  <c r="BD23" i="12"/>
  <c r="BC23" i="12"/>
  <c r="AN23" i="12"/>
  <c r="AM23" i="12"/>
  <c r="BD22" i="12"/>
  <c r="BC22" i="12"/>
  <c r="AN22" i="12"/>
  <c r="AM22" i="12"/>
  <c r="BD21" i="12"/>
  <c r="BC21" i="12"/>
  <c r="AN21" i="12"/>
  <c r="AM21" i="12"/>
  <c r="BD20" i="12"/>
  <c r="BC20" i="12"/>
  <c r="AN20" i="12"/>
  <c r="AM20" i="12"/>
  <c r="BD19" i="12"/>
  <c r="BC19" i="12"/>
  <c r="AN19" i="12"/>
  <c r="AM19" i="12"/>
  <c r="BD18" i="12"/>
  <c r="BC18" i="12"/>
  <c r="AN18" i="12"/>
  <c r="AM18" i="12"/>
  <c r="BD17" i="12"/>
  <c r="BC17" i="12"/>
  <c r="AN17" i="12"/>
  <c r="AM17" i="12"/>
  <c r="BD16" i="12"/>
  <c r="BC16" i="12"/>
  <c r="AN16" i="12"/>
  <c r="AM16" i="12"/>
  <c r="BD15" i="12"/>
  <c r="BC15" i="12"/>
  <c r="AN15" i="12"/>
  <c r="AM15" i="12"/>
  <c r="BD14" i="12"/>
  <c r="BC14" i="12"/>
  <c r="AN14" i="12"/>
  <c r="AM14" i="12"/>
  <c r="BD13" i="12"/>
  <c r="BC13" i="12"/>
  <c r="AN13" i="12"/>
  <c r="AM13" i="12"/>
  <c r="BD12" i="12"/>
  <c r="BC12" i="12"/>
  <c r="AN12" i="12"/>
  <c r="AM12" i="12"/>
  <c r="BD11" i="12"/>
  <c r="BC11" i="12"/>
  <c r="AN11" i="12"/>
  <c r="AM11" i="12"/>
  <c r="BD10" i="12"/>
  <c r="BC10" i="12"/>
  <c r="AN10" i="12"/>
  <c r="AM10" i="12"/>
  <c r="BD9" i="12"/>
  <c r="BC9" i="12"/>
  <c r="AN9" i="12"/>
  <c r="AM9" i="12"/>
  <c r="BD8" i="12"/>
  <c r="BC8" i="12"/>
  <c r="AN8" i="12"/>
  <c r="AM8" i="12"/>
  <c r="BD7" i="12"/>
  <c r="BC7" i="12"/>
  <c r="AN7" i="12"/>
  <c r="AM7" i="12"/>
  <c r="BD6" i="12"/>
  <c r="BC6" i="12"/>
  <c r="AN6" i="12"/>
  <c r="AM6" i="12"/>
  <c r="BH5" i="12"/>
  <c r="BD5" i="12"/>
  <c r="BC5" i="12"/>
  <c r="AN5" i="12"/>
  <c r="AM5" i="12"/>
  <c r="BD4" i="12"/>
  <c r="BC4" i="12"/>
  <c r="AN4" i="12"/>
  <c r="AM4" i="12"/>
  <c r="BD3" i="12"/>
  <c r="BC3" i="12"/>
  <c r="AN3" i="12"/>
  <c r="AM3" i="12"/>
  <c r="AR1" i="12"/>
  <c r="AB1" i="12"/>
  <c r="O1" i="12"/>
  <c r="BD35" i="11"/>
  <c r="BC35" i="11"/>
  <c r="AN35" i="11"/>
  <c r="AM35" i="11"/>
  <c r="BD34" i="11"/>
  <c r="BC34" i="11"/>
  <c r="AN34" i="11"/>
  <c r="AM34" i="11"/>
  <c r="BD33" i="11"/>
  <c r="BC33" i="11"/>
  <c r="AN33" i="11"/>
  <c r="AM33" i="11"/>
  <c r="BD32" i="11"/>
  <c r="BC32" i="11"/>
  <c r="AN32" i="11"/>
  <c r="AM32" i="11"/>
  <c r="BD31" i="11"/>
  <c r="BC31" i="11"/>
  <c r="AN31" i="11"/>
  <c r="AM31" i="11"/>
  <c r="BD30" i="11"/>
  <c r="BC30" i="11"/>
  <c r="AN30" i="11"/>
  <c r="AM30" i="11"/>
  <c r="BD29" i="11"/>
  <c r="BC29" i="11"/>
  <c r="AN29" i="11"/>
  <c r="AM29" i="11"/>
  <c r="BD28" i="11"/>
  <c r="BC28" i="11"/>
  <c r="AN28" i="11"/>
  <c r="AM28" i="11"/>
  <c r="BD27" i="11"/>
  <c r="BC27" i="11"/>
  <c r="AN27" i="11"/>
  <c r="AM27" i="11"/>
  <c r="BD26" i="11"/>
  <c r="BC26" i="11"/>
  <c r="AN26" i="11"/>
  <c r="AM26" i="11"/>
  <c r="BD25" i="11"/>
  <c r="BC25" i="11"/>
  <c r="AN25" i="11"/>
  <c r="AM25" i="11"/>
  <c r="BD24" i="11"/>
  <c r="BC24" i="11"/>
  <c r="AN24" i="11"/>
  <c r="AM24" i="11"/>
  <c r="BD23" i="11"/>
  <c r="BC23" i="11"/>
  <c r="AN23" i="11"/>
  <c r="AM23" i="11"/>
  <c r="BD22" i="11"/>
  <c r="BC22" i="11"/>
  <c r="AN22" i="11"/>
  <c r="AM22" i="11"/>
  <c r="BH21" i="11"/>
  <c r="BD21" i="11"/>
  <c r="BC21" i="11"/>
  <c r="AN21" i="11"/>
  <c r="AM21" i="11"/>
  <c r="BD20" i="11"/>
  <c r="BC20" i="11"/>
  <c r="AN20" i="11"/>
  <c r="AM20" i="11"/>
  <c r="BD19" i="11"/>
  <c r="BC19" i="11"/>
  <c r="AN19" i="11"/>
  <c r="AM19" i="11"/>
  <c r="BD18" i="11"/>
  <c r="BC18" i="11"/>
  <c r="AN18" i="11"/>
  <c r="AM18" i="11"/>
  <c r="BD17" i="11"/>
  <c r="BC17" i="11"/>
  <c r="AN17" i="11"/>
  <c r="AM17" i="11"/>
  <c r="BD16" i="11"/>
  <c r="BC16" i="11"/>
  <c r="AN16" i="11"/>
  <c r="AM16" i="11"/>
  <c r="BD15" i="11"/>
  <c r="BC15" i="11"/>
  <c r="AN15" i="11"/>
  <c r="AM15" i="11"/>
  <c r="BD14" i="11"/>
  <c r="BC14" i="11"/>
  <c r="AN14" i="11"/>
  <c r="AM14" i="11"/>
  <c r="BD13" i="11"/>
  <c r="BC13" i="11"/>
  <c r="AN13" i="11"/>
  <c r="AM13" i="11"/>
  <c r="BD12" i="11"/>
  <c r="BC12" i="11"/>
  <c r="AN12" i="11"/>
  <c r="AM12" i="11"/>
  <c r="BD11" i="11"/>
  <c r="BC11" i="11"/>
  <c r="AN11" i="11"/>
  <c r="AM11" i="11"/>
  <c r="BD10" i="11"/>
  <c r="BC10" i="11"/>
  <c r="AN10" i="11"/>
  <c r="AM10" i="11"/>
  <c r="BD9" i="11"/>
  <c r="BC9" i="11"/>
  <c r="AN9" i="11"/>
  <c r="AM9" i="11"/>
  <c r="BD8" i="11"/>
  <c r="BC8" i="11"/>
  <c r="AN8" i="11"/>
  <c r="AM8" i="11"/>
  <c r="BD7" i="11"/>
  <c r="BC7" i="11"/>
  <c r="AN7" i="11"/>
  <c r="AM7" i="11"/>
  <c r="BD6" i="11"/>
  <c r="BC6" i="11"/>
  <c r="AN6" i="11"/>
  <c r="AM6" i="11"/>
  <c r="BH5" i="11"/>
  <c r="BD5" i="11"/>
  <c r="BC5" i="11"/>
  <c r="AN5" i="11"/>
  <c r="AM5" i="11"/>
  <c r="BD4" i="11"/>
  <c r="BC4" i="11"/>
  <c r="AN4" i="11"/>
  <c r="AM4" i="11"/>
  <c r="BD3" i="11"/>
  <c r="BC3" i="11"/>
  <c r="AN3" i="11"/>
  <c r="AM3" i="11"/>
  <c r="AR1" i="11"/>
  <c r="AB1" i="11"/>
  <c r="BD35" i="10"/>
  <c r="BC35" i="10"/>
  <c r="AN35" i="10"/>
  <c r="AM35" i="10"/>
  <c r="BD34" i="10"/>
  <c r="BC34" i="10"/>
  <c r="AN34" i="10"/>
  <c r="AM34" i="10"/>
  <c r="BD33" i="10"/>
  <c r="BC33" i="10"/>
  <c r="AN33" i="10"/>
  <c r="AM33" i="10"/>
  <c r="BD32" i="10"/>
  <c r="BC32" i="10"/>
  <c r="AN32" i="10"/>
  <c r="AM32" i="10"/>
  <c r="BD31" i="10"/>
  <c r="BC31" i="10"/>
  <c r="AN31" i="10"/>
  <c r="AM31" i="10"/>
  <c r="BD30" i="10"/>
  <c r="BC30" i="10"/>
  <c r="AN30" i="10"/>
  <c r="AM30" i="10"/>
  <c r="BD29" i="10"/>
  <c r="BC29" i="10"/>
  <c r="AN29" i="10"/>
  <c r="AM29" i="10"/>
  <c r="BD28" i="10"/>
  <c r="BC28" i="10"/>
  <c r="AN28" i="10"/>
  <c r="AM28" i="10"/>
  <c r="BD27" i="10"/>
  <c r="BC27" i="10"/>
  <c r="AN27" i="10"/>
  <c r="AM27" i="10"/>
  <c r="BD26" i="10"/>
  <c r="BC26" i="10"/>
  <c r="AN26" i="10"/>
  <c r="AM26" i="10"/>
  <c r="BD25" i="10"/>
  <c r="BC25" i="10"/>
  <c r="AN25" i="10"/>
  <c r="AM25" i="10"/>
  <c r="BD24" i="10"/>
  <c r="BC24" i="10"/>
  <c r="AN24" i="10"/>
  <c r="AM24" i="10"/>
  <c r="BD23" i="10"/>
  <c r="BC23" i="10"/>
  <c r="AN23" i="10"/>
  <c r="AM23" i="10"/>
  <c r="BD22" i="10"/>
  <c r="BC22" i="10"/>
  <c r="AN22" i="10"/>
  <c r="AM22" i="10"/>
  <c r="BD21" i="10"/>
  <c r="BC21" i="10"/>
  <c r="AN21" i="10"/>
  <c r="AM21" i="10"/>
  <c r="BD20" i="10"/>
  <c r="BC20" i="10"/>
  <c r="AN20" i="10"/>
  <c r="AM20" i="10"/>
  <c r="BD19" i="10"/>
  <c r="BC19" i="10"/>
  <c r="AN19" i="10"/>
  <c r="AM19" i="10"/>
  <c r="BD18" i="10"/>
  <c r="BC18" i="10"/>
  <c r="AN18" i="10"/>
  <c r="AM18" i="10"/>
  <c r="BD17" i="10"/>
  <c r="BC17" i="10"/>
  <c r="AN17" i="10"/>
  <c r="AM17" i="10"/>
  <c r="BD16" i="10"/>
  <c r="BC16" i="10"/>
  <c r="AN16" i="10"/>
  <c r="AM16" i="10"/>
  <c r="BD15" i="10"/>
  <c r="BC15" i="10"/>
  <c r="AN15" i="10"/>
  <c r="AM15" i="10"/>
  <c r="BD14" i="10"/>
  <c r="BC14" i="10"/>
  <c r="AN14" i="10"/>
  <c r="AM14" i="10"/>
  <c r="BD13" i="10"/>
  <c r="BC13" i="10"/>
  <c r="AN13" i="10"/>
  <c r="AM13" i="10"/>
  <c r="BD12" i="10"/>
  <c r="BC12" i="10"/>
  <c r="AN12" i="10"/>
  <c r="AM12" i="10"/>
  <c r="BD11" i="10"/>
  <c r="BC11" i="10"/>
  <c r="AN11" i="10"/>
  <c r="AM11" i="10"/>
  <c r="BD10" i="10"/>
  <c r="BC10" i="10"/>
  <c r="AN10" i="10"/>
  <c r="AM10" i="10"/>
  <c r="BD9" i="10"/>
  <c r="BC9" i="10"/>
  <c r="AN9" i="10"/>
  <c r="AM9" i="10"/>
  <c r="BD8" i="10"/>
  <c r="BC8" i="10"/>
  <c r="AN8" i="10"/>
  <c r="AM8" i="10"/>
  <c r="BD7" i="10"/>
  <c r="BC7" i="10"/>
  <c r="AN7" i="10"/>
  <c r="AM7" i="10"/>
  <c r="BD6" i="10"/>
  <c r="BC6" i="10"/>
  <c r="AN6" i="10"/>
  <c r="AM6" i="10"/>
  <c r="BH5" i="10"/>
  <c r="BD5" i="10"/>
  <c r="BC5" i="10"/>
  <c r="AN5" i="10"/>
  <c r="AM5" i="10"/>
  <c r="BD4" i="10"/>
  <c r="BC4" i="10"/>
  <c r="AN4" i="10"/>
  <c r="AM4" i="10"/>
  <c r="BD3" i="10"/>
  <c r="BC3" i="10"/>
  <c r="AN3" i="10"/>
  <c r="AM3" i="10"/>
  <c r="AR1" i="10"/>
  <c r="AB1" i="10"/>
  <c r="O1" i="10"/>
  <c r="BD35" i="9"/>
  <c r="BC35" i="9"/>
  <c r="AN35" i="9"/>
  <c r="AM35" i="9"/>
  <c r="BD34" i="9"/>
  <c r="BC34" i="9"/>
  <c r="AN34" i="9"/>
  <c r="AM34" i="9"/>
  <c r="BD33" i="9"/>
  <c r="BC33" i="9"/>
  <c r="AN33" i="9"/>
  <c r="AM33" i="9"/>
  <c r="BD32" i="9"/>
  <c r="BC32" i="9"/>
  <c r="AN32" i="9"/>
  <c r="AM32" i="9"/>
  <c r="BD31" i="9"/>
  <c r="BC31" i="9"/>
  <c r="AN31" i="9"/>
  <c r="AM31" i="9"/>
  <c r="BD30" i="9"/>
  <c r="BC30" i="9"/>
  <c r="AN30" i="9"/>
  <c r="AM30" i="9"/>
  <c r="BD29" i="9"/>
  <c r="BC29" i="9"/>
  <c r="AN29" i="9"/>
  <c r="AM29" i="9"/>
  <c r="BD28" i="9"/>
  <c r="BC28" i="9"/>
  <c r="AN28" i="9"/>
  <c r="AM28" i="9"/>
  <c r="BD27" i="9"/>
  <c r="BC27" i="9"/>
  <c r="AN27" i="9"/>
  <c r="AM27" i="9"/>
  <c r="BD26" i="9"/>
  <c r="BC26" i="9"/>
  <c r="AN26" i="9"/>
  <c r="AM26" i="9"/>
  <c r="BD25" i="9"/>
  <c r="BC25" i="9"/>
  <c r="AN25" i="9"/>
  <c r="AM25" i="9"/>
  <c r="BD24" i="9"/>
  <c r="BC24" i="9"/>
  <c r="AN24" i="9"/>
  <c r="AM24" i="9"/>
  <c r="BD23" i="9"/>
  <c r="BC23" i="9"/>
  <c r="AN23" i="9"/>
  <c r="AM23" i="9"/>
  <c r="BD22" i="9"/>
  <c r="BC22" i="9"/>
  <c r="AN22" i="9"/>
  <c r="AM22" i="9"/>
  <c r="BD21" i="9"/>
  <c r="BC21" i="9"/>
  <c r="AN21" i="9"/>
  <c r="AM21" i="9"/>
  <c r="BD20" i="9"/>
  <c r="BC20" i="9"/>
  <c r="AN20" i="9"/>
  <c r="AM20" i="9"/>
  <c r="BD19" i="9"/>
  <c r="BC19" i="9"/>
  <c r="AN19" i="9"/>
  <c r="AM19" i="9"/>
  <c r="BD18" i="9"/>
  <c r="BC18" i="9"/>
  <c r="AN18" i="9"/>
  <c r="AM18" i="9"/>
  <c r="BD17" i="9"/>
  <c r="BC17" i="9"/>
  <c r="AN17" i="9"/>
  <c r="AM17" i="9"/>
  <c r="BD16" i="9"/>
  <c r="BC16" i="9"/>
  <c r="AN16" i="9"/>
  <c r="AM16" i="9"/>
  <c r="BD15" i="9"/>
  <c r="BC15" i="9"/>
  <c r="AN15" i="9"/>
  <c r="AM15" i="9"/>
  <c r="BD14" i="9"/>
  <c r="BC14" i="9"/>
  <c r="AN14" i="9"/>
  <c r="AM14" i="9"/>
  <c r="BD13" i="9"/>
  <c r="BC13" i="9"/>
  <c r="AN13" i="9"/>
  <c r="AM13" i="9"/>
  <c r="BD12" i="9"/>
  <c r="BC12" i="9"/>
  <c r="AN12" i="9"/>
  <c r="AM12" i="9"/>
  <c r="BD11" i="9"/>
  <c r="BC11" i="9"/>
  <c r="AN11" i="9"/>
  <c r="AM11" i="9"/>
  <c r="BD10" i="9"/>
  <c r="BC10" i="9"/>
  <c r="AN10" i="9"/>
  <c r="AM10" i="9"/>
  <c r="BD9" i="9"/>
  <c r="BC9" i="9"/>
  <c r="AN9" i="9"/>
  <c r="AM9" i="9"/>
  <c r="BD8" i="9"/>
  <c r="BC8" i="9"/>
  <c r="AN8" i="9"/>
  <c r="AM8" i="9"/>
  <c r="BD7" i="9"/>
  <c r="BC7" i="9"/>
  <c r="AN7" i="9"/>
  <c r="AM7" i="9"/>
  <c r="BD6" i="9"/>
  <c r="BC6" i="9"/>
  <c r="AN6" i="9"/>
  <c r="AM6" i="9"/>
  <c r="BH5" i="9"/>
  <c r="BD5" i="9"/>
  <c r="BC5" i="9"/>
  <c r="AN5" i="9"/>
  <c r="AM5" i="9"/>
  <c r="BD4" i="9"/>
  <c r="BC4" i="9"/>
  <c r="AN4" i="9"/>
  <c r="AM4" i="9"/>
  <c r="BD3" i="9"/>
  <c r="BC3" i="9"/>
  <c r="AN3" i="9"/>
  <c r="AM3" i="9"/>
  <c r="AR1" i="9"/>
  <c r="AB1" i="9"/>
  <c r="O1" i="9"/>
  <c r="AY36" i="8"/>
  <c r="AX36" i="8"/>
  <c r="AW36" i="8"/>
  <c r="AV36" i="8"/>
  <c r="AU36" i="8"/>
  <c r="AT36" i="8"/>
  <c r="AS36" i="8"/>
  <c r="AR36" i="8"/>
  <c r="AQ36" i="8"/>
  <c r="AP36" i="8"/>
  <c r="AO36" i="8"/>
  <c r="AL36" i="8"/>
  <c r="AK36" i="8"/>
  <c r="AJ36" i="8"/>
  <c r="AI36" i="8"/>
  <c r="AH36" i="8"/>
  <c r="AG36" i="8"/>
  <c r="AF36" i="8"/>
  <c r="AE36" i="8"/>
  <c r="AD36" i="8"/>
  <c r="AC36" i="8"/>
  <c r="AB36" i="8"/>
  <c r="AY35" i="8"/>
  <c r="AX35" i="8"/>
  <c r="AW35" i="8"/>
  <c r="AV35" i="8"/>
  <c r="AU35" i="8"/>
  <c r="AT35" i="8"/>
  <c r="AS35" i="8"/>
  <c r="AR35" i="8"/>
  <c r="AQ35" i="8"/>
  <c r="AP35" i="8"/>
  <c r="AO35" i="8"/>
  <c r="AL35" i="8"/>
  <c r="AK35" i="8"/>
  <c r="AJ35" i="8"/>
  <c r="AI35" i="8"/>
  <c r="AH35" i="8"/>
  <c r="AG35" i="8"/>
  <c r="AF35" i="8"/>
  <c r="AE35" i="8"/>
  <c r="AD35" i="8"/>
  <c r="AC35" i="8"/>
  <c r="AB35" i="8"/>
  <c r="AY34" i="8"/>
  <c r="AX34" i="8"/>
  <c r="AW34" i="8"/>
  <c r="AV34" i="8"/>
  <c r="AU34" i="8"/>
  <c r="AT34" i="8"/>
  <c r="AS34" i="8"/>
  <c r="AR34" i="8"/>
  <c r="AQ34" i="8"/>
  <c r="AP34" i="8"/>
  <c r="AO34" i="8"/>
  <c r="AL34" i="8"/>
  <c r="AK34" i="8"/>
  <c r="AJ34" i="8"/>
  <c r="AI34" i="8"/>
  <c r="AH34" i="8"/>
  <c r="AG34" i="8"/>
  <c r="AF34" i="8"/>
  <c r="AE34" i="8"/>
  <c r="AD34" i="8"/>
  <c r="AC34" i="8"/>
  <c r="AB34" i="8"/>
  <c r="AY33" i="8"/>
  <c r="AX33" i="8"/>
  <c r="AW33" i="8"/>
  <c r="AV33" i="8"/>
  <c r="AU33" i="8"/>
  <c r="AT33" i="8"/>
  <c r="AS33" i="8"/>
  <c r="AR33" i="8"/>
  <c r="AQ33" i="8"/>
  <c r="AP33" i="8"/>
  <c r="AO33" i="8"/>
  <c r="AL33" i="8"/>
  <c r="AK33" i="8"/>
  <c r="AJ33" i="8"/>
  <c r="AI33" i="8"/>
  <c r="AH33" i="8"/>
  <c r="AG33" i="8"/>
  <c r="AF33" i="8"/>
  <c r="AE33" i="8"/>
  <c r="AD33" i="8"/>
  <c r="AC33" i="8"/>
  <c r="AB33" i="8"/>
  <c r="AY32" i="8"/>
  <c r="AX32" i="8"/>
  <c r="AW32" i="8"/>
  <c r="AV32" i="8"/>
  <c r="AU32" i="8"/>
  <c r="AT32" i="8"/>
  <c r="AS32" i="8"/>
  <c r="AR32" i="8"/>
  <c r="AQ32" i="8"/>
  <c r="AP32" i="8"/>
  <c r="AO32" i="8"/>
  <c r="AL32" i="8"/>
  <c r="AK32" i="8"/>
  <c r="AJ32" i="8"/>
  <c r="AI32" i="8"/>
  <c r="AH32" i="8"/>
  <c r="AG32" i="8"/>
  <c r="AF32" i="8"/>
  <c r="AE32" i="8"/>
  <c r="AD32" i="8"/>
  <c r="AC32" i="8"/>
  <c r="AB32" i="8"/>
  <c r="AY31" i="8"/>
  <c r="AX31" i="8"/>
  <c r="AW31" i="8"/>
  <c r="AV31" i="8"/>
  <c r="AU31" i="8"/>
  <c r="AT31" i="8"/>
  <c r="AS31" i="8"/>
  <c r="AR31" i="8"/>
  <c r="AQ31" i="8"/>
  <c r="AP31" i="8"/>
  <c r="AO31" i="8"/>
  <c r="AL31" i="8"/>
  <c r="AK31" i="8"/>
  <c r="AJ31" i="8"/>
  <c r="AI31" i="8"/>
  <c r="AH31" i="8"/>
  <c r="AG31" i="8"/>
  <c r="AF31" i="8"/>
  <c r="AE31" i="8"/>
  <c r="AD31" i="8"/>
  <c r="AC31" i="8"/>
  <c r="AB31" i="8"/>
  <c r="AY30" i="8"/>
  <c r="AX30" i="8"/>
  <c r="AW30" i="8"/>
  <c r="AV30" i="8"/>
  <c r="AU30" i="8"/>
  <c r="AT30" i="8"/>
  <c r="AS30" i="8"/>
  <c r="AR30" i="8"/>
  <c r="AQ30" i="8"/>
  <c r="AP30" i="8"/>
  <c r="AO30" i="8"/>
  <c r="AL30" i="8"/>
  <c r="AK30" i="8"/>
  <c r="AJ30" i="8"/>
  <c r="AI30" i="8"/>
  <c r="AH30" i="8"/>
  <c r="AG30" i="8"/>
  <c r="AF30" i="8"/>
  <c r="AE30" i="8"/>
  <c r="AD30" i="8"/>
  <c r="AC30" i="8"/>
  <c r="AB30" i="8"/>
  <c r="AY29" i="8"/>
  <c r="AX29" i="8"/>
  <c r="AW29" i="8"/>
  <c r="AV29" i="8"/>
  <c r="AU29" i="8"/>
  <c r="AT29" i="8"/>
  <c r="AS29" i="8"/>
  <c r="AR29" i="8"/>
  <c r="AQ29" i="8"/>
  <c r="AP29" i="8"/>
  <c r="AO29" i="8"/>
  <c r="AL29" i="8"/>
  <c r="AK29" i="8"/>
  <c r="AJ29" i="8"/>
  <c r="AI29" i="8"/>
  <c r="AH29" i="8"/>
  <c r="AG29" i="8"/>
  <c r="AF29" i="8"/>
  <c r="AE29" i="8"/>
  <c r="AD29" i="8"/>
  <c r="AC29" i="8"/>
  <c r="AB29" i="8"/>
  <c r="AY28" i="8"/>
  <c r="AX28" i="8"/>
  <c r="AW28" i="8"/>
  <c r="AV28" i="8"/>
  <c r="AU28" i="8"/>
  <c r="AT28" i="8"/>
  <c r="AS28" i="8"/>
  <c r="AR28" i="8"/>
  <c r="AQ28" i="8"/>
  <c r="AP28" i="8"/>
  <c r="AO28" i="8"/>
  <c r="AL28" i="8"/>
  <c r="AK28" i="8"/>
  <c r="AJ28" i="8"/>
  <c r="AI28" i="8"/>
  <c r="AH28" i="8"/>
  <c r="AG28" i="8"/>
  <c r="AF28" i="8"/>
  <c r="AE28" i="8"/>
  <c r="AD28" i="8"/>
  <c r="AC28" i="8"/>
  <c r="AB28" i="8"/>
  <c r="AY27" i="8"/>
  <c r="AX27" i="8"/>
  <c r="AW27" i="8"/>
  <c r="AV27" i="8"/>
  <c r="AU27" i="8"/>
  <c r="AT27" i="8"/>
  <c r="AS27" i="8"/>
  <c r="AR27" i="8"/>
  <c r="AQ27" i="8"/>
  <c r="AP27" i="8"/>
  <c r="AO27" i="8"/>
  <c r="AL27" i="8"/>
  <c r="AK27" i="8"/>
  <c r="AJ27" i="8"/>
  <c r="AI27" i="8"/>
  <c r="AH27" i="8"/>
  <c r="AG27" i="8"/>
  <c r="AF27" i="8"/>
  <c r="AE27" i="8"/>
  <c r="AD27" i="8"/>
  <c r="AC27" i="8"/>
  <c r="AB27" i="8"/>
  <c r="AY26" i="8"/>
  <c r="AX26" i="8"/>
  <c r="AW26" i="8"/>
  <c r="AV26" i="8"/>
  <c r="AU26" i="8"/>
  <c r="AT26" i="8"/>
  <c r="AS26" i="8"/>
  <c r="AR26" i="8"/>
  <c r="AQ26" i="8"/>
  <c r="AP26" i="8"/>
  <c r="AO26" i="8"/>
  <c r="AL26" i="8"/>
  <c r="AK26" i="8"/>
  <c r="AJ26" i="8"/>
  <c r="AI26" i="8"/>
  <c r="AH26" i="8"/>
  <c r="AG26" i="8"/>
  <c r="AF26" i="8"/>
  <c r="AE26" i="8"/>
  <c r="AD26" i="8"/>
  <c r="AC26" i="8"/>
  <c r="AB26" i="8"/>
  <c r="AY25" i="8"/>
  <c r="AX25" i="8"/>
  <c r="AW25" i="8"/>
  <c r="AV25" i="8"/>
  <c r="AU25" i="8"/>
  <c r="AT25" i="8"/>
  <c r="AS25" i="8"/>
  <c r="AR25" i="8"/>
  <c r="AQ25" i="8"/>
  <c r="AP25" i="8"/>
  <c r="AO25" i="8"/>
  <c r="AL25" i="8"/>
  <c r="AK25" i="8"/>
  <c r="AJ25" i="8"/>
  <c r="AI25" i="8"/>
  <c r="AH25" i="8"/>
  <c r="AG25" i="8"/>
  <c r="AF25" i="8"/>
  <c r="AE25" i="8"/>
  <c r="AD25" i="8"/>
  <c r="AC25" i="8"/>
  <c r="AB25" i="8"/>
  <c r="AY24" i="8"/>
  <c r="AX24" i="8"/>
  <c r="AW24" i="8"/>
  <c r="AV24" i="8"/>
  <c r="AU24" i="8"/>
  <c r="AT24" i="8"/>
  <c r="AS24" i="8"/>
  <c r="AR24" i="8"/>
  <c r="AQ24" i="8"/>
  <c r="AP24" i="8"/>
  <c r="AO24" i="8"/>
  <c r="AL24" i="8"/>
  <c r="AK24" i="8"/>
  <c r="AJ24" i="8"/>
  <c r="AI24" i="8"/>
  <c r="AH24" i="8"/>
  <c r="AG24" i="8"/>
  <c r="AF24" i="8"/>
  <c r="AE24" i="8"/>
  <c r="AD24" i="8"/>
  <c r="AC24" i="8"/>
  <c r="AB24" i="8"/>
  <c r="AY23" i="8"/>
  <c r="AX23" i="8"/>
  <c r="AW23" i="8"/>
  <c r="AV23" i="8"/>
  <c r="AU23" i="8"/>
  <c r="AT23" i="8"/>
  <c r="AS23" i="8"/>
  <c r="AR23" i="8"/>
  <c r="AQ23" i="8"/>
  <c r="AP23" i="8"/>
  <c r="AO23" i="8"/>
  <c r="AL23" i="8"/>
  <c r="AK23" i="8"/>
  <c r="AJ23" i="8"/>
  <c r="AI23" i="8"/>
  <c r="AH23" i="8"/>
  <c r="AG23" i="8"/>
  <c r="AF23" i="8"/>
  <c r="AE23" i="8"/>
  <c r="AD23" i="8"/>
  <c r="AC23" i="8"/>
  <c r="AB23" i="8"/>
  <c r="AY22" i="8"/>
  <c r="AX22" i="8"/>
  <c r="AW22" i="8"/>
  <c r="AV22" i="8"/>
  <c r="AU22" i="8"/>
  <c r="AT22" i="8"/>
  <c r="AS22" i="8"/>
  <c r="AR22" i="8"/>
  <c r="AQ22" i="8"/>
  <c r="AP22" i="8"/>
  <c r="AO22" i="8"/>
  <c r="AL22" i="8"/>
  <c r="AK22" i="8"/>
  <c r="AJ22" i="8"/>
  <c r="AI22" i="8"/>
  <c r="AH22" i="8"/>
  <c r="AG22" i="8"/>
  <c r="AF22" i="8"/>
  <c r="AE22" i="8"/>
  <c r="AD22" i="8"/>
  <c r="AC22" i="8"/>
  <c r="AB22" i="8"/>
  <c r="AY21" i="8"/>
  <c r="AX21" i="8"/>
  <c r="AW21" i="8"/>
  <c r="AV21" i="8"/>
  <c r="AU21" i="8"/>
  <c r="AT21" i="8"/>
  <c r="AS21" i="8"/>
  <c r="AR21" i="8"/>
  <c r="AQ21" i="8"/>
  <c r="AP21" i="8"/>
  <c r="AO21" i="8"/>
  <c r="AL21" i="8"/>
  <c r="AK21" i="8"/>
  <c r="AJ21" i="8"/>
  <c r="AI21" i="8"/>
  <c r="AH21" i="8"/>
  <c r="AG21" i="8"/>
  <c r="AF21" i="8"/>
  <c r="AE21" i="8"/>
  <c r="AD21" i="8"/>
  <c r="AC21" i="8"/>
  <c r="AB21" i="8"/>
  <c r="AY20" i="8"/>
  <c r="AX20" i="8"/>
  <c r="AW20" i="8"/>
  <c r="AV20" i="8"/>
  <c r="AU20" i="8"/>
  <c r="AT20" i="8"/>
  <c r="AS20" i="8"/>
  <c r="AR20" i="8"/>
  <c r="AQ20" i="8"/>
  <c r="AP20" i="8"/>
  <c r="AO20" i="8"/>
  <c r="AL20" i="8"/>
  <c r="AK20" i="8"/>
  <c r="AJ20" i="8"/>
  <c r="AI20" i="8"/>
  <c r="AH20" i="8"/>
  <c r="AG20" i="8"/>
  <c r="AF20" i="8"/>
  <c r="AE20" i="8"/>
  <c r="AD20" i="8"/>
  <c r="AC20" i="8"/>
  <c r="AB20" i="8"/>
  <c r="AY19" i="8"/>
  <c r="AX19" i="8"/>
  <c r="AW19" i="8"/>
  <c r="AV19" i="8"/>
  <c r="AU19" i="8"/>
  <c r="AT19" i="8"/>
  <c r="AS19" i="8"/>
  <c r="AR19" i="8"/>
  <c r="AQ19" i="8"/>
  <c r="AP19" i="8"/>
  <c r="AO19" i="8"/>
  <c r="AL19" i="8"/>
  <c r="AK19" i="8"/>
  <c r="AJ19" i="8"/>
  <c r="AI19" i="8"/>
  <c r="AH19" i="8"/>
  <c r="AG19" i="8"/>
  <c r="AF19" i="8"/>
  <c r="AE19" i="8"/>
  <c r="AD19" i="8"/>
  <c r="AC19" i="8"/>
  <c r="AB19" i="8"/>
  <c r="AY18" i="8"/>
  <c r="AX18" i="8"/>
  <c r="AW18" i="8"/>
  <c r="AV18" i="8"/>
  <c r="AU18" i="8"/>
  <c r="AT18" i="8"/>
  <c r="AS18" i="8"/>
  <c r="AR18" i="8"/>
  <c r="AQ18" i="8"/>
  <c r="AP18" i="8"/>
  <c r="AO18" i="8"/>
  <c r="AL18" i="8"/>
  <c r="AK18" i="8"/>
  <c r="AJ18" i="8"/>
  <c r="AI18" i="8"/>
  <c r="AH18" i="8"/>
  <c r="AG18" i="8"/>
  <c r="AF18" i="8"/>
  <c r="AE18" i="8"/>
  <c r="AD18" i="8"/>
  <c r="AC18" i="8"/>
  <c r="AB18" i="8"/>
  <c r="AY17" i="8"/>
  <c r="AX17" i="8"/>
  <c r="AW17" i="8"/>
  <c r="AV17" i="8"/>
  <c r="AU17" i="8"/>
  <c r="AT17" i="8"/>
  <c r="AS17" i="8"/>
  <c r="AR17" i="8"/>
  <c r="AQ17" i="8"/>
  <c r="AP17" i="8"/>
  <c r="AO17" i="8"/>
  <c r="AL17" i="8"/>
  <c r="AK17" i="8"/>
  <c r="AJ17" i="8"/>
  <c r="AI17" i="8"/>
  <c r="AH17" i="8"/>
  <c r="AG17" i="8"/>
  <c r="AF17" i="8"/>
  <c r="AE17" i="8"/>
  <c r="AD17" i="8"/>
  <c r="AC17" i="8"/>
  <c r="AB17" i="8"/>
  <c r="AY16" i="8"/>
  <c r="AX16" i="8"/>
  <c r="AW16" i="8"/>
  <c r="AV16" i="8"/>
  <c r="AU16" i="8"/>
  <c r="AT16" i="8"/>
  <c r="AS16" i="8"/>
  <c r="AR16" i="8"/>
  <c r="AQ16" i="8"/>
  <c r="AP16" i="8"/>
  <c r="AO16" i="8"/>
  <c r="AL16" i="8"/>
  <c r="AK16" i="8"/>
  <c r="AJ16" i="8"/>
  <c r="AI16" i="8"/>
  <c r="AH16" i="8"/>
  <c r="AG16" i="8"/>
  <c r="AF16" i="8"/>
  <c r="AE16" i="8"/>
  <c r="AD16" i="8"/>
  <c r="AC16" i="8"/>
  <c r="AB16" i="8"/>
  <c r="AY15" i="8"/>
  <c r="AX15" i="8"/>
  <c r="AW15" i="8"/>
  <c r="AV15" i="8"/>
  <c r="AU15" i="8"/>
  <c r="AT15" i="8"/>
  <c r="AS15" i="8"/>
  <c r="AR15" i="8"/>
  <c r="AQ15" i="8"/>
  <c r="AP15" i="8"/>
  <c r="AO15" i="8"/>
  <c r="AL15" i="8"/>
  <c r="AK15" i="8"/>
  <c r="AJ15" i="8"/>
  <c r="AI15" i="8"/>
  <c r="AH15" i="8"/>
  <c r="AG15" i="8"/>
  <c r="AF15" i="8"/>
  <c r="AE15" i="8"/>
  <c r="AD15" i="8"/>
  <c r="AC15" i="8"/>
  <c r="AB15" i="8"/>
  <c r="AY14" i="8"/>
  <c r="AX14" i="8"/>
  <c r="AW14" i="8"/>
  <c r="AV14" i="8"/>
  <c r="AU14" i="8"/>
  <c r="AT14" i="8"/>
  <c r="AS14" i="8"/>
  <c r="AR14" i="8"/>
  <c r="AQ14" i="8"/>
  <c r="AP14" i="8"/>
  <c r="AO14" i="8"/>
  <c r="AL14" i="8"/>
  <c r="AK14" i="8"/>
  <c r="AJ14" i="8"/>
  <c r="AI14" i="8"/>
  <c r="AH14" i="8"/>
  <c r="AG14" i="8"/>
  <c r="AF14" i="8"/>
  <c r="AE14" i="8"/>
  <c r="AD14" i="8"/>
  <c r="AC14" i="8"/>
  <c r="AB14" i="8"/>
  <c r="AY13" i="8"/>
  <c r="AX13" i="8"/>
  <c r="AW13" i="8"/>
  <c r="AV13" i="8"/>
  <c r="AU13" i="8"/>
  <c r="AT13" i="8"/>
  <c r="AS13" i="8"/>
  <c r="AR13" i="8"/>
  <c r="AQ13" i="8"/>
  <c r="AP13" i="8"/>
  <c r="AO13" i="8"/>
  <c r="AL13" i="8"/>
  <c r="AK13" i="8"/>
  <c r="AJ13" i="8"/>
  <c r="AI13" i="8"/>
  <c r="AH13" i="8"/>
  <c r="AG13" i="8"/>
  <c r="AF13" i="8"/>
  <c r="AE13" i="8"/>
  <c r="AD13" i="8"/>
  <c r="AC13" i="8"/>
  <c r="AB13" i="8"/>
  <c r="AY12" i="8"/>
  <c r="AX12" i="8"/>
  <c r="AW12" i="8"/>
  <c r="AV12" i="8"/>
  <c r="AU12" i="8"/>
  <c r="AT12" i="8"/>
  <c r="AS12" i="8"/>
  <c r="AR12" i="8"/>
  <c r="AQ12" i="8"/>
  <c r="AP12" i="8"/>
  <c r="AO12" i="8"/>
  <c r="AL12" i="8"/>
  <c r="AK12" i="8"/>
  <c r="AJ12" i="8"/>
  <c r="AI12" i="8"/>
  <c r="AH12" i="8"/>
  <c r="AG12" i="8"/>
  <c r="AF12" i="8"/>
  <c r="AE12" i="8"/>
  <c r="AD12" i="8"/>
  <c r="AC12" i="8"/>
  <c r="AB12" i="8"/>
  <c r="AY11" i="8"/>
  <c r="AX11" i="8"/>
  <c r="AW11" i="8"/>
  <c r="AV11" i="8"/>
  <c r="AU11" i="8"/>
  <c r="AT11" i="8"/>
  <c r="AS11" i="8"/>
  <c r="AR11" i="8"/>
  <c r="AQ11" i="8"/>
  <c r="AP11" i="8"/>
  <c r="AO11" i="8"/>
  <c r="AL11" i="8"/>
  <c r="AK11" i="8"/>
  <c r="AJ11" i="8"/>
  <c r="AI11" i="8"/>
  <c r="AH11" i="8"/>
  <c r="AG11" i="8"/>
  <c r="AF11" i="8"/>
  <c r="AE11" i="8"/>
  <c r="AD11" i="8"/>
  <c r="AC11" i="8"/>
  <c r="AB11" i="8"/>
  <c r="AY10" i="8"/>
  <c r="AX10" i="8"/>
  <c r="AW10" i="8"/>
  <c r="AV10" i="8"/>
  <c r="AU10" i="8"/>
  <c r="AT10" i="8"/>
  <c r="AS10" i="8"/>
  <c r="AR10" i="8"/>
  <c r="AQ10" i="8"/>
  <c r="AP10" i="8"/>
  <c r="AO10" i="8"/>
  <c r="AL10" i="8"/>
  <c r="AK10" i="8"/>
  <c r="AJ10" i="8"/>
  <c r="AI10" i="8"/>
  <c r="AH10" i="8"/>
  <c r="AG10" i="8"/>
  <c r="AF10" i="8"/>
  <c r="AE10" i="8"/>
  <c r="AD10" i="8"/>
  <c r="AC10" i="8"/>
  <c r="AB10" i="8"/>
  <c r="AY9" i="8"/>
  <c r="AX9" i="8"/>
  <c r="AW9" i="8"/>
  <c r="AV9" i="8"/>
  <c r="AU9" i="8"/>
  <c r="AT9" i="8"/>
  <c r="AS9" i="8"/>
  <c r="AR9" i="8"/>
  <c r="AQ9" i="8"/>
  <c r="AP9" i="8"/>
  <c r="AO9" i="8"/>
  <c r="AL9" i="8"/>
  <c r="AK9" i="8"/>
  <c r="AJ9" i="8"/>
  <c r="AI9" i="8"/>
  <c r="AH9" i="8"/>
  <c r="AG9" i="8"/>
  <c r="AF9" i="8"/>
  <c r="AE9" i="8"/>
  <c r="AD9" i="8"/>
  <c r="AC9" i="8"/>
  <c r="AB9" i="8"/>
  <c r="AY8" i="8"/>
  <c r="AX8" i="8"/>
  <c r="AW8" i="8"/>
  <c r="AV8" i="8"/>
  <c r="AU8" i="8"/>
  <c r="AT8" i="8"/>
  <c r="AS8" i="8"/>
  <c r="AR8" i="8"/>
  <c r="AQ8" i="8"/>
  <c r="AP8" i="8"/>
  <c r="AO8" i="8"/>
  <c r="AL8" i="8"/>
  <c r="AK8" i="8"/>
  <c r="AJ8" i="8"/>
  <c r="AI8" i="8"/>
  <c r="AH8" i="8"/>
  <c r="AG8" i="8"/>
  <c r="AF8" i="8"/>
  <c r="AE8" i="8"/>
  <c r="AD8" i="8"/>
  <c r="AC8" i="8"/>
  <c r="AB8" i="8"/>
  <c r="AY7" i="8"/>
  <c r="AX7" i="8"/>
  <c r="AW7" i="8"/>
  <c r="AV7" i="8"/>
  <c r="AU7" i="8"/>
  <c r="AT7" i="8"/>
  <c r="AS7" i="8"/>
  <c r="AR7" i="8"/>
  <c r="AQ7" i="8"/>
  <c r="AP7" i="8"/>
  <c r="AO7" i="8"/>
  <c r="AL7" i="8"/>
  <c r="AK7" i="8"/>
  <c r="AJ7" i="8"/>
  <c r="AI7" i="8"/>
  <c r="AH7" i="8"/>
  <c r="AG7" i="8"/>
  <c r="AF7" i="8"/>
  <c r="AE7" i="8"/>
  <c r="AD7" i="8"/>
  <c r="AC7" i="8"/>
  <c r="AB7" i="8"/>
  <c r="AY6" i="8"/>
  <c r="AX6" i="8"/>
  <c r="AW6" i="8"/>
  <c r="AV6" i="8"/>
  <c r="AU6" i="8"/>
  <c r="AT6" i="8"/>
  <c r="AS6" i="8"/>
  <c r="AR6" i="8"/>
  <c r="AQ6" i="8"/>
  <c r="AP6" i="8"/>
  <c r="AO6" i="8"/>
  <c r="AL6" i="8"/>
  <c r="AK6" i="8"/>
  <c r="AJ6" i="8"/>
  <c r="AI6" i="8"/>
  <c r="AH6" i="8"/>
  <c r="AG6" i="8"/>
  <c r="AF6" i="8"/>
  <c r="AE6" i="8"/>
  <c r="AD6" i="8"/>
  <c r="AC6" i="8"/>
  <c r="AB6" i="8"/>
  <c r="AY5" i="8"/>
  <c r="AX5" i="8"/>
  <c r="AW5" i="8"/>
  <c r="AV5" i="8"/>
  <c r="AU5" i="8"/>
  <c r="AT5" i="8"/>
  <c r="AS5" i="8"/>
  <c r="AR5" i="8"/>
  <c r="AQ5" i="8"/>
  <c r="AP5" i="8"/>
  <c r="AO5" i="8"/>
  <c r="AL5" i="8"/>
  <c r="AK5" i="8"/>
  <c r="AJ5" i="8"/>
  <c r="AI5" i="8"/>
  <c r="AH5" i="8"/>
  <c r="AG5" i="8"/>
  <c r="AF5" i="8"/>
  <c r="AE5" i="8"/>
  <c r="AD5" i="8"/>
  <c r="AC5" i="8"/>
  <c r="AB5" i="8"/>
  <c r="CC4" i="8"/>
  <c r="CB4" i="8"/>
  <c r="AY4" i="8"/>
  <c r="AX4" i="8"/>
  <c r="AW4" i="8"/>
  <c r="AV4" i="8"/>
  <c r="AU4" i="8"/>
  <c r="AT4" i="8"/>
  <c r="AS4" i="8"/>
  <c r="AR4" i="8"/>
  <c r="AQ4" i="8"/>
  <c r="AP4" i="8"/>
  <c r="AO4" i="8"/>
  <c r="AL4" i="8"/>
  <c r="AK4" i="8"/>
  <c r="AJ4" i="8"/>
  <c r="AI4" i="8"/>
  <c r="AH4" i="8"/>
  <c r="AG4" i="8"/>
  <c r="AF4" i="8"/>
  <c r="AE4" i="8"/>
  <c r="AD4" i="8"/>
  <c r="AC4" i="8"/>
  <c r="AB4" i="8"/>
  <c r="AF1" i="8" s="1"/>
  <c r="AD1" i="8" s="1"/>
  <c r="AF17" i="1" s="1"/>
  <c r="AF19" i="1" s="1"/>
  <c r="BF1" i="8" s="1"/>
  <c r="CC3" i="8"/>
  <c r="CB5" i="8" s="1"/>
  <c r="CB3" i="8"/>
  <c r="BO2" i="8"/>
  <c r="BB2" i="8"/>
  <c r="AI1" i="8"/>
  <c r="K4" i="7"/>
  <c r="M2" i="7"/>
  <c r="M3" i="7" s="1"/>
  <c r="K2" i="7"/>
  <c r="K3" i="7" s="1"/>
  <c r="M1" i="7"/>
  <c r="P51" i="7" s="1"/>
  <c r="K1" i="7"/>
  <c r="E37" i="6"/>
  <c r="E36" i="6"/>
  <c r="D5" i="6"/>
  <c r="E37" i="5"/>
  <c r="E36" i="5"/>
  <c r="D5" i="5"/>
  <c r="E37" i="4"/>
  <c r="E36" i="4"/>
  <c r="D5" i="4"/>
  <c r="E37" i="3"/>
  <c r="E36" i="3"/>
  <c r="D5" i="3"/>
  <c r="Q161" i="2"/>
  <c r="P161" i="2"/>
  <c r="O161" i="2"/>
  <c r="N161" i="2"/>
  <c r="M161" i="2"/>
  <c r="L161" i="2"/>
  <c r="J161" i="2"/>
  <c r="H161" i="2"/>
  <c r="I161" i="2" s="1"/>
  <c r="G161" i="2"/>
  <c r="K161" i="2" s="1"/>
  <c r="F161" i="2"/>
  <c r="E161" i="2"/>
  <c r="D161" i="2"/>
  <c r="C161" i="2"/>
  <c r="Q160" i="2"/>
  <c r="P160" i="2"/>
  <c r="O160" i="2"/>
  <c r="N160" i="2"/>
  <c r="M160" i="2"/>
  <c r="L160" i="2"/>
  <c r="G160" i="2"/>
  <c r="H160" i="2" s="1"/>
  <c r="I160" i="2" s="1"/>
  <c r="F160" i="2"/>
  <c r="E160" i="2"/>
  <c r="D160" i="2"/>
  <c r="C160" i="2"/>
  <c r="Q159" i="2"/>
  <c r="P159" i="2"/>
  <c r="O159" i="2"/>
  <c r="N159" i="2"/>
  <c r="M159" i="2"/>
  <c r="L159" i="2"/>
  <c r="J159" i="2"/>
  <c r="H159" i="2"/>
  <c r="I159" i="2" s="1"/>
  <c r="G159" i="2"/>
  <c r="K159" i="2" s="1"/>
  <c r="F159" i="2"/>
  <c r="E159" i="2"/>
  <c r="D159" i="2"/>
  <c r="C159" i="2"/>
  <c r="Q158" i="2"/>
  <c r="P158" i="2"/>
  <c r="O158" i="2"/>
  <c r="N158" i="2"/>
  <c r="M158" i="2"/>
  <c r="L158" i="2"/>
  <c r="G158" i="2"/>
  <c r="J158" i="2" s="1"/>
  <c r="F158" i="2"/>
  <c r="E158" i="2"/>
  <c r="D158" i="2"/>
  <c r="C158" i="2"/>
  <c r="Q157" i="2"/>
  <c r="P157" i="2"/>
  <c r="O157" i="2"/>
  <c r="N157" i="2"/>
  <c r="M157" i="2"/>
  <c r="L157" i="2"/>
  <c r="J157" i="2"/>
  <c r="H157" i="2"/>
  <c r="I157" i="2" s="1"/>
  <c r="G157" i="2"/>
  <c r="K157" i="2" s="1"/>
  <c r="F157" i="2"/>
  <c r="E157" i="2"/>
  <c r="D157" i="2"/>
  <c r="C157" i="2"/>
  <c r="Q156" i="2"/>
  <c r="P156" i="2"/>
  <c r="O156" i="2"/>
  <c r="N156" i="2"/>
  <c r="M156" i="2"/>
  <c r="L156" i="2"/>
  <c r="G156" i="2"/>
  <c r="H156" i="2" s="1"/>
  <c r="I156" i="2" s="1"/>
  <c r="F156" i="2"/>
  <c r="E156" i="2"/>
  <c r="D156" i="2"/>
  <c r="C156" i="2"/>
  <c r="Q155" i="2"/>
  <c r="P155" i="2"/>
  <c r="O155" i="2"/>
  <c r="N155" i="2"/>
  <c r="M155" i="2"/>
  <c r="L155" i="2"/>
  <c r="J155" i="2"/>
  <c r="H155" i="2"/>
  <c r="I155" i="2" s="1"/>
  <c r="G155" i="2"/>
  <c r="K155" i="2" s="1"/>
  <c r="F155" i="2"/>
  <c r="E155" i="2"/>
  <c r="D155" i="2"/>
  <c r="C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L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F154" i="2"/>
  <c r="E153" i="2"/>
  <c r="D152" i="2"/>
  <c r="C151" i="2"/>
  <c r="F150" i="2"/>
  <c r="E149" i="2"/>
  <c r="D148" i="2"/>
  <c r="C147" i="2"/>
  <c r="F146" i="2"/>
  <c r="E145" i="2"/>
  <c r="D144" i="2"/>
  <c r="C143" i="2"/>
  <c r="F142" i="2"/>
  <c r="E141" i="2"/>
  <c r="D140" i="2"/>
  <c r="C139" i="2"/>
  <c r="F138" i="2"/>
  <c r="E137" i="2"/>
  <c r="D136" i="2"/>
  <c r="C135" i="2"/>
  <c r="F134" i="2"/>
  <c r="E133" i="2"/>
  <c r="D132" i="2"/>
  <c r="C131" i="2"/>
  <c r="F130" i="2"/>
  <c r="E129" i="2"/>
  <c r="D128" i="2"/>
  <c r="C127" i="2"/>
  <c r="F126" i="2"/>
  <c r="E125" i="2"/>
  <c r="D124" i="2"/>
  <c r="C123" i="2"/>
  <c r="F122" i="2"/>
  <c r="C128" i="2"/>
  <c r="E126" i="2"/>
  <c r="C124" i="2"/>
  <c r="E122" i="2"/>
  <c r="E154" i="2"/>
  <c r="D153" i="2"/>
  <c r="C152" i="2"/>
  <c r="F151" i="2"/>
  <c r="E150" i="2"/>
  <c r="D149" i="2"/>
  <c r="C148" i="2"/>
  <c r="F147" i="2"/>
  <c r="E146" i="2"/>
  <c r="D145" i="2"/>
  <c r="C144" i="2"/>
  <c r="F143" i="2"/>
  <c r="E142" i="2"/>
  <c r="D141" i="2"/>
  <c r="C140" i="2"/>
  <c r="F139" i="2"/>
  <c r="E138" i="2"/>
  <c r="D137" i="2"/>
  <c r="C136" i="2"/>
  <c r="F135" i="2"/>
  <c r="E134" i="2"/>
  <c r="D133" i="2"/>
  <c r="C132" i="2"/>
  <c r="F131" i="2"/>
  <c r="E130" i="2"/>
  <c r="D129" i="2"/>
  <c r="F127" i="2"/>
  <c r="D125" i="2"/>
  <c r="F123" i="2"/>
  <c r="D154" i="2"/>
  <c r="C153" i="2"/>
  <c r="F152" i="2"/>
  <c r="E151" i="2"/>
  <c r="D150" i="2"/>
  <c r="C149" i="2"/>
  <c r="F148" i="2"/>
  <c r="E147" i="2"/>
  <c r="D146" i="2"/>
  <c r="C145" i="2"/>
  <c r="F144" i="2"/>
  <c r="E143" i="2"/>
  <c r="D142" i="2"/>
  <c r="C141" i="2"/>
  <c r="F140" i="2"/>
  <c r="E139" i="2"/>
  <c r="D138" i="2"/>
  <c r="C137" i="2"/>
  <c r="F136" i="2"/>
  <c r="E135" i="2"/>
  <c r="D134" i="2"/>
  <c r="C133" i="2"/>
  <c r="F132" i="2"/>
  <c r="E131" i="2"/>
  <c r="D130" i="2"/>
  <c r="C129" i="2"/>
  <c r="F128" i="2"/>
  <c r="E127" i="2"/>
  <c r="D126" i="2"/>
  <c r="C125" i="2"/>
  <c r="F124" i="2"/>
  <c r="E123" i="2"/>
  <c r="D122" i="2"/>
  <c r="E128" i="2"/>
  <c r="F125" i="2"/>
  <c r="D123" i="2"/>
  <c r="C122" i="2"/>
  <c r="C154" i="2"/>
  <c r="F153" i="2"/>
  <c r="E152" i="2"/>
  <c r="D151" i="2"/>
  <c r="C150" i="2"/>
  <c r="F149" i="2"/>
  <c r="E148" i="2"/>
  <c r="D147" i="2"/>
  <c r="C146" i="2"/>
  <c r="F145" i="2"/>
  <c r="E144" i="2"/>
  <c r="D143" i="2"/>
  <c r="C142" i="2"/>
  <c r="F141" i="2"/>
  <c r="E140" i="2"/>
  <c r="D139" i="2"/>
  <c r="C138" i="2"/>
  <c r="F137" i="2"/>
  <c r="E136" i="2"/>
  <c r="D135" i="2"/>
  <c r="C134" i="2"/>
  <c r="F133" i="2"/>
  <c r="E132" i="2"/>
  <c r="D131" i="2"/>
  <c r="C130" i="2"/>
  <c r="F129" i="2"/>
  <c r="D127" i="2"/>
  <c r="C126" i="2"/>
  <c r="E124" i="2"/>
  <c r="G127" i="2" l="1"/>
  <c r="G131" i="2"/>
  <c r="G135" i="2"/>
  <c r="G139" i="2"/>
  <c r="G143" i="2"/>
  <c r="G147" i="2"/>
  <c r="G151" i="2"/>
  <c r="G123" i="2"/>
  <c r="G122" i="2"/>
  <c r="G126" i="2"/>
  <c r="G130" i="2"/>
  <c r="G134" i="2"/>
  <c r="G138" i="2"/>
  <c r="G142" i="2"/>
  <c r="G146" i="2"/>
  <c r="G150" i="2"/>
  <c r="G154" i="2"/>
  <c r="G125" i="2"/>
  <c r="G129" i="2"/>
  <c r="G133" i="2"/>
  <c r="G137" i="2"/>
  <c r="G141" i="2"/>
  <c r="G145" i="2"/>
  <c r="G149" i="2"/>
  <c r="G153" i="2"/>
  <c r="G124" i="2"/>
  <c r="G128" i="2"/>
  <c r="G132" i="2"/>
  <c r="G136" i="2"/>
  <c r="G140" i="2"/>
  <c r="G144" i="2"/>
  <c r="G148" i="2"/>
  <c r="G152" i="2"/>
  <c r="BV36" i="8"/>
  <c r="BR36" i="8"/>
  <c r="BL36" i="8"/>
  <c r="BH36" i="8"/>
  <c r="BD36" i="8"/>
  <c r="BV35" i="8"/>
  <c r="BR35" i="8"/>
  <c r="BL35" i="8"/>
  <c r="BH35" i="8"/>
  <c r="BD35" i="8"/>
  <c r="BV34" i="8"/>
  <c r="BR34" i="8"/>
  <c r="BL34" i="8"/>
  <c r="BH34" i="8"/>
  <c r="BD34" i="8"/>
  <c r="BV33" i="8"/>
  <c r="BR33" i="8"/>
  <c r="BL33" i="8"/>
  <c r="BH33" i="8"/>
  <c r="BD33" i="8"/>
  <c r="BV32" i="8"/>
  <c r="BR32" i="8"/>
  <c r="BL32" i="8"/>
  <c r="BH32" i="8"/>
  <c r="BD32" i="8"/>
  <c r="BV31" i="8"/>
  <c r="BR31" i="8"/>
  <c r="BL31" i="8"/>
  <c r="BH31" i="8"/>
  <c r="BD31" i="8"/>
  <c r="BV30" i="8"/>
  <c r="BR30" i="8"/>
  <c r="BL30" i="8"/>
  <c r="BH30" i="8"/>
  <c r="BD30" i="8"/>
  <c r="BV29" i="8"/>
  <c r="BR29" i="8"/>
  <c r="BL29" i="8"/>
  <c r="BH29" i="8"/>
  <c r="BD29" i="8"/>
  <c r="BV28" i="8"/>
  <c r="BR28" i="8"/>
  <c r="BL28" i="8"/>
  <c r="BH28" i="8"/>
  <c r="BD28" i="8"/>
  <c r="BV27" i="8"/>
  <c r="BR27" i="8"/>
  <c r="BY36" i="8"/>
  <c r="BU36" i="8"/>
  <c r="BQ36" i="8"/>
  <c r="BK36" i="8"/>
  <c r="BG36" i="8"/>
  <c r="BC36" i="8"/>
  <c r="BY35" i="8"/>
  <c r="BU35" i="8"/>
  <c r="BQ35" i="8"/>
  <c r="BK35" i="8"/>
  <c r="BG35" i="8"/>
  <c r="BC35" i="8"/>
  <c r="BY34" i="8"/>
  <c r="BU34" i="8"/>
  <c r="BQ34" i="8"/>
  <c r="BK34" i="8"/>
  <c r="BG34" i="8"/>
  <c r="BC34" i="8"/>
  <c r="BY33" i="8"/>
  <c r="BU33" i="8"/>
  <c r="BQ33" i="8"/>
  <c r="BK33" i="8"/>
  <c r="BG33" i="8"/>
  <c r="BC33" i="8"/>
  <c r="BY32" i="8"/>
  <c r="BU32" i="8"/>
  <c r="BQ32" i="8"/>
  <c r="BK32" i="8"/>
  <c r="BG32" i="8"/>
  <c r="BC32" i="8"/>
  <c r="BY31" i="8"/>
  <c r="BU31" i="8"/>
  <c r="BQ31" i="8"/>
  <c r="BK31" i="8"/>
  <c r="BG31" i="8"/>
  <c r="BC31" i="8"/>
  <c r="BY30" i="8"/>
  <c r="BU30" i="8"/>
  <c r="BQ30" i="8"/>
  <c r="BK30" i="8"/>
  <c r="BG30" i="8"/>
  <c r="BC30" i="8"/>
  <c r="BY29" i="8"/>
  <c r="BU29" i="8"/>
  <c r="BQ29" i="8"/>
  <c r="BK29" i="8"/>
  <c r="BG29" i="8"/>
  <c r="BC29" i="8"/>
  <c r="BY28" i="8"/>
  <c r="BU28" i="8"/>
  <c r="BQ28" i="8"/>
  <c r="BK28" i="8"/>
  <c r="BG28" i="8"/>
  <c r="BC28" i="8"/>
  <c r="BY27" i="8"/>
  <c r="BU27" i="8"/>
  <c r="BQ27" i="8"/>
  <c r="BK27" i="8"/>
  <c r="BX36" i="8"/>
  <c r="BT36" i="8"/>
  <c r="BP36" i="8"/>
  <c r="BJ36" i="8"/>
  <c r="BF36" i="8"/>
  <c r="BB36" i="8"/>
  <c r="BX35" i="8"/>
  <c r="BT35" i="8"/>
  <c r="BP35" i="8"/>
  <c r="BJ35" i="8"/>
  <c r="BF35" i="8"/>
  <c r="BB35" i="8"/>
  <c r="BX34" i="8"/>
  <c r="BT34" i="8"/>
  <c r="BP34" i="8"/>
  <c r="BJ34" i="8"/>
  <c r="BF34" i="8"/>
  <c r="BB34" i="8"/>
  <c r="BX33" i="8"/>
  <c r="BT33" i="8"/>
  <c r="BP33" i="8"/>
  <c r="BJ33" i="8"/>
  <c r="BF33" i="8"/>
  <c r="BB33" i="8"/>
  <c r="BX32" i="8"/>
  <c r="BT32" i="8"/>
  <c r="BP32" i="8"/>
  <c r="BJ32" i="8"/>
  <c r="BF32" i="8"/>
  <c r="BB32" i="8"/>
  <c r="BX31" i="8"/>
  <c r="BT31" i="8"/>
  <c r="BP31" i="8"/>
  <c r="BJ31" i="8"/>
  <c r="BF31" i="8"/>
  <c r="BB31" i="8"/>
  <c r="BX30" i="8"/>
  <c r="BT30" i="8"/>
  <c r="BP30" i="8"/>
  <c r="BJ30" i="8"/>
  <c r="BF30" i="8"/>
  <c r="BB30" i="8"/>
  <c r="BX29" i="8"/>
  <c r="BT29" i="8"/>
  <c r="BP29" i="8"/>
  <c r="BJ29" i="8"/>
  <c r="BF29" i="8"/>
  <c r="BB29" i="8"/>
  <c r="BX28" i="8"/>
  <c r="BT28" i="8"/>
  <c r="BP28" i="8"/>
  <c r="BJ28" i="8"/>
  <c r="BF28" i="8"/>
  <c r="BB28" i="8"/>
  <c r="BX27" i="8"/>
  <c r="BT27" i="8"/>
  <c r="BP27" i="8"/>
  <c r="BJ27" i="8"/>
  <c r="BF27" i="8"/>
  <c r="BW36" i="8"/>
  <c r="BS36" i="8"/>
  <c r="BO36" i="8"/>
  <c r="BI36" i="8"/>
  <c r="BE36" i="8"/>
  <c r="BW35" i="8"/>
  <c r="BS35" i="8"/>
  <c r="BO35" i="8"/>
  <c r="BI35" i="8"/>
  <c r="BE35" i="8"/>
  <c r="BW34" i="8"/>
  <c r="BS34" i="8"/>
  <c r="BO34" i="8"/>
  <c r="BI34" i="8"/>
  <c r="BE34" i="8"/>
  <c r="BW33" i="8"/>
  <c r="BS33" i="8"/>
  <c r="BO33" i="8"/>
  <c r="BI33" i="8"/>
  <c r="BE33" i="8"/>
  <c r="BW32" i="8"/>
  <c r="BS32" i="8"/>
  <c r="BO32" i="8"/>
  <c r="BI32" i="8"/>
  <c r="BE32" i="8"/>
  <c r="BW31" i="8"/>
  <c r="BS31" i="8"/>
  <c r="BO31" i="8"/>
  <c r="BI31" i="8"/>
  <c r="BE31" i="8"/>
  <c r="BW30" i="8"/>
  <c r="BS30" i="8"/>
  <c r="BO30" i="8"/>
  <c r="BI30" i="8"/>
  <c r="BE30" i="8"/>
  <c r="BW29" i="8"/>
  <c r="BS29" i="8"/>
  <c r="BO29" i="8"/>
  <c r="BI29" i="8"/>
  <c r="BE29" i="8"/>
  <c r="BW28" i="8"/>
  <c r="BS28" i="8"/>
  <c r="BO28" i="8"/>
  <c r="BI28" i="8"/>
  <c r="BE28" i="8"/>
  <c r="BW27" i="8"/>
  <c r="BS27" i="8"/>
  <c r="BO27" i="8"/>
  <c r="BI27" i="8"/>
  <c r="BE27" i="8"/>
  <c r="BG27" i="8"/>
  <c r="BW26" i="8"/>
  <c r="BS26" i="8"/>
  <c r="BO26" i="8"/>
  <c r="BI26" i="8"/>
  <c r="BE26" i="8"/>
  <c r="BW25" i="8"/>
  <c r="BS25" i="8"/>
  <c r="BO25" i="8"/>
  <c r="BI25" i="8"/>
  <c r="BE25" i="8"/>
  <c r="BW24" i="8"/>
  <c r="BS24" i="8"/>
  <c r="BO24" i="8"/>
  <c r="BI24" i="8"/>
  <c r="BE24" i="8"/>
  <c r="BW23" i="8"/>
  <c r="BS23" i="8"/>
  <c r="BO23" i="8"/>
  <c r="BI23" i="8"/>
  <c r="BE23" i="8"/>
  <c r="BW22" i="8"/>
  <c r="BS22" i="8"/>
  <c r="BO22" i="8"/>
  <c r="BI22" i="8"/>
  <c r="BE22" i="8"/>
  <c r="BW21" i="8"/>
  <c r="BS21" i="8"/>
  <c r="BO21" i="8"/>
  <c r="BI21" i="8"/>
  <c r="BE21" i="8"/>
  <c r="BW20" i="8"/>
  <c r="BS20" i="8"/>
  <c r="BO20" i="8"/>
  <c r="BI20" i="8"/>
  <c r="BE20" i="8"/>
  <c r="BW19" i="8"/>
  <c r="BS19" i="8"/>
  <c r="BO19" i="8"/>
  <c r="BI19" i="8"/>
  <c r="BE19" i="8"/>
  <c r="BW18" i="8"/>
  <c r="BS18" i="8"/>
  <c r="BO18" i="8"/>
  <c r="BI18" i="8"/>
  <c r="BE18" i="8"/>
  <c r="BW17" i="8"/>
  <c r="BS17" i="8"/>
  <c r="BO17" i="8"/>
  <c r="BI17" i="8"/>
  <c r="BE17" i="8"/>
  <c r="BW16" i="8"/>
  <c r="BS16" i="8"/>
  <c r="BO16" i="8"/>
  <c r="BI16" i="8"/>
  <c r="BE16" i="8"/>
  <c r="BW15" i="8"/>
  <c r="BS15" i="8"/>
  <c r="BO15" i="8"/>
  <c r="BI15" i="8"/>
  <c r="BE15" i="8"/>
  <c r="BW14" i="8"/>
  <c r="BS14" i="8"/>
  <c r="BO14" i="8"/>
  <c r="BI14" i="8"/>
  <c r="BE14" i="8"/>
  <c r="BW13" i="8"/>
  <c r="BS13" i="8"/>
  <c r="BO13" i="8"/>
  <c r="BI13" i="8"/>
  <c r="BE13" i="8"/>
  <c r="BW12" i="8"/>
  <c r="BS12" i="8"/>
  <c r="BO12" i="8"/>
  <c r="BI12" i="8"/>
  <c r="BE12" i="8"/>
  <c r="BW11" i="8"/>
  <c r="BS11" i="8"/>
  <c r="BO11" i="8"/>
  <c r="BI11" i="8"/>
  <c r="BE11" i="8"/>
  <c r="BW10" i="8"/>
  <c r="BS10" i="8"/>
  <c r="BO10" i="8"/>
  <c r="BI10" i="8"/>
  <c r="BE10" i="8"/>
  <c r="BW9" i="8"/>
  <c r="BS9" i="8"/>
  <c r="BO9" i="8"/>
  <c r="BI9" i="8"/>
  <c r="BE9" i="8"/>
  <c r="BW8" i="8"/>
  <c r="BS8" i="8"/>
  <c r="BO8" i="8"/>
  <c r="BI8" i="8"/>
  <c r="BE8" i="8"/>
  <c r="BW7" i="8"/>
  <c r="BS7" i="8"/>
  <c r="BO7" i="8"/>
  <c r="BI7" i="8"/>
  <c r="BE7" i="8"/>
  <c r="BW6" i="8"/>
  <c r="BS6" i="8"/>
  <c r="BO6" i="8"/>
  <c r="BI6" i="8"/>
  <c r="BE6" i="8"/>
  <c r="BY5" i="8"/>
  <c r="BU5" i="8"/>
  <c r="BQ5" i="8"/>
  <c r="BK5" i="8"/>
  <c r="BG5" i="8"/>
  <c r="BC5" i="8"/>
  <c r="BX4" i="8"/>
  <c r="BT4" i="8"/>
  <c r="BP4" i="8"/>
  <c r="BJ4" i="8"/>
  <c r="BF4" i="8"/>
  <c r="BB4" i="8"/>
  <c r="BD27" i="8"/>
  <c r="BV26" i="8"/>
  <c r="BR26" i="8"/>
  <c r="BL26" i="8"/>
  <c r="BH26" i="8"/>
  <c r="BD26" i="8"/>
  <c r="BV25" i="8"/>
  <c r="BR25" i="8"/>
  <c r="BL25" i="8"/>
  <c r="BH25" i="8"/>
  <c r="BD25" i="8"/>
  <c r="BV24" i="8"/>
  <c r="BR24" i="8"/>
  <c r="BL24" i="8"/>
  <c r="BH24" i="8"/>
  <c r="BD24" i="8"/>
  <c r="BV23" i="8"/>
  <c r="BR23" i="8"/>
  <c r="BL23" i="8"/>
  <c r="BH23" i="8"/>
  <c r="BD23" i="8"/>
  <c r="BV22" i="8"/>
  <c r="BR22" i="8"/>
  <c r="BL22" i="8"/>
  <c r="BH22" i="8"/>
  <c r="BD22" i="8"/>
  <c r="BV21" i="8"/>
  <c r="BR21" i="8"/>
  <c r="BL21" i="8"/>
  <c r="BH21" i="8"/>
  <c r="BD21" i="8"/>
  <c r="BV20" i="8"/>
  <c r="BR20" i="8"/>
  <c r="BL20" i="8"/>
  <c r="BH20" i="8"/>
  <c r="BD20" i="8"/>
  <c r="BV19" i="8"/>
  <c r="BR19" i="8"/>
  <c r="BL19" i="8"/>
  <c r="BH19" i="8"/>
  <c r="BD19" i="8"/>
  <c r="BV18" i="8"/>
  <c r="BR18" i="8"/>
  <c r="BL18" i="8"/>
  <c r="BH18" i="8"/>
  <c r="BD18" i="8"/>
  <c r="BV17" i="8"/>
  <c r="BR17" i="8"/>
  <c r="BL17" i="8"/>
  <c r="BH17" i="8"/>
  <c r="BD17" i="8"/>
  <c r="BV16" i="8"/>
  <c r="BR16" i="8"/>
  <c r="BL16" i="8"/>
  <c r="BH16" i="8"/>
  <c r="BD16" i="8"/>
  <c r="BV15" i="8"/>
  <c r="BR15" i="8"/>
  <c r="BL15" i="8"/>
  <c r="BH15" i="8"/>
  <c r="BD15" i="8"/>
  <c r="BV14" i="8"/>
  <c r="BR14" i="8"/>
  <c r="BL14" i="8"/>
  <c r="BH14" i="8"/>
  <c r="BD14" i="8"/>
  <c r="BV13" i="8"/>
  <c r="BR13" i="8"/>
  <c r="BL13" i="8"/>
  <c r="BH13" i="8"/>
  <c r="BD13" i="8"/>
  <c r="BV12" i="8"/>
  <c r="BR12" i="8"/>
  <c r="BL12" i="8"/>
  <c r="BH12" i="8"/>
  <c r="BD12" i="8"/>
  <c r="BV11" i="8"/>
  <c r="BR11" i="8"/>
  <c r="BL11" i="8"/>
  <c r="BH11" i="8"/>
  <c r="BD11" i="8"/>
  <c r="BV10" i="8"/>
  <c r="BR10" i="8"/>
  <c r="BL10" i="8"/>
  <c r="BH10" i="8"/>
  <c r="BD10" i="8"/>
  <c r="BV9" i="8"/>
  <c r="BR9" i="8"/>
  <c r="BL9" i="8"/>
  <c r="BH9" i="8"/>
  <c r="BD9" i="8"/>
  <c r="BV8" i="8"/>
  <c r="BR8" i="8"/>
  <c r="BL8" i="8"/>
  <c r="BH8" i="8"/>
  <c r="BD8" i="8"/>
  <c r="BV7" i="8"/>
  <c r="BR7" i="8"/>
  <c r="BL7" i="8"/>
  <c r="BH7" i="8"/>
  <c r="BD7" i="8"/>
  <c r="BV6" i="8"/>
  <c r="BR6" i="8"/>
  <c r="BL6" i="8"/>
  <c r="BH6" i="8"/>
  <c r="BD6" i="8"/>
  <c r="BX5" i="8"/>
  <c r="BT5" i="8"/>
  <c r="BP5" i="8"/>
  <c r="BJ5" i="8"/>
  <c r="BF5" i="8"/>
  <c r="BB5" i="8"/>
  <c r="BW4" i="8"/>
  <c r="BS4" i="8"/>
  <c r="BO4" i="8"/>
  <c r="BI4" i="8"/>
  <c r="BE4" i="8"/>
  <c r="BL27" i="8"/>
  <c r="BC27" i="8"/>
  <c r="BY26" i="8"/>
  <c r="BU26" i="8"/>
  <c r="BQ26" i="8"/>
  <c r="BK26" i="8"/>
  <c r="BG26" i="8"/>
  <c r="BC26" i="8"/>
  <c r="BY25" i="8"/>
  <c r="BU25" i="8"/>
  <c r="BQ25" i="8"/>
  <c r="BK25" i="8"/>
  <c r="BG25" i="8"/>
  <c r="BC25" i="8"/>
  <c r="BY24" i="8"/>
  <c r="BU24" i="8"/>
  <c r="BQ24" i="8"/>
  <c r="BK24" i="8"/>
  <c r="BG24" i="8"/>
  <c r="BC24" i="8"/>
  <c r="BY23" i="8"/>
  <c r="BU23" i="8"/>
  <c r="BQ23" i="8"/>
  <c r="BK23" i="8"/>
  <c r="BG23" i="8"/>
  <c r="BC23" i="8"/>
  <c r="BY22" i="8"/>
  <c r="BU22" i="8"/>
  <c r="BQ22" i="8"/>
  <c r="BK22" i="8"/>
  <c r="BG22" i="8"/>
  <c r="BC22" i="8"/>
  <c r="BY21" i="8"/>
  <c r="BU21" i="8"/>
  <c r="BQ21" i="8"/>
  <c r="BK21" i="8"/>
  <c r="BG21" i="8"/>
  <c r="BC21" i="8"/>
  <c r="BY20" i="8"/>
  <c r="BU20" i="8"/>
  <c r="BQ20" i="8"/>
  <c r="BK20" i="8"/>
  <c r="BG20" i="8"/>
  <c r="BC20" i="8"/>
  <c r="BY19" i="8"/>
  <c r="BU19" i="8"/>
  <c r="BQ19" i="8"/>
  <c r="BK19" i="8"/>
  <c r="BG19" i="8"/>
  <c r="BC19" i="8"/>
  <c r="BY18" i="8"/>
  <c r="BU18" i="8"/>
  <c r="BQ18" i="8"/>
  <c r="BK18" i="8"/>
  <c r="BG18" i="8"/>
  <c r="BC18" i="8"/>
  <c r="BY17" i="8"/>
  <c r="BU17" i="8"/>
  <c r="BQ17" i="8"/>
  <c r="BK17" i="8"/>
  <c r="BG17" i="8"/>
  <c r="BC17" i="8"/>
  <c r="BY16" i="8"/>
  <c r="BU16" i="8"/>
  <c r="BQ16" i="8"/>
  <c r="BK16" i="8"/>
  <c r="BG16" i="8"/>
  <c r="BC16" i="8"/>
  <c r="BY15" i="8"/>
  <c r="BU15" i="8"/>
  <c r="BQ15" i="8"/>
  <c r="BK15" i="8"/>
  <c r="BG15" i="8"/>
  <c r="BC15" i="8"/>
  <c r="BY14" i="8"/>
  <c r="BU14" i="8"/>
  <c r="BQ14" i="8"/>
  <c r="BK14" i="8"/>
  <c r="BG14" i="8"/>
  <c r="BC14" i="8"/>
  <c r="BY13" i="8"/>
  <c r="BU13" i="8"/>
  <c r="BQ13" i="8"/>
  <c r="BK13" i="8"/>
  <c r="BG13" i="8"/>
  <c r="BC13" i="8"/>
  <c r="BY12" i="8"/>
  <c r="BU12" i="8"/>
  <c r="BQ12" i="8"/>
  <c r="BK12" i="8"/>
  <c r="BG12" i="8"/>
  <c r="BC12" i="8"/>
  <c r="BY11" i="8"/>
  <c r="BU11" i="8"/>
  <c r="BQ11" i="8"/>
  <c r="BK11" i="8"/>
  <c r="BG11" i="8"/>
  <c r="BC11" i="8"/>
  <c r="BY10" i="8"/>
  <c r="BU10" i="8"/>
  <c r="BQ10" i="8"/>
  <c r="BK10" i="8"/>
  <c r="BG10" i="8"/>
  <c r="BC10" i="8"/>
  <c r="BY9" i="8"/>
  <c r="BU9" i="8"/>
  <c r="BQ9" i="8"/>
  <c r="BK9" i="8"/>
  <c r="BG9" i="8"/>
  <c r="BC9" i="8"/>
  <c r="BY8" i="8"/>
  <c r="BU8" i="8"/>
  <c r="BQ8" i="8"/>
  <c r="BK8" i="8"/>
  <c r="BG8" i="8"/>
  <c r="BC8" i="8"/>
  <c r="BY7" i="8"/>
  <c r="BU7" i="8"/>
  <c r="BQ7" i="8"/>
  <c r="BK7" i="8"/>
  <c r="BG7" i="8"/>
  <c r="BC7" i="8"/>
  <c r="BY6" i="8"/>
  <c r="BU6" i="8"/>
  <c r="BQ6" i="8"/>
  <c r="BK6" i="8"/>
  <c r="BG6" i="8"/>
  <c r="BC6" i="8"/>
  <c r="BW5" i="8"/>
  <c r="BS5" i="8"/>
  <c r="BO5" i="8"/>
  <c r="BI5" i="8"/>
  <c r="BE5" i="8"/>
  <c r="BV4" i="8"/>
  <c r="BR4" i="8"/>
  <c r="BL4" i="8"/>
  <c r="BH4" i="8"/>
  <c r="BD4" i="8"/>
  <c r="BH27" i="8"/>
  <c r="BB27" i="8"/>
  <c r="BX26" i="8"/>
  <c r="BT26" i="8"/>
  <c r="BP26" i="8"/>
  <c r="BJ26" i="8"/>
  <c r="BF26" i="8"/>
  <c r="BB26" i="8"/>
  <c r="BX25" i="8"/>
  <c r="BT25" i="8"/>
  <c r="BP25" i="8"/>
  <c r="BJ25" i="8"/>
  <c r="BF25" i="8"/>
  <c r="BB25" i="8"/>
  <c r="BX24" i="8"/>
  <c r="BT24" i="8"/>
  <c r="BP24" i="8"/>
  <c r="BJ24" i="8"/>
  <c r="BF24" i="8"/>
  <c r="BB24" i="8"/>
  <c r="BX23" i="8"/>
  <c r="BT23" i="8"/>
  <c r="BP23" i="8"/>
  <c r="BJ23" i="8"/>
  <c r="BF23" i="8"/>
  <c r="BB23" i="8"/>
  <c r="BX22" i="8"/>
  <c r="BT22" i="8"/>
  <c r="BP22" i="8"/>
  <c r="BJ22" i="8"/>
  <c r="BF22" i="8"/>
  <c r="BB22" i="8"/>
  <c r="BX21" i="8"/>
  <c r="BT21" i="8"/>
  <c r="BP21" i="8"/>
  <c r="BJ21" i="8"/>
  <c r="BF21" i="8"/>
  <c r="BB21" i="8"/>
  <c r="BX20" i="8"/>
  <c r="BT20" i="8"/>
  <c r="BP20" i="8"/>
  <c r="BJ20" i="8"/>
  <c r="BF20" i="8"/>
  <c r="BB20" i="8"/>
  <c r="BX19" i="8"/>
  <c r="BT19" i="8"/>
  <c r="BP19" i="8"/>
  <c r="BJ19" i="8"/>
  <c r="BF19" i="8"/>
  <c r="BB19" i="8"/>
  <c r="BX18" i="8"/>
  <c r="BT18" i="8"/>
  <c r="BP18" i="8"/>
  <c r="BJ18" i="8"/>
  <c r="BF18" i="8"/>
  <c r="BB18" i="8"/>
  <c r="BX17" i="8"/>
  <c r="BT17" i="8"/>
  <c r="BP17" i="8"/>
  <c r="BJ17" i="8"/>
  <c r="BF17" i="8"/>
  <c r="BB17" i="8"/>
  <c r="BX16" i="8"/>
  <c r="BT16" i="8"/>
  <c r="BP16" i="8"/>
  <c r="BJ16" i="8"/>
  <c r="BF16" i="8"/>
  <c r="BB16" i="8"/>
  <c r="BX15" i="8"/>
  <c r="BT15" i="8"/>
  <c r="BP15" i="8"/>
  <c r="BJ15" i="8"/>
  <c r="BF15" i="8"/>
  <c r="BB15" i="8"/>
  <c r="BX14" i="8"/>
  <c r="BT14" i="8"/>
  <c r="BP14" i="8"/>
  <c r="BJ14" i="8"/>
  <c r="BF14" i="8"/>
  <c r="BB14" i="8"/>
  <c r="BX13" i="8"/>
  <c r="BT13" i="8"/>
  <c r="BP13" i="8"/>
  <c r="BJ13" i="8"/>
  <c r="BF13" i="8"/>
  <c r="BB13" i="8"/>
  <c r="BX12" i="8"/>
  <c r="BT12" i="8"/>
  <c r="BP12" i="8"/>
  <c r="BJ12" i="8"/>
  <c r="BF12" i="8"/>
  <c r="BB12" i="8"/>
  <c r="BX11" i="8"/>
  <c r="BT11" i="8"/>
  <c r="BP11" i="8"/>
  <c r="BJ11" i="8"/>
  <c r="BF11" i="8"/>
  <c r="BB11" i="8"/>
  <c r="BX10" i="8"/>
  <c r="BT10" i="8"/>
  <c r="BP10" i="8"/>
  <c r="BJ10" i="8"/>
  <c r="BF10" i="8"/>
  <c r="BB10" i="8"/>
  <c r="BX9" i="8"/>
  <c r="BT9" i="8"/>
  <c r="BP9" i="8"/>
  <c r="BJ9" i="8"/>
  <c r="BF9" i="8"/>
  <c r="BB9" i="8"/>
  <c r="BX8" i="8"/>
  <c r="BT8" i="8"/>
  <c r="BP8" i="8"/>
  <c r="BJ8" i="8"/>
  <c r="BF8" i="8"/>
  <c r="BB8" i="8"/>
  <c r="BX7" i="8"/>
  <c r="BT7" i="8"/>
  <c r="BP7" i="8"/>
  <c r="BJ7" i="8"/>
  <c r="BF7" i="8"/>
  <c r="BB7" i="8"/>
  <c r="BX6" i="8"/>
  <c r="BT6" i="8"/>
  <c r="BP6" i="8"/>
  <c r="BJ6" i="8"/>
  <c r="BF6" i="8"/>
  <c r="BB6" i="8"/>
  <c r="BV5" i="8"/>
  <c r="BR5" i="8"/>
  <c r="BL5" i="8"/>
  <c r="BH5" i="8"/>
  <c r="BD5" i="8"/>
  <c r="BY4" i="8"/>
  <c r="BU4" i="8"/>
  <c r="BQ4" i="8"/>
  <c r="BK4" i="8"/>
  <c r="BG4" i="8"/>
  <c r="BC4" i="8"/>
  <c r="O51" i="7"/>
  <c r="O49" i="7"/>
  <c r="O47" i="7"/>
  <c r="O45" i="7"/>
  <c r="O43" i="7"/>
  <c r="O41" i="7"/>
  <c r="O39" i="7"/>
  <c r="O37" i="7"/>
  <c r="O35" i="7"/>
  <c r="O33" i="7"/>
  <c r="O31" i="7"/>
  <c r="O29" i="7"/>
  <c r="O27" i="7"/>
  <c r="O25" i="7"/>
  <c r="O23" i="7"/>
  <c r="O21" i="7"/>
  <c r="O19" i="7"/>
  <c r="O17" i="7"/>
  <c r="O15" i="7"/>
  <c r="O13" i="7"/>
  <c r="O11" i="7"/>
  <c r="O9" i="7"/>
  <c r="O7" i="7"/>
  <c r="O5" i="7"/>
  <c r="O50" i="7"/>
  <c r="D8" i="5"/>
  <c r="D9" i="5" s="1"/>
  <c r="D6" i="5" s="1"/>
  <c r="AF1" i="9" s="1"/>
  <c r="D8" i="3"/>
  <c r="D9" i="3" s="1"/>
  <c r="D6" i="3" s="1"/>
  <c r="AF1" i="11" s="1"/>
  <c r="D8" i="6"/>
  <c r="D9" i="6" s="1"/>
  <c r="D6" i="6" s="1"/>
  <c r="AF1" i="12" s="1"/>
  <c r="D8" i="4"/>
  <c r="D9" i="4" s="1"/>
  <c r="D6" i="4" s="1"/>
  <c r="AF1" i="10" s="1"/>
  <c r="K158" i="2"/>
  <c r="O2" i="7"/>
  <c r="O3" i="7"/>
  <c r="P4" i="7"/>
  <c r="P6" i="7"/>
  <c r="P8" i="7"/>
  <c r="P10" i="7"/>
  <c r="P12" i="7"/>
  <c r="P14" i="7"/>
  <c r="P16" i="7"/>
  <c r="P18" i="7"/>
  <c r="P20" i="7"/>
  <c r="P22" i="7"/>
  <c r="P24" i="7"/>
  <c r="P26" i="7"/>
  <c r="P28" i="7"/>
  <c r="P30" i="7"/>
  <c r="P32" i="7"/>
  <c r="P34" i="7"/>
  <c r="P36" i="7"/>
  <c r="P38" i="7"/>
  <c r="P40" i="7"/>
  <c r="P42" i="7"/>
  <c r="P44" i="7"/>
  <c r="P46" i="7"/>
  <c r="P48" i="7"/>
  <c r="P50" i="7"/>
  <c r="J156" i="2"/>
  <c r="H158" i="2"/>
  <c r="I158" i="2" s="1"/>
  <c r="J160" i="2"/>
  <c r="P2" i="7"/>
  <c r="P3" i="7"/>
  <c r="BE42" i="12"/>
  <c r="BA42" i="12"/>
  <c r="AW42" i="12"/>
  <c r="AS42" i="12"/>
  <c r="BE41" i="12"/>
  <c r="BA41" i="12"/>
  <c r="AW41" i="12"/>
  <c r="AS41" i="12"/>
  <c r="BE40" i="12"/>
  <c r="BA40" i="12"/>
  <c r="AW40" i="12"/>
  <c r="AS40" i="12"/>
  <c r="BE39" i="12"/>
  <c r="BA39" i="12"/>
  <c r="AW39" i="12"/>
  <c r="AS39" i="12"/>
  <c r="BE38" i="12"/>
  <c r="BA38" i="12"/>
  <c r="AW38" i="12"/>
  <c r="AS38" i="12"/>
  <c r="BE37" i="12"/>
  <c r="BA37" i="12"/>
  <c r="AW37" i="12"/>
  <c r="AS37" i="12"/>
  <c r="BE36" i="12"/>
  <c r="BA36" i="12"/>
  <c r="AW36" i="12"/>
  <c r="AS36" i="12"/>
  <c r="BD42" i="12"/>
  <c r="AZ42" i="12"/>
  <c r="AV42" i="12"/>
  <c r="AR42" i="12"/>
  <c r="BD41" i="12"/>
  <c r="AZ41" i="12"/>
  <c r="AV41" i="12"/>
  <c r="AR41" i="12"/>
  <c r="BD40" i="12"/>
  <c r="AZ40" i="12"/>
  <c r="AV40" i="12"/>
  <c r="AR40" i="12"/>
  <c r="BD39" i="12"/>
  <c r="AZ39" i="12"/>
  <c r="AV39" i="12"/>
  <c r="AR39" i="12"/>
  <c r="BD38" i="12"/>
  <c r="AZ38" i="12"/>
  <c r="AV38" i="12"/>
  <c r="AR38" i="12"/>
  <c r="BD37" i="12"/>
  <c r="AZ37" i="12"/>
  <c r="AV37" i="12"/>
  <c r="AR37" i="12"/>
  <c r="BD36" i="12"/>
  <c r="AZ36" i="12"/>
  <c r="AV36" i="12"/>
  <c r="AR36" i="12"/>
  <c r="BC42" i="12"/>
  <c r="AY42" i="12"/>
  <c r="AU42" i="12"/>
  <c r="BC41" i="12"/>
  <c r="AY41" i="12"/>
  <c r="AU41" i="12"/>
  <c r="BC40" i="12"/>
  <c r="AY40" i="12"/>
  <c r="AU40" i="12"/>
  <c r="BC39" i="12"/>
  <c r="AY39" i="12"/>
  <c r="AU39" i="12"/>
  <c r="BC38" i="12"/>
  <c r="AY38" i="12"/>
  <c r="AU38" i="12"/>
  <c r="BC37" i="12"/>
  <c r="AY37" i="12"/>
  <c r="AU37" i="12"/>
  <c r="BC36" i="12"/>
  <c r="AY36" i="12"/>
  <c r="AU36" i="12"/>
  <c r="BB42" i="12"/>
  <c r="AX42" i="12"/>
  <c r="AT42" i="12"/>
  <c r="BB41" i="12"/>
  <c r="AX41" i="12"/>
  <c r="AT41" i="12"/>
  <c r="BB40" i="12"/>
  <c r="AX40" i="12"/>
  <c r="AT40" i="12"/>
  <c r="BB39" i="12"/>
  <c r="AX39" i="12"/>
  <c r="AT39" i="12"/>
  <c r="BB38" i="12"/>
  <c r="AX38" i="12"/>
  <c r="AT38" i="12"/>
  <c r="BB37" i="12"/>
  <c r="AX37" i="12"/>
  <c r="AT37" i="12"/>
  <c r="BB36" i="12"/>
  <c r="AX36" i="12"/>
  <c r="AT36" i="12"/>
  <c r="BB42" i="11"/>
  <c r="BE42" i="11"/>
  <c r="BA42" i="11"/>
  <c r="AW42" i="11"/>
  <c r="BD42" i="11"/>
  <c r="AZ42" i="11"/>
  <c r="BC42" i="11"/>
  <c r="AY42" i="11"/>
  <c r="AT42" i="11"/>
  <c r="BB41" i="11"/>
  <c r="AX41" i="11"/>
  <c r="AT41" i="11"/>
  <c r="BB40" i="11"/>
  <c r="AX40" i="11"/>
  <c r="AT40" i="11"/>
  <c r="BB39" i="11"/>
  <c r="AX39" i="11"/>
  <c r="AT39" i="11"/>
  <c r="BB38" i="11"/>
  <c r="AX38" i="11"/>
  <c r="AT38" i="11"/>
  <c r="BB37" i="11"/>
  <c r="AX37" i="11"/>
  <c r="AT37" i="11"/>
  <c r="BB36" i="11"/>
  <c r="AX36" i="11"/>
  <c r="AT36" i="11"/>
  <c r="AX42" i="11"/>
  <c r="AS42" i="11"/>
  <c r="BE41" i="11"/>
  <c r="BA41" i="11"/>
  <c r="AW41" i="11"/>
  <c r="AS41" i="11"/>
  <c r="BE40" i="11"/>
  <c r="BA40" i="11"/>
  <c r="AW40" i="11"/>
  <c r="AS40" i="11"/>
  <c r="BE39" i="11"/>
  <c r="BA39" i="11"/>
  <c r="AW39" i="11"/>
  <c r="AS39" i="11"/>
  <c r="BE38" i="11"/>
  <c r="BA38" i="11"/>
  <c r="AW38" i="11"/>
  <c r="AS38" i="11"/>
  <c r="BE37" i="11"/>
  <c r="BA37" i="11"/>
  <c r="AW37" i="11"/>
  <c r="AS37" i="11"/>
  <c r="BE36" i="11"/>
  <c r="BA36" i="11"/>
  <c r="AW36" i="11"/>
  <c r="AS36" i="11"/>
  <c r="AV42" i="11"/>
  <c r="AR42" i="11"/>
  <c r="BD41" i="11"/>
  <c r="AZ41" i="11"/>
  <c r="AV41" i="11"/>
  <c r="AR41" i="11"/>
  <c r="BD40" i="11"/>
  <c r="AZ40" i="11"/>
  <c r="AV40" i="11"/>
  <c r="AR40" i="11"/>
  <c r="BD39" i="11"/>
  <c r="AZ39" i="11"/>
  <c r="AV39" i="11"/>
  <c r="AR39" i="11"/>
  <c r="BD38" i="11"/>
  <c r="AZ38" i="11"/>
  <c r="AV38" i="11"/>
  <c r="AR38" i="11"/>
  <c r="BD37" i="11"/>
  <c r="AZ37" i="11"/>
  <c r="AV37" i="11"/>
  <c r="AR37" i="11"/>
  <c r="BD36" i="11"/>
  <c r="AZ36" i="11"/>
  <c r="AV36" i="11"/>
  <c r="AR36" i="11"/>
  <c r="AU42" i="11"/>
  <c r="BC41" i="11"/>
  <c r="AY41" i="11"/>
  <c r="AU41" i="11"/>
  <c r="BC40" i="11"/>
  <c r="AY40" i="11"/>
  <c r="AU40" i="11"/>
  <c r="BC39" i="11"/>
  <c r="AY39" i="11"/>
  <c r="AU39" i="11"/>
  <c r="BC38" i="11"/>
  <c r="AY38" i="11"/>
  <c r="AU38" i="11"/>
  <c r="BC37" i="11"/>
  <c r="AY37" i="11"/>
  <c r="AU37" i="11"/>
  <c r="BC36" i="11"/>
  <c r="AY36" i="11"/>
  <c r="AU36" i="11"/>
  <c r="BE42" i="10"/>
  <c r="BA42" i="10"/>
  <c r="AW42" i="10"/>
  <c r="AS42" i="10"/>
  <c r="BE41" i="10"/>
  <c r="BA41" i="10"/>
  <c r="AW41" i="10"/>
  <c r="AS41" i="10"/>
  <c r="BE40" i="10"/>
  <c r="BA40" i="10"/>
  <c r="AW40" i="10"/>
  <c r="AS40" i="10"/>
  <c r="BE39" i="10"/>
  <c r="BA39" i="10"/>
  <c r="AW39" i="10"/>
  <c r="AS39" i="10"/>
  <c r="BE38" i="10"/>
  <c r="BA38" i="10"/>
  <c r="AW38" i="10"/>
  <c r="AS38" i="10"/>
  <c r="BE37" i="10"/>
  <c r="BA37" i="10"/>
  <c r="AW37" i="10"/>
  <c r="AS37" i="10"/>
  <c r="BE36" i="10"/>
  <c r="BA36" i="10"/>
  <c r="AW36" i="10"/>
  <c r="AS36" i="10"/>
  <c r="BD42" i="10"/>
  <c r="AZ42" i="10"/>
  <c r="AV42" i="10"/>
  <c r="AR42" i="10"/>
  <c r="BD41" i="10"/>
  <c r="AZ41" i="10"/>
  <c r="AV41" i="10"/>
  <c r="AR41" i="10"/>
  <c r="BD40" i="10"/>
  <c r="AZ40" i="10"/>
  <c r="AV40" i="10"/>
  <c r="AR40" i="10"/>
  <c r="BD39" i="10"/>
  <c r="AZ39" i="10"/>
  <c r="AV39" i="10"/>
  <c r="AR39" i="10"/>
  <c r="BD38" i="10"/>
  <c r="AZ38" i="10"/>
  <c r="AV38" i="10"/>
  <c r="AR38" i="10"/>
  <c r="BD37" i="10"/>
  <c r="AZ37" i="10"/>
  <c r="AV37" i="10"/>
  <c r="AR37" i="10"/>
  <c r="BD36" i="10"/>
  <c r="AZ36" i="10"/>
  <c r="AV36" i="10"/>
  <c r="AR36" i="10"/>
  <c r="BC42" i="10"/>
  <c r="AY42" i="10"/>
  <c r="AU42" i="10"/>
  <c r="BC41" i="10"/>
  <c r="AY41" i="10"/>
  <c r="AU41" i="10"/>
  <c r="BC40" i="10"/>
  <c r="AY40" i="10"/>
  <c r="AU40" i="10"/>
  <c r="BC39" i="10"/>
  <c r="AY39" i="10"/>
  <c r="AU39" i="10"/>
  <c r="BC38" i="10"/>
  <c r="AY38" i="10"/>
  <c r="AU38" i="10"/>
  <c r="BC37" i="10"/>
  <c r="AY37" i="10"/>
  <c r="AU37" i="10"/>
  <c r="BC36" i="10"/>
  <c r="AY36" i="10"/>
  <c r="AU36" i="10"/>
  <c r="BB42" i="10"/>
  <c r="AX42" i="10"/>
  <c r="AT42" i="10"/>
  <c r="BB41" i="10"/>
  <c r="AX41" i="10"/>
  <c r="AT41" i="10"/>
  <c r="BB40" i="10"/>
  <c r="AX40" i="10"/>
  <c r="AT40" i="10"/>
  <c r="BB39" i="10"/>
  <c r="AX39" i="10"/>
  <c r="AT39" i="10"/>
  <c r="BB38" i="10"/>
  <c r="AX38" i="10"/>
  <c r="AT38" i="10"/>
  <c r="BB37" i="10"/>
  <c r="AX37" i="10"/>
  <c r="AT37" i="10"/>
  <c r="BB36" i="10"/>
  <c r="AX36" i="10"/>
  <c r="AT36" i="10"/>
  <c r="BB42" i="9"/>
  <c r="AX42" i="9"/>
  <c r="AT42" i="9"/>
  <c r="BE42" i="9"/>
  <c r="BA42" i="9"/>
  <c r="AW42" i="9"/>
  <c r="AS42" i="9"/>
  <c r="BD42" i="9"/>
  <c r="AZ42" i="9"/>
  <c r="AV42" i="9"/>
  <c r="AR42" i="9"/>
  <c r="BC42" i="9"/>
  <c r="AY42" i="9"/>
  <c r="AU42" i="9"/>
  <c r="BC41" i="9"/>
  <c r="AY41" i="9"/>
  <c r="AU41" i="9"/>
  <c r="BC40" i="9"/>
  <c r="AY40" i="9"/>
  <c r="AU40" i="9"/>
  <c r="BC39" i="9"/>
  <c r="AY39" i="9"/>
  <c r="AU39" i="9"/>
  <c r="BC38" i="9"/>
  <c r="AY38" i="9"/>
  <c r="AU38" i="9"/>
  <c r="BC37" i="9"/>
  <c r="AY37" i="9"/>
  <c r="AU37" i="9"/>
  <c r="BC36" i="9"/>
  <c r="AY36" i="9"/>
  <c r="AU36" i="9"/>
  <c r="BX43" i="8"/>
  <c r="BT43" i="8"/>
  <c r="BP43" i="8"/>
  <c r="BV42" i="8"/>
  <c r="BR42" i="8"/>
  <c r="BX41" i="8"/>
  <c r="BT41" i="8"/>
  <c r="BP41" i="8"/>
  <c r="BV40" i="8"/>
  <c r="BR40" i="8"/>
  <c r="BX39" i="8"/>
  <c r="BT39" i="8"/>
  <c r="BP39" i="8"/>
  <c r="BV38" i="8"/>
  <c r="BR38" i="8"/>
  <c r="BX37" i="8"/>
  <c r="BT37" i="8"/>
  <c r="BP37" i="8"/>
  <c r="BB41" i="9"/>
  <c r="AX41" i="9"/>
  <c r="AT41" i="9"/>
  <c r="BB40" i="9"/>
  <c r="AX40" i="9"/>
  <c r="AT40" i="9"/>
  <c r="BB39" i="9"/>
  <c r="AX39" i="9"/>
  <c r="AT39" i="9"/>
  <c r="BB38" i="9"/>
  <c r="AX38" i="9"/>
  <c r="AT38" i="9"/>
  <c r="BB37" i="9"/>
  <c r="AX37" i="9"/>
  <c r="AT37" i="9"/>
  <c r="BB36" i="9"/>
  <c r="AX36" i="9"/>
  <c r="AT36" i="9"/>
  <c r="BW43" i="8"/>
  <c r="BS43" i="8"/>
  <c r="BO43" i="8"/>
  <c r="BY42" i="8"/>
  <c r="BU42" i="8"/>
  <c r="BQ42" i="8"/>
  <c r="BW41" i="8"/>
  <c r="BS41" i="8"/>
  <c r="BO41" i="8"/>
  <c r="BY40" i="8"/>
  <c r="BU40" i="8"/>
  <c r="BQ40" i="8"/>
  <c r="BW39" i="8"/>
  <c r="BS39" i="8"/>
  <c r="BO39" i="8"/>
  <c r="BY38" i="8"/>
  <c r="BU38" i="8"/>
  <c r="BQ38" i="8"/>
  <c r="BW37" i="8"/>
  <c r="BS37" i="8"/>
  <c r="BO37" i="8"/>
  <c r="BE41" i="9"/>
  <c r="BA41" i="9"/>
  <c r="AW41" i="9"/>
  <c r="AS41" i="9"/>
  <c r="BE40" i="9"/>
  <c r="BA40" i="9"/>
  <c r="AW40" i="9"/>
  <c r="AS40" i="9"/>
  <c r="BE39" i="9"/>
  <c r="BA39" i="9"/>
  <c r="AW39" i="9"/>
  <c r="AS39" i="9"/>
  <c r="BE38" i="9"/>
  <c r="BA38" i="9"/>
  <c r="AW38" i="9"/>
  <c r="AS38" i="9"/>
  <c r="BE37" i="9"/>
  <c r="BA37" i="9"/>
  <c r="AW37" i="9"/>
  <c r="AS37" i="9"/>
  <c r="BE36" i="9"/>
  <c r="BA36" i="9"/>
  <c r="AW36" i="9"/>
  <c r="AS36" i="9"/>
  <c r="BV43" i="8"/>
  <c r="BR43" i="8"/>
  <c r="BX42" i="8"/>
  <c r="BT42" i="8"/>
  <c r="BP42" i="8"/>
  <c r="BV41" i="8"/>
  <c r="BR41" i="8"/>
  <c r="BX40" i="8"/>
  <c r="BT40" i="8"/>
  <c r="BP40" i="8"/>
  <c r="BV39" i="8"/>
  <c r="BR39" i="8"/>
  <c r="BX38" i="8"/>
  <c r="BT38" i="8"/>
  <c r="BP38" i="8"/>
  <c r="BV37" i="8"/>
  <c r="BR37" i="8"/>
  <c r="BD41" i="9"/>
  <c r="AZ41" i="9"/>
  <c r="AV41" i="9"/>
  <c r="AR41" i="9"/>
  <c r="BD40" i="9"/>
  <c r="AZ40" i="9"/>
  <c r="AV40" i="9"/>
  <c r="AR40" i="9"/>
  <c r="BD39" i="9"/>
  <c r="AZ39" i="9"/>
  <c r="AV39" i="9"/>
  <c r="AR39" i="9"/>
  <c r="BD38" i="9"/>
  <c r="AZ38" i="9"/>
  <c r="AV38" i="9"/>
  <c r="AR38" i="9"/>
  <c r="BD37" i="9"/>
  <c r="AZ37" i="9"/>
  <c r="AV37" i="9"/>
  <c r="AR37" i="9"/>
  <c r="BD36" i="9"/>
  <c r="AZ36" i="9"/>
  <c r="AV36" i="9"/>
  <c r="AR36" i="9"/>
  <c r="BY43" i="8"/>
  <c r="BU43" i="8"/>
  <c r="BQ43" i="8"/>
  <c r="BW42" i="8"/>
  <c r="BS42" i="8"/>
  <c r="BO42" i="8"/>
  <c r="BY41" i="8"/>
  <c r="BU41" i="8"/>
  <c r="BQ41" i="8"/>
  <c r="BW40" i="8"/>
  <c r="BS40" i="8"/>
  <c r="BO40" i="8"/>
  <c r="BY39" i="8"/>
  <c r="BU39" i="8"/>
  <c r="BQ39" i="8"/>
  <c r="BW38" i="8"/>
  <c r="BS38" i="8"/>
  <c r="BO38" i="8"/>
  <c r="BY37" i="8"/>
  <c r="BU37" i="8"/>
  <c r="BQ37" i="8"/>
  <c r="K156" i="2"/>
  <c r="K160" i="2"/>
  <c r="P5" i="7"/>
  <c r="P7" i="7"/>
  <c r="P9" i="7"/>
  <c r="P11" i="7"/>
  <c r="P13" i="7"/>
  <c r="P15" i="7"/>
  <c r="P17" i="7"/>
  <c r="P19" i="7"/>
  <c r="P21" i="7"/>
  <c r="P23" i="7"/>
  <c r="P25" i="7"/>
  <c r="P27" i="7"/>
  <c r="P29" i="7"/>
  <c r="P31" i="7"/>
  <c r="P33" i="7"/>
  <c r="P35" i="7"/>
  <c r="P37" i="7"/>
  <c r="P39" i="7"/>
  <c r="P41" i="7"/>
  <c r="P43" i="7"/>
  <c r="P45" i="7"/>
  <c r="P47" i="7"/>
  <c r="P49" i="7"/>
  <c r="AM42" i="12"/>
  <c r="AI42" i="12"/>
  <c r="AE42" i="12"/>
  <c r="AM41" i="12"/>
  <c r="AI41" i="12"/>
  <c r="AE41" i="12"/>
  <c r="AM40" i="12"/>
  <c r="AI40" i="12"/>
  <c r="AE40" i="12"/>
  <c r="AM39" i="12"/>
  <c r="AI39" i="12"/>
  <c r="AE39" i="12"/>
  <c r="AM38" i="12"/>
  <c r="AI38" i="12"/>
  <c r="AE38" i="12"/>
  <c r="AM37" i="12"/>
  <c r="AI37" i="12"/>
  <c r="AE37" i="12"/>
  <c r="AM36" i="12"/>
  <c r="AI36" i="12"/>
  <c r="AE36" i="12"/>
  <c r="AL42" i="12"/>
  <c r="AH42" i="12"/>
  <c r="AD42" i="12"/>
  <c r="AL41" i="12"/>
  <c r="AH41" i="12"/>
  <c r="AD41" i="12"/>
  <c r="AL40" i="12"/>
  <c r="AH40" i="12"/>
  <c r="AD40" i="12"/>
  <c r="AL39" i="12"/>
  <c r="AH39" i="12"/>
  <c r="AD39" i="12"/>
  <c r="AL38" i="12"/>
  <c r="AH38" i="12"/>
  <c r="AD38" i="12"/>
  <c r="AL37" i="12"/>
  <c r="AH37" i="12"/>
  <c r="AD37" i="12"/>
  <c r="AL36" i="12"/>
  <c r="AH36" i="12"/>
  <c r="AD36" i="12"/>
  <c r="AO42" i="12"/>
  <c r="AK42" i="12"/>
  <c r="AG42" i="12"/>
  <c r="AC42" i="12"/>
  <c r="AO41" i="12"/>
  <c r="AK41" i="12"/>
  <c r="AG41" i="12"/>
  <c r="AC41" i="12"/>
  <c r="AO40" i="12"/>
  <c r="AK40" i="12"/>
  <c r="AG40" i="12"/>
  <c r="AC40" i="12"/>
  <c r="AO39" i="12"/>
  <c r="AK39" i="12"/>
  <c r="AG39" i="12"/>
  <c r="AC39" i="12"/>
  <c r="AO38" i="12"/>
  <c r="AK38" i="12"/>
  <c r="AG38" i="12"/>
  <c r="AC38" i="12"/>
  <c r="AO37" i="12"/>
  <c r="AK37" i="12"/>
  <c r="AG37" i="12"/>
  <c r="AC37" i="12"/>
  <c r="AO36" i="12"/>
  <c r="AK36" i="12"/>
  <c r="AG36" i="12"/>
  <c r="AC36" i="12"/>
  <c r="AN42" i="12"/>
  <c r="AJ42" i="12"/>
  <c r="AF42" i="12"/>
  <c r="AB42" i="12"/>
  <c r="AN41" i="12"/>
  <c r="AJ41" i="12"/>
  <c r="AF41" i="12"/>
  <c r="AB41" i="12"/>
  <c r="AN40" i="12"/>
  <c r="AJ40" i="12"/>
  <c r="AF40" i="12"/>
  <c r="AB40" i="12"/>
  <c r="AN39" i="12"/>
  <c r="AJ39" i="12"/>
  <c r="AF39" i="12"/>
  <c r="AB39" i="12"/>
  <c r="AN38" i="12"/>
  <c r="AJ38" i="12"/>
  <c r="AF38" i="12"/>
  <c r="AB38" i="12"/>
  <c r="AN37" i="12"/>
  <c r="AJ37" i="12"/>
  <c r="AF37" i="12"/>
  <c r="AB37" i="12"/>
  <c r="AN36" i="12"/>
  <c r="AJ36" i="12"/>
  <c r="AF36" i="12"/>
  <c r="AB36" i="12"/>
  <c r="AN42" i="11"/>
  <c r="AJ42" i="11"/>
  <c r="AF42" i="11"/>
  <c r="AB42" i="11"/>
  <c r="AN41" i="11"/>
  <c r="AJ41" i="11"/>
  <c r="AF41" i="11"/>
  <c r="AB41" i="11"/>
  <c r="AN40" i="11"/>
  <c r="AJ40" i="11"/>
  <c r="AF40" i="11"/>
  <c r="AB40" i="11"/>
  <c r="AN39" i="11"/>
  <c r="AJ39" i="11"/>
  <c r="AF39" i="11"/>
  <c r="AB39" i="11"/>
  <c r="AN38" i="11"/>
  <c r="AJ38" i="11"/>
  <c r="AF38" i="11"/>
  <c r="AB38" i="11"/>
  <c r="AN37" i="11"/>
  <c r="AJ37" i="11"/>
  <c r="AF37" i="11"/>
  <c r="AB37" i="11"/>
  <c r="AN36" i="11"/>
  <c r="AJ36" i="11"/>
  <c r="AF36" i="11"/>
  <c r="AB36" i="11"/>
  <c r="AM42" i="11"/>
  <c r="AI42" i="11"/>
  <c r="AE42" i="11"/>
  <c r="AM41" i="11"/>
  <c r="AI41" i="11"/>
  <c r="AE41" i="11"/>
  <c r="AM40" i="11"/>
  <c r="AI40" i="11"/>
  <c r="AE40" i="11"/>
  <c r="AM39" i="11"/>
  <c r="AI39" i="11"/>
  <c r="AE39" i="11"/>
  <c r="AM38" i="11"/>
  <c r="AI38" i="11"/>
  <c r="AE38" i="11"/>
  <c r="AM37" i="11"/>
  <c r="AI37" i="11"/>
  <c r="AE37" i="11"/>
  <c r="AM36" i="11"/>
  <c r="AI36" i="11"/>
  <c r="AE36" i="11"/>
  <c r="AL42" i="11"/>
  <c r="AH42" i="11"/>
  <c r="AD42" i="11"/>
  <c r="AL41" i="11"/>
  <c r="AH41" i="11"/>
  <c r="AD41" i="11"/>
  <c r="AL40" i="11"/>
  <c r="AH40" i="11"/>
  <c r="AD40" i="11"/>
  <c r="AL39" i="11"/>
  <c r="AH39" i="11"/>
  <c r="AD39" i="11"/>
  <c r="AL38" i="11"/>
  <c r="AH38" i="11"/>
  <c r="AD38" i="11"/>
  <c r="AL37" i="11"/>
  <c r="AH37" i="11"/>
  <c r="AD37" i="11"/>
  <c r="AL36" i="11"/>
  <c r="AH36" i="11"/>
  <c r="AD36" i="11"/>
  <c r="AO42" i="11"/>
  <c r="AK42" i="11"/>
  <c r="AG42" i="11"/>
  <c r="AC42" i="11"/>
  <c r="AO41" i="11"/>
  <c r="AK41" i="11"/>
  <c r="AG41" i="11"/>
  <c r="AC41" i="11"/>
  <c r="AO40" i="11"/>
  <c r="AK40" i="11"/>
  <c r="AG40" i="11"/>
  <c r="AC40" i="11"/>
  <c r="AO39" i="11"/>
  <c r="AK39" i="11"/>
  <c r="AG39" i="11"/>
  <c r="AC39" i="11"/>
  <c r="AO38" i="11"/>
  <c r="AK38" i="11"/>
  <c r="AG38" i="11"/>
  <c r="AC38" i="11"/>
  <c r="AO37" i="11"/>
  <c r="AK37" i="11"/>
  <c r="AG37" i="11"/>
  <c r="AC37" i="11"/>
  <c r="AO36" i="11"/>
  <c r="AK36" i="11"/>
  <c r="AG36" i="11"/>
  <c r="AC36" i="11"/>
  <c r="AM42" i="10"/>
  <c r="AI42" i="10"/>
  <c r="AE42" i="10"/>
  <c r="AM41" i="10"/>
  <c r="AI41" i="10"/>
  <c r="AE41" i="10"/>
  <c r="AM40" i="10"/>
  <c r="AI40" i="10"/>
  <c r="AE40" i="10"/>
  <c r="AM39" i="10"/>
  <c r="AI39" i="10"/>
  <c r="AE39" i="10"/>
  <c r="AM38" i="10"/>
  <c r="AI38" i="10"/>
  <c r="AE38" i="10"/>
  <c r="AM37" i="10"/>
  <c r="AI37" i="10"/>
  <c r="AE37" i="10"/>
  <c r="AM36" i="10"/>
  <c r="AI36" i="10"/>
  <c r="AE36" i="10"/>
  <c r="AL42" i="10"/>
  <c r="AH42" i="10"/>
  <c r="AD42" i="10"/>
  <c r="AL41" i="10"/>
  <c r="AH41" i="10"/>
  <c r="AD41" i="10"/>
  <c r="AL40" i="10"/>
  <c r="AH40" i="10"/>
  <c r="AD40" i="10"/>
  <c r="AL39" i="10"/>
  <c r="AH39" i="10"/>
  <c r="AD39" i="10"/>
  <c r="AL38" i="10"/>
  <c r="AH38" i="10"/>
  <c r="AD38" i="10"/>
  <c r="AL37" i="10"/>
  <c r="AH37" i="10"/>
  <c r="AD37" i="10"/>
  <c r="AL36" i="10"/>
  <c r="AH36" i="10"/>
  <c r="AD36" i="10"/>
  <c r="AO42" i="10"/>
  <c r="AK42" i="10"/>
  <c r="AG42" i="10"/>
  <c r="AC42" i="10"/>
  <c r="AO41" i="10"/>
  <c r="AK41" i="10"/>
  <c r="AG41" i="10"/>
  <c r="AC41" i="10"/>
  <c r="AO40" i="10"/>
  <c r="AK40" i="10"/>
  <c r="AG40" i="10"/>
  <c r="AC40" i="10"/>
  <c r="AO39" i="10"/>
  <c r="AK39" i="10"/>
  <c r="AG39" i="10"/>
  <c r="AC39" i="10"/>
  <c r="AO38" i="10"/>
  <c r="AK38" i="10"/>
  <c r="AG38" i="10"/>
  <c r="AC38" i="10"/>
  <c r="AO37" i="10"/>
  <c r="AK37" i="10"/>
  <c r="AG37" i="10"/>
  <c r="AC37" i="10"/>
  <c r="AO36" i="10"/>
  <c r="AK36" i="10"/>
  <c r="AG36" i="10"/>
  <c r="AC36" i="10"/>
  <c r="AN42" i="10"/>
  <c r="AJ42" i="10"/>
  <c r="AF42" i="10"/>
  <c r="AB42" i="10"/>
  <c r="AN41" i="10"/>
  <c r="AJ41" i="10"/>
  <c r="AF41" i="10"/>
  <c r="AB41" i="10"/>
  <c r="AN40" i="10"/>
  <c r="AJ40" i="10"/>
  <c r="AF40" i="10"/>
  <c r="AB40" i="10"/>
  <c r="AN39" i="10"/>
  <c r="AJ39" i="10"/>
  <c r="AF39" i="10"/>
  <c r="AB39" i="10"/>
  <c r="AN38" i="10"/>
  <c r="AJ38" i="10"/>
  <c r="AF38" i="10"/>
  <c r="AB38" i="10"/>
  <c r="AN37" i="10"/>
  <c r="AJ37" i="10"/>
  <c r="AF37" i="10"/>
  <c r="AB37" i="10"/>
  <c r="AN36" i="10"/>
  <c r="AJ36" i="10"/>
  <c r="AF36" i="10"/>
  <c r="AB36" i="10"/>
  <c r="AN42" i="9"/>
  <c r="AJ42" i="9"/>
  <c r="AF42" i="9"/>
  <c r="AM42" i="9"/>
  <c r="AI42" i="9"/>
  <c r="AE42" i="9"/>
  <c r="AL42" i="9"/>
  <c r="AH42" i="9"/>
  <c r="AD42" i="9"/>
  <c r="AO42" i="9"/>
  <c r="AK42" i="9"/>
  <c r="AG42" i="9"/>
  <c r="AC42" i="9"/>
  <c r="AO41" i="9"/>
  <c r="AK41" i="9"/>
  <c r="AG41" i="9"/>
  <c r="AC41" i="9"/>
  <c r="AO40" i="9"/>
  <c r="AK40" i="9"/>
  <c r="AG40" i="9"/>
  <c r="AC40" i="9"/>
  <c r="AO39" i="9"/>
  <c r="AK39" i="9"/>
  <c r="AG39" i="9"/>
  <c r="AC39" i="9"/>
  <c r="AO38" i="9"/>
  <c r="AK38" i="9"/>
  <c r="AG38" i="9"/>
  <c r="AC38" i="9"/>
  <c r="AO37" i="9"/>
  <c r="AK37" i="9"/>
  <c r="AG37" i="9"/>
  <c r="AC37" i="9"/>
  <c r="AO36" i="9"/>
  <c r="AK36" i="9"/>
  <c r="AG36" i="9"/>
  <c r="AC36" i="9"/>
  <c r="BJ43" i="8"/>
  <c r="BF43" i="8"/>
  <c r="BB43" i="8"/>
  <c r="BL42" i="8"/>
  <c r="BH42" i="8"/>
  <c r="BD42" i="8"/>
  <c r="BJ41" i="8"/>
  <c r="BF41" i="8"/>
  <c r="BB41" i="8"/>
  <c r="BL40" i="8"/>
  <c r="BH40" i="8"/>
  <c r="BD40" i="8"/>
  <c r="BJ39" i="8"/>
  <c r="BF39" i="8"/>
  <c r="BB39" i="8"/>
  <c r="BL38" i="8"/>
  <c r="BH38" i="8"/>
  <c r="BD38" i="8"/>
  <c r="BJ37" i="8"/>
  <c r="BF37" i="8"/>
  <c r="BB37" i="8"/>
  <c r="AB42" i="9"/>
  <c r="AN41" i="9"/>
  <c r="AJ41" i="9"/>
  <c r="AF41" i="9"/>
  <c r="AB41" i="9"/>
  <c r="AN40" i="9"/>
  <c r="AJ40" i="9"/>
  <c r="AF40" i="9"/>
  <c r="AB40" i="9"/>
  <c r="AN39" i="9"/>
  <c r="AJ39" i="9"/>
  <c r="AF39" i="9"/>
  <c r="AB39" i="9"/>
  <c r="AN38" i="9"/>
  <c r="AJ38" i="9"/>
  <c r="AF38" i="9"/>
  <c r="AB38" i="9"/>
  <c r="AN37" i="9"/>
  <c r="AJ37" i="9"/>
  <c r="AF37" i="9"/>
  <c r="AB37" i="9"/>
  <c r="AN36" i="9"/>
  <c r="AJ36" i="9"/>
  <c r="AF36" i="9"/>
  <c r="AB36" i="9"/>
  <c r="BI43" i="8"/>
  <c r="BE43" i="8"/>
  <c r="BK42" i="8"/>
  <c r="BG42" i="8"/>
  <c r="BC42" i="8"/>
  <c r="BI41" i="8"/>
  <c r="BE41" i="8"/>
  <c r="BK40" i="8"/>
  <c r="BG40" i="8"/>
  <c r="BC40" i="8"/>
  <c r="BI39" i="8"/>
  <c r="BE39" i="8"/>
  <c r="BK38" i="8"/>
  <c r="BG38" i="8"/>
  <c r="BC38" i="8"/>
  <c r="BI37" i="8"/>
  <c r="BE37" i="8"/>
  <c r="AM41" i="9"/>
  <c r="AI41" i="9"/>
  <c r="AE41" i="9"/>
  <c r="AM40" i="9"/>
  <c r="AI40" i="9"/>
  <c r="AE40" i="9"/>
  <c r="AM39" i="9"/>
  <c r="AI39" i="9"/>
  <c r="AE39" i="9"/>
  <c r="AM38" i="9"/>
  <c r="AI38" i="9"/>
  <c r="AE38" i="9"/>
  <c r="AM37" i="9"/>
  <c r="AI37" i="9"/>
  <c r="AE37" i="9"/>
  <c r="AM36" i="9"/>
  <c r="AI36" i="9"/>
  <c r="AE36" i="9"/>
  <c r="BL43" i="8"/>
  <c r="BH43" i="8"/>
  <c r="BD43" i="8"/>
  <c r="BJ42" i="8"/>
  <c r="BF42" i="8"/>
  <c r="BB42" i="8"/>
  <c r="BL41" i="8"/>
  <c r="BH41" i="8"/>
  <c r="BD41" i="8"/>
  <c r="BJ40" i="8"/>
  <c r="BF40" i="8"/>
  <c r="BB40" i="8"/>
  <c r="BL39" i="8"/>
  <c r="BH39" i="8"/>
  <c r="BD39" i="8"/>
  <c r="BJ38" i="8"/>
  <c r="BF38" i="8"/>
  <c r="BB38" i="8"/>
  <c r="BL37" i="8"/>
  <c r="BH37" i="8"/>
  <c r="BD37" i="8"/>
  <c r="AL41" i="9"/>
  <c r="AH41" i="9"/>
  <c r="AD41" i="9"/>
  <c r="AL40" i="9"/>
  <c r="AH40" i="9"/>
  <c r="AD40" i="9"/>
  <c r="AL39" i="9"/>
  <c r="AH39" i="9"/>
  <c r="AD39" i="9"/>
  <c r="AL38" i="9"/>
  <c r="AH38" i="9"/>
  <c r="AD38" i="9"/>
  <c r="AL37" i="9"/>
  <c r="AH37" i="9"/>
  <c r="AD37" i="9"/>
  <c r="AL36" i="9"/>
  <c r="AH36" i="9"/>
  <c r="AD36" i="9"/>
  <c r="BK43" i="8"/>
  <c r="BG43" i="8"/>
  <c r="BC43" i="8"/>
  <c r="BI42" i="8"/>
  <c r="BE42" i="8"/>
  <c r="BK41" i="8"/>
  <c r="BG41" i="8"/>
  <c r="BC41" i="8"/>
  <c r="BI40" i="8"/>
  <c r="BE40" i="8"/>
  <c r="BK39" i="8"/>
  <c r="BG39" i="8"/>
  <c r="BC39" i="8"/>
  <c r="BI38" i="8"/>
  <c r="BE38" i="8"/>
  <c r="BK37" i="8"/>
  <c r="BG37" i="8"/>
  <c r="BC37" i="8"/>
  <c r="CB7" i="8"/>
  <c r="CB8" i="8"/>
  <c r="CB9" i="8"/>
  <c r="CB10" i="8"/>
  <c r="O4" i="7"/>
  <c r="O6" i="7"/>
  <c r="O8" i="7"/>
  <c r="O10" i="7"/>
  <c r="O12" i="7"/>
  <c r="O14" i="7"/>
  <c r="O16" i="7"/>
  <c r="O18" i="7"/>
  <c r="O20" i="7"/>
  <c r="O22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CC7" i="8"/>
  <c r="CC8" i="8"/>
  <c r="CC9" i="8"/>
  <c r="CC10" i="8"/>
  <c r="BA35" i="10" l="1"/>
  <c r="AW35" i="10"/>
  <c r="AS35" i="10"/>
  <c r="AI35" i="10"/>
  <c r="AE35" i="10"/>
  <c r="BA34" i="10"/>
  <c r="AW34" i="10"/>
  <c r="AS34" i="10"/>
  <c r="AI34" i="10"/>
  <c r="AE34" i="10"/>
  <c r="BA33" i="10"/>
  <c r="AW33" i="10"/>
  <c r="AS33" i="10"/>
  <c r="AI33" i="10"/>
  <c r="AE33" i="10"/>
  <c r="BA32" i="10"/>
  <c r="AW32" i="10"/>
  <c r="AS32" i="10"/>
  <c r="AI32" i="10"/>
  <c r="AE32" i="10"/>
  <c r="BA31" i="10"/>
  <c r="AW31" i="10"/>
  <c r="AS31" i="10"/>
  <c r="AI31" i="10"/>
  <c r="AE31" i="10"/>
  <c r="BA30" i="10"/>
  <c r="AW30" i="10"/>
  <c r="AS30" i="10"/>
  <c r="AI30" i="10"/>
  <c r="AE30" i="10"/>
  <c r="AZ35" i="10"/>
  <c r="AV35" i="10"/>
  <c r="AR35" i="10"/>
  <c r="BE35" i="10" s="1"/>
  <c r="AL35" i="10"/>
  <c r="AH35" i="10"/>
  <c r="AD35" i="10"/>
  <c r="AZ34" i="10"/>
  <c r="AV34" i="10"/>
  <c r="AR34" i="10"/>
  <c r="BE34" i="10" s="1"/>
  <c r="AL34" i="10"/>
  <c r="AH34" i="10"/>
  <c r="AD34" i="10"/>
  <c r="AZ33" i="10"/>
  <c r="AV33" i="10"/>
  <c r="AR33" i="10"/>
  <c r="BE33" i="10" s="1"/>
  <c r="AL33" i="10"/>
  <c r="AH33" i="10"/>
  <c r="AD33" i="10"/>
  <c r="AZ32" i="10"/>
  <c r="AV32" i="10"/>
  <c r="AR32" i="10"/>
  <c r="BE32" i="10" s="1"/>
  <c r="AL32" i="10"/>
  <c r="AH32" i="10"/>
  <c r="AD32" i="10"/>
  <c r="AZ31" i="10"/>
  <c r="AV31" i="10"/>
  <c r="AR31" i="10"/>
  <c r="BE31" i="10" s="1"/>
  <c r="AL31" i="10"/>
  <c r="AH31" i="10"/>
  <c r="AD31" i="10"/>
  <c r="AZ30" i="10"/>
  <c r="AV30" i="10"/>
  <c r="AR30" i="10"/>
  <c r="BE30" i="10" s="1"/>
  <c r="AL30" i="10"/>
  <c r="AH30" i="10"/>
  <c r="AD30" i="10"/>
  <c r="AZ29" i="10"/>
  <c r="AV29" i="10"/>
  <c r="AY35" i="10"/>
  <c r="AU35" i="10"/>
  <c r="AK35" i="10"/>
  <c r="AG35" i="10"/>
  <c r="AC35" i="10"/>
  <c r="AY34" i="10"/>
  <c r="AU34" i="10"/>
  <c r="AK34" i="10"/>
  <c r="AG34" i="10"/>
  <c r="AC34" i="10"/>
  <c r="AY33" i="10"/>
  <c r="AU33" i="10"/>
  <c r="AK33" i="10"/>
  <c r="AG33" i="10"/>
  <c r="AC33" i="10"/>
  <c r="AY32" i="10"/>
  <c r="AU32" i="10"/>
  <c r="AK32" i="10"/>
  <c r="AG32" i="10"/>
  <c r="AC32" i="10"/>
  <c r="AY31" i="10"/>
  <c r="AU31" i="10"/>
  <c r="AK31" i="10"/>
  <c r="AG31" i="10"/>
  <c r="AC31" i="10"/>
  <c r="AY30" i="10"/>
  <c r="AU30" i="10"/>
  <c r="AK30" i="10"/>
  <c r="AG30" i="10"/>
  <c r="AC30" i="10"/>
  <c r="BB35" i="10"/>
  <c r="AX35" i="10"/>
  <c r="AT35" i="10"/>
  <c r="AJ35" i="10"/>
  <c r="AF35" i="10"/>
  <c r="AB35" i="10"/>
  <c r="AO35" i="10" s="1"/>
  <c r="BB34" i="10"/>
  <c r="AX34" i="10"/>
  <c r="AT34" i="10"/>
  <c r="AJ34" i="10"/>
  <c r="AF34" i="10"/>
  <c r="AB34" i="10"/>
  <c r="AO34" i="10" s="1"/>
  <c r="BB33" i="10"/>
  <c r="AX33" i="10"/>
  <c r="AT33" i="10"/>
  <c r="AJ33" i="10"/>
  <c r="AF33" i="10"/>
  <c r="AB33" i="10"/>
  <c r="AO33" i="10" s="1"/>
  <c r="BB32" i="10"/>
  <c r="AX32" i="10"/>
  <c r="AT32" i="10"/>
  <c r="AJ32" i="10"/>
  <c r="AF32" i="10"/>
  <c r="AB32" i="10"/>
  <c r="AO32" i="10" s="1"/>
  <c r="BB31" i="10"/>
  <c r="AX31" i="10"/>
  <c r="AT31" i="10"/>
  <c r="AJ31" i="10"/>
  <c r="AF31" i="10"/>
  <c r="AB31" i="10"/>
  <c r="AO31" i="10" s="1"/>
  <c r="BB30" i="10"/>
  <c r="AX30" i="10"/>
  <c r="AT30" i="10"/>
  <c r="AJ30" i="10"/>
  <c r="AF30" i="10"/>
  <c r="AB30" i="10"/>
  <c r="AO30" i="10" s="1"/>
  <c r="BB29" i="10"/>
  <c r="AX29" i="10"/>
  <c r="AS29" i="10"/>
  <c r="AI29" i="10"/>
  <c r="AE29" i="10"/>
  <c r="BA28" i="10"/>
  <c r="AW28" i="10"/>
  <c r="AS28" i="10"/>
  <c r="AI28" i="10"/>
  <c r="AE28" i="10"/>
  <c r="BA27" i="10"/>
  <c r="AW27" i="10"/>
  <c r="AS27" i="10"/>
  <c r="AI27" i="10"/>
  <c r="AE27" i="10"/>
  <c r="BA26" i="10"/>
  <c r="AW26" i="10"/>
  <c r="AS26" i="10"/>
  <c r="AI26" i="10"/>
  <c r="AE26" i="10"/>
  <c r="BA25" i="10"/>
  <c r="AW25" i="10"/>
  <c r="AS25" i="10"/>
  <c r="AI25" i="10"/>
  <c r="AE25" i="10"/>
  <c r="BA24" i="10"/>
  <c r="AW24" i="10"/>
  <c r="AS24" i="10"/>
  <c r="AI24" i="10"/>
  <c r="AE24" i="10"/>
  <c r="BA23" i="10"/>
  <c r="AW23" i="10"/>
  <c r="AS23" i="10"/>
  <c r="AI23" i="10"/>
  <c r="AE23" i="10"/>
  <c r="BA22" i="10"/>
  <c r="AW22" i="10"/>
  <c r="AS22" i="10"/>
  <c r="AI22" i="10"/>
  <c r="AE22" i="10"/>
  <c r="BA21" i="10"/>
  <c r="AW21" i="10"/>
  <c r="AS21" i="10"/>
  <c r="AI21" i="10"/>
  <c r="AE21" i="10"/>
  <c r="BA20" i="10"/>
  <c r="AW20" i="10"/>
  <c r="AS20" i="10"/>
  <c r="AI20" i="10"/>
  <c r="AE20" i="10"/>
  <c r="BA19" i="10"/>
  <c r="AW19" i="10"/>
  <c r="AS19" i="10"/>
  <c r="AI19" i="10"/>
  <c r="AE19" i="10"/>
  <c r="BA18" i="10"/>
  <c r="AW18" i="10"/>
  <c r="AS18" i="10"/>
  <c r="AI18" i="10"/>
  <c r="AE18" i="10"/>
  <c r="BA17" i="10"/>
  <c r="AW17" i="10"/>
  <c r="AS17" i="10"/>
  <c r="AI17" i="10"/>
  <c r="AE17" i="10"/>
  <c r="BA16" i="10"/>
  <c r="AW16" i="10"/>
  <c r="AS16" i="10"/>
  <c r="AI16" i="10"/>
  <c r="AE16" i="10"/>
  <c r="BA15" i="10"/>
  <c r="AW15" i="10"/>
  <c r="AS15" i="10"/>
  <c r="AI15" i="10"/>
  <c r="AE15" i="10"/>
  <c r="BA14" i="10"/>
  <c r="AW14" i="10"/>
  <c r="AS14" i="10"/>
  <c r="AI14" i="10"/>
  <c r="AE14" i="10"/>
  <c r="BA13" i="10"/>
  <c r="AW13" i="10"/>
  <c r="AS13" i="10"/>
  <c r="AI13" i="10"/>
  <c r="AE13" i="10"/>
  <c r="BA12" i="10"/>
  <c r="AW12" i="10"/>
  <c r="AS12" i="10"/>
  <c r="AI12" i="10"/>
  <c r="AE12" i="10"/>
  <c r="BA11" i="10"/>
  <c r="AW11" i="10"/>
  <c r="AS11" i="10"/>
  <c r="AI11" i="10"/>
  <c r="AE11" i="10"/>
  <c r="BA10" i="10"/>
  <c r="AW10" i="10"/>
  <c r="AS10" i="10"/>
  <c r="AI10" i="10"/>
  <c r="AE10" i="10"/>
  <c r="AY9" i="10"/>
  <c r="AU9" i="10"/>
  <c r="AK9" i="10"/>
  <c r="AG9" i="10"/>
  <c r="AC9" i="10"/>
  <c r="BA8" i="10"/>
  <c r="AW8" i="10"/>
  <c r="AS8" i="10"/>
  <c r="AI8" i="10"/>
  <c r="AE8" i="10"/>
  <c r="AY7" i="10"/>
  <c r="AU7" i="10"/>
  <c r="AK7" i="10"/>
  <c r="AG7" i="10"/>
  <c r="AC7" i="10"/>
  <c r="BA6" i="10"/>
  <c r="AW6" i="10"/>
  <c r="AS6" i="10"/>
  <c r="AI6" i="10"/>
  <c r="AE6" i="10"/>
  <c r="BB5" i="10"/>
  <c r="AX5" i="10"/>
  <c r="AT5" i="10"/>
  <c r="AJ5" i="10"/>
  <c r="AF5" i="10"/>
  <c r="AB5" i="10"/>
  <c r="AO5" i="10" s="1"/>
  <c r="AY4" i="10"/>
  <c r="AU4" i="10"/>
  <c r="AK4" i="10"/>
  <c r="AG4" i="10"/>
  <c r="AC4" i="10"/>
  <c r="AZ3" i="10"/>
  <c r="AV3" i="10"/>
  <c r="AR3" i="10"/>
  <c r="AL3" i="10"/>
  <c r="AH3" i="10"/>
  <c r="AD3" i="10"/>
  <c r="AW29" i="10"/>
  <c r="AR29" i="10"/>
  <c r="BE29" i="10" s="1"/>
  <c r="AL29" i="10"/>
  <c r="AH29" i="10"/>
  <c r="AD29" i="10"/>
  <c r="AZ28" i="10"/>
  <c r="AV28" i="10"/>
  <c r="AR28" i="10"/>
  <c r="BE28" i="10" s="1"/>
  <c r="AL28" i="10"/>
  <c r="AH28" i="10"/>
  <c r="AD28" i="10"/>
  <c r="AZ27" i="10"/>
  <c r="AV27" i="10"/>
  <c r="AR27" i="10"/>
  <c r="BE27" i="10" s="1"/>
  <c r="AL27" i="10"/>
  <c r="AH27" i="10"/>
  <c r="AD27" i="10"/>
  <c r="AZ26" i="10"/>
  <c r="AV26" i="10"/>
  <c r="AR26" i="10"/>
  <c r="BE26" i="10" s="1"/>
  <c r="AL26" i="10"/>
  <c r="AH26" i="10"/>
  <c r="AD26" i="10"/>
  <c r="AZ25" i="10"/>
  <c r="AV25" i="10"/>
  <c r="AR25" i="10"/>
  <c r="BE25" i="10" s="1"/>
  <c r="AL25" i="10"/>
  <c r="AH25" i="10"/>
  <c r="AD25" i="10"/>
  <c r="AZ24" i="10"/>
  <c r="AV24" i="10"/>
  <c r="AR24" i="10"/>
  <c r="BE24" i="10" s="1"/>
  <c r="AL24" i="10"/>
  <c r="AH24" i="10"/>
  <c r="AD24" i="10"/>
  <c r="AZ23" i="10"/>
  <c r="AV23" i="10"/>
  <c r="AR23" i="10"/>
  <c r="BE23" i="10" s="1"/>
  <c r="AL23" i="10"/>
  <c r="AH23" i="10"/>
  <c r="AD23" i="10"/>
  <c r="AZ22" i="10"/>
  <c r="AV22" i="10"/>
  <c r="AR22" i="10"/>
  <c r="BE22" i="10" s="1"/>
  <c r="AL22" i="10"/>
  <c r="AH22" i="10"/>
  <c r="AD22" i="10"/>
  <c r="AZ21" i="10"/>
  <c r="AV21" i="10"/>
  <c r="AR21" i="10"/>
  <c r="BE21" i="10" s="1"/>
  <c r="AL21" i="10"/>
  <c r="AH21" i="10"/>
  <c r="AD21" i="10"/>
  <c r="AZ20" i="10"/>
  <c r="AV20" i="10"/>
  <c r="AR20" i="10"/>
  <c r="BE20" i="10" s="1"/>
  <c r="AL20" i="10"/>
  <c r="AH20" i="10"/>
  <c r="AD20" i="10"/>
  <c r="AZ19" i="10"/>
  <c r="AV19" i="10"/>
  <c r="AR19" i="10"/>
  <c r="BE19" i="10" s="1"/>
  <c r="AL19" i="10"/>
  <c r="AH19" i="10"/>
  <c r="AD19" i="10"/>
  <c r="AZ18" i="10"/>
  <c r="AV18" i="10"/>
  <c r="AR18" i="10"/>
  <c r="BE18" i="10" s="1"/>
  <c r="AL18" i="10"/>
  <c r="AH18" i="10"/>
  <c r="AD18" i="10"/>
  <c r="AZ17" i="10"/>
  <c r="AV17" i="10"/>
  <c r="AR17" i="10"/>
  <c r="BE17" i="10" s="1"/>
  <c r="AL17" i="10"/>
  <c r="AH17" i="10"/>
  <c r="AD17" i="10"/>
  <c r="AZ16" i="10"/>
  <c r="AV16" i="10"/>
  <c r="AR16" i="10"/>
  <c r="BE16" i="10" s="1"/>
  <c r="AL16" i="10"/>
  <c r="AH16" i="10"/>
  <c r="AD16" i="10"/>
  <c r="AZ15" i="10"/>
  <c r="AV15" i="10"/>
  <c r="AR15" i="10"/>
  <c r="BE15" i="10" s="1"/>
  <c r="AL15" i="10"/>
  <c r="AH15" i="10"/>
  <c r="AD15" i="10"/>
  <c r="AZ14" i="10"/>
  <c r="AV14" i="10"/>
  <c r="AR14" i="10"/>
  <c r="BE14" i="10" s="1"/>
  <c r="AL14" i="10"/>
  <c r="AH14" i="10"/>
  <c r="AD14" i="10"/>
  <c r="AZ13" i="10"/>
  <c r="AV13" i="10"/>
  <c r="AR13" i="10"/>
  <c r="BE13" i="10" s="1"/>
  <c r="AL13" i="10"/>
  <c r="AH13" i="10"/>
  <c r="AD13" i="10"/>
  <c r="AZ12" i="10"/>
  <c r="AV12" i="10"/>
  <c r="AR12" i="10"/>
  <c r="BE12" i="10" s="1"/>
  <c r="AL12" i="10"/>
  <c r="AH12" i="10"/>
  <c r="AD12" i="10"/>
  <c r="AZ11" i="10"/>
  <c r="AV11" i="10"/>
  <c r="AR11" i="10"/>
  <c r="BE11" i="10" s="1"/>
  <c r="AL11" i="10"/>
  <c r="AH11" i="10"/>
  <c r="AD11" i="10"/>
  <c r="AZ10" i="10"/>
  <c r="AV10" i="10"/>
  <c r="AR10" i="10"/>
  <c r="BE10" i="10" s="1"/>
  <c r="AL10" i="10"/>
  <c r="AH10" i="10"/>
  <c r="AD10" i="10"/>
  <c r="BB9" i="10"/>
  <c r="AX9" i="10"/>
  <c r="AT9" i="10"/>
  <c r="AJ9" i="10"/>
  <c r="AF9" i="10"/>
  <c r="AB9" i="10"/>
  <c r="AO9" i="10" s="1"/>
  <c r="AZ8" i="10"/>
  <c r="AV8" i="10"/>
  <c r="AR8" i="10"/>
  <c r="BE8" i="10" s="1"/>
  <c r="AL8" i="10"/>
  <c r="AH8" i="10"/>
  <c r="AD8" i="10"/>
  <c r="BB7" i="10"/>
  <c r="AX7" i="10"/>
  <c r="AT7" i="10"/>
  <c r="AJ7" i="10"/>
  <c r="AF7" i="10"/>
  <c r="AB7" i="10"/>
  <c r="AO7" i="10" s="1"/>
  <c r="AZ6" i="10"/>
  <c r="AV6" i="10"/>
  <c r="AR6" i="10"/>
  <c r="BE6" i="10" s="1"/>
  <c r="AL6" i="10"/>
  <c r="AH6" i="10"/>
  <c r="AD6" i="10"/>
  <c r="BA5" i="10"/>
  <c r="AW5" i="10"/>
  <c r="AS5" i="10"/>
  <c r="AI5" i="10"/>
  <c r="AE5" i="10"/>
  <c r="BB4" i="10"/>
  <c r="AX4" i="10"/>
  <c r="AT4" i="10"/>
  <c r="AJ4" i="10"/>
  <c r="AF4" i="10"/>
  <c r="AB4" i="10"/>
  <c r="AO4" i="10" s="1"/>
  <c r="AY3" i="10"/>
  <c r="AU3" i="10"/>
  <c r="AK3" i="10"/>
  <c r="AG3" i="10"/>
  <c r="AC3" i="10"/>
  <c r="BA29" i="10"/>
  <c r="AU29" i="10"/>
  <c r="AK29" i="10"/>
  <c r="AG29" i="10"/>
  <c r="AC29" i="10"/>
  <c r="AY28" i="10"/>
  <c r="AU28" i="10"/>
  <c r="AK28" i="10"/>
  <c r="AG28" i="10"/>
  <c r="AC28" i="10"/>
  <c r="AY27" i="10"/>
  <c r="AU27" i="10"/>
  <c r="AK27" i="10"/>
  <c r="AG27" i="10"/>
  <c r="AC27" i="10"/>
  <c r="AY26" i="10"/>
  <c r="AU26" i="10"/>
  <c r="AK26" i="10"/>
  <c r="AG26" i="10"/>
  <c r="AC26" i="10"/>
  <c r="AY25" i="10"/>
  <c r="AU25" i="10"/>
  <c r="AK25" i="10"/>
  <c r="AG25" i="10"/>
  <c r="AC25" i="10"/>
  <c r="AY24" i="10"/>
  <c r="AU24" i="10"/>
  <c r="AK24" i="10"/>
  <c r="AG24" i="10"/>
  <c r="AC24" i="10"/>
  <c r="AY23" i="10"/>
  <c r="AU23" i="10"/>
  <c r="AK23" i="10"/>
  <c r="AG23" i="10"/>
  <c r="AC23" i="10"/>
  <c r="AY22" i="10"/>
  <c r="AU22" i="10"/>
  <c r="AK22" i="10"/>
  <c r="AG22" i="10"/>
  <c r="AC22" i="10"/>
  <c r="AY21" i="10"/>
  <c r="AU21" i="10"/>
  <c r="AK21" i="10"/>
  <c r="AG21" i="10"/>
  <c r="AC21" i="10"/>
  <c r="AY20" i="10"/>
  <c r="AU20" i="10"/>
  <c r="AK20" i="10"/>
  <c r="AG20" i="10"/>
  <c r="AC20" i="10"/>
  <c r="AY19" i="10"/>
  <c r="AU19" i="10"/>
  <c r="AK19" i="10"/>
  <c r="AG19" i="10"/>
  <c r="AC19" i="10"/>
  <c r="AY18" i="10"/>
  <c r="AU18" i="10"/>
  <c r="AK18" i="10"/>
  <c r="AG18" i="10"/>
  <c r="AC18" i="10"/>
  <c r="AY17" i="10"/>
  <c r="AU17" i="10"/>
  <c r="AK17" i="10"/>
  <c r="AG17" i="10"/>
  <c r="AC17" i="10"/>
  <c r="AY16" i="10"/>
  <c r="AU16" i="10"/>
  <c r="AK16" i="10"/>
  <c r="AG16" i="10"/>
  <c r="AC16" i="10"/>
  <c r="AY15" i="10"/>
  <c r="AU15" i="10"/>
  <c r="AK15" i="10"/>
  <c r="AG15" i="10"/>
  <c r="AC15" i="10"/>
  <c r="AY14" i="10"/>
  <c r="AU14" i="10"/>
  <c r="AK14" i="10"/>
  <c r="AG14" i="10"/>
  <c r="AC14" i="10"/>
  <c r="AY13" i="10"/>
  <c r="AU13" i="10"/>
  <c r="AK13" i="10"/>
  <c r="AG13" i="10"/>
  <c r="AC13" i="10"/>
  <c r="AY12" i="10"/>
  <c r="AU12" i="10"/>
  <c r="AK12" i="10"/>
  <c r="AG12" i="10"/>
  <c r="AC12" i="10"/>
  <c r="AY11" i="10"/>
  <c r="AU11" i="10"/>
  <c r="AK11" i="10"/>
  <c r="AG11" i="10"/>
  <c r="AC11" i="10"/>
  <c r="AY10" i="10"/>
  <c r="AU10" i="10"/>
  <c r="AK10" i="10"/>
  <c r="AG10" i="10"/>
  <c r="AC10" i="10"/>
  <c r="BA9" i="10"/>
  <c r="AW9" i="10"/>
  <c r="AS9" i="10"/>
  <c r="AI9" i="10"/>
  <c r="AE9" i="10"/>
  <c r="AY8" i="10"/>
  <c r="AU8" i="10"/>
  <c r="AK8" i="10"/>
  <c r="AG8" i="10"/>
  <c r="AC8" i="10"/>
  <c r="BA7" i="10"/>
  <c r="AW7" i="10"/>
  <c r="AS7" i="10"/>
  <c r="AI7" i="10"/>
  <c r="AE7" i="10"/>
  <c r="AY6" i="10"/>
  <c r="AU6" i="10"/>
  <c r="AK6" i="10"/>
  <c r="AG6" i="10"/>
  <c r="AC6" i="10"/>
  <c r="AZ5" i="10"/>
  <c r="AV5" i="10"/>
  <c r="AR5" i="10"/>
  <c r="BE5" i="10" s="1"/>
  <c r="AL5" i="10"/>
  <c r="AH5" i="10"/>
  <c r="AD5" i="10"/>
  <c r="BA4" i="10"/>
  <c r="AW4" i="10"/>
  <c r="AS4" i="10"/>
  <c r="AI4" i="10"/>
  <c r="AE4" i="10"/>
  <c r="BB3" i="10"/>
  <c r="AX3" i="10"/>
  <c r="AT3" i="10"/>
  <c r="AJ3" i="10"/>
  <c r="AF3" i="10"/>
  <c r="AB3" i="10"/>
  <c r="AY29" i="10"/>
  <c r="AT29" i="10"/>
  <c r="AJ29" i="10"/>
  <c r="AF29" i="10"/>
  <c r="AB29" i="10"/>
  <c r="AO29" i="10" s="1"/>
  <c r="BB28" i="10"/>
  <c r="AX28" i="10"/>
  <c r="AT28" i="10"/>
  <c r="AJ28" i="10"/>
  <c r="AF28" i="10"/>
  <c r="AB28" i="10"/>
  <c r="AO28" i="10" s="1"/>
  <c r="BB27" i="10"/>
  <c r="AX27" i="10"/>
  <c r="AT27" i="10"/>
  <c r="AJ27" i="10"/>
  <c r="AF27" i="10"/>
  <c r="AB27" i="10"/>
  <c r="AO27" i="10" s="1"/>
  <c r="BB26" i="10"/>
  <c r="AX26" i="10"/>
  <c r="AT26" i="10"/>
  <c r="AJ26" i="10"/>
  <c r="AF26" i="10"/>
  <c r="AB26" i="10"/>
  <c r="AO26" i="10" s="1"/>
  <c r="BB25" i="10"/>
  <c r="AX25" i="10"/>
  <c r="AT25" i="10"/>
  <c r="AJ25" i="10"/>
  <c r="AF25" i="10"/>
  <c r="AB25" i="10"/>
  <c r="AO25" i="10" s="1"/>
  <c r="BB24" i="10"/>
  <c r="AX24" i="10"/>
  <c r="AT24" i="10"/>
  <c r="AJ24" i="10"/>
  <c r="AF24" i="10"/>
  <c r="AB24" i="10"/>
  <c r="AO24" i="10" s="1"/>
  <c r="BB23" i="10"/>
  <c r="AX23" i="10"/>
  <c r="AT23" i="10"/>
  <c r="AJ23" i="10"/>
  <c r="AF23" i="10"/>
  <c r="AB23" i="10"/>
  <c r="AO23" i="10" s="1"/>
  <c r="BB22" i="10"/>
  <c r="AX22" i="10"/>
  <c r="AT22" i="10"/>
  <c r="AJ22" i="10"/>
  <c r="AF22" i="10"/>
  <c r="AB22" i="10"/>
  <c r="AO22" i="10" s="1"/>
  <c r="BB21" i="10"/>
  <c r="AX21" i="10"/>
  <c r="AT21" i="10"/>
  <c r="AJ21" i="10"/>
  <c r="AF21" i="10"/>
  <c r="AB21" i="10"/>
  <c r="AO21" i="10" s="1"/>
  <c r="BB20" i="10"/>
  <c r="AX20" i="10"/>
  <c r="AT20" i="10"/>
  <c r="AJ20" i="10"/>
  <c r="AF20" i="10"/>
  <c r="AB20" i="10"/>
  <c r="AO20" i="10" s="1"/>
  <c r="BB19" i="10"/>
  <c r="AX19" i="10"/>
  <c r="AT19" i="10"/>
  <c r="AJ19" i="10"/>
  <c r="AF19" i="10"/>
  <c r="AB19" i="10"/>
  <c r="AO19" i="10" s="1"/>
  <c r="BB18" i="10"/>
  <c r="AX18" i="10"/>
  <c r="AT18" i="10"/>
  <c r="AJ18" i="10"/>
  <c r="AF18" i="10"/>
  <c r="AB18" i="10"/>
  <c r="AO18" i="10" s="1"/>
  <c r="BB17" i="10"/>
  <c r="AX17" i="10"/>
  <c r="AT17" i="10"/>
  <c r="AJ17" i="10"/>
  <c r="AF17" i="10"/>
  <c r="AB17" i="10"/>
  <c r="AO17" i="10" s="1"/>
  <c r="BB16" i="10"/>
  <c r="AX16" i="10"/>
  <c r="AT16" i="10"/>
  <c r="AJ16" i="10"/>
  <c r="AF16" i="10"/>
  <c r="AB16" i="10"/>
  <c r="AO16" i="10" s="1"/>
  <c r="BB15" i="10"/>
  <c r="AX15" i="10"/>
  <c r="AT15" i="10"/>
  <c r="AJ15" i="10"/>
  <c r="AF15" i="10"/>
  <c r="AB15" i="10"/>
  <c r="AO15" i="10" s="1"/>
  <c r="BB14" i="10"/>
  <c r="AX14" i="10"/>
  <c r="AT14" i="10"/>
  <c r="AJ14" i="10"/>
  <c r="AF14" i="10"/>
  <c r="AB14" i="10"/>
  <c r="AO14" i="10" s="1"/>
  <c r="BB13" i="10"/>
  <c r="AX13" i="10"/>
  <c r="AT13" i="10"/>
  <c r="AJ13" i="10"/>
  <c r="AF13" i="10"/>
  <c r="AB13" i="10"/>
  <c r="AO13" i="10" s="1"/>
  <c r="BB12" i="10"/>
  <c r="AX12" i="10"/>
  <c r="AT12" i="10"/>
  <c r="AJ12" i="10"/>
  <c r="AF12" i="10"/>
  <c r="AB12" i="10"/>
  <c r="AO12" i="10" s="1"/>
  <c r="BB11" i="10"/>
  <c r="AX11" i="10"/>
  <c r="AT11" i="10"/>
  <c r="AJ11" i="10"/>
  <c r="AF11" i="10"/>
  <c r="AB11" i="10"/>
  <c r="AO11" i="10" s="1"/>
  <c r="BB10" i="10"/>
  <c r="AX10" i="10"/>
  <c r="AT10" i="10"/>
  <c r="AJ10" i="10"/>
  <c r="AF10" i="10"/>
  <c r="AB10" i="10"/>
  <c r="AO10" i="10" s="1"/>
  <c r="AZ9" i="10"/>
  <c r="AV9" i="10"/>
  <c r="AR9" i="10"/>
  <c r="BE9" i="10" s="1"/>
  <c r="AL9" i="10"/>
  <c r="AH9" i="10"/>
  <c r="AD9" i="10"/>
  <c r="BB8" i="10"/>
  <c r="AX8" i="10"/>
  <c r="AT8" i="10"/>
  <c r="AJ8" i="10"/>
  <c r="AF8" i="10"/>
  <c r="AB8" i="10"/>
  <c r="AO8" i="10" s="1"/>
  <c r="AZ7" i="10"/>
  <c r="AV7" i="10"/>
  <c r="AR7" i="10"/>
  <c r="BE7" i="10" s="1"/>
  <c r="AL7" i="10"/>
  <c r="AH7" i="10"/>
  <c r="AD7" i="10"/>
  <c r="BB6" i="10"/>
  <c r="AX6" i="10"/>
  <c r="AT6" i="10"/>
  <c r="AJ6" i="10"/>
  <c r="AF6" i="10"/>
  <c r="AB6" i="10"/>
  <c r="AO6" i="10" s="1"/>
  <c r="AY5" i="10"/>
  <c r="AU5" i="10"/>
  <c r="AK5" i="10"/>
  <c r="AG5" i="10"/>
  <c r="AC5" i="10"/>
  <c r="AZ4" i="10"/>
  <c r="AV4" i="10"/>
  <c r="AR4" i="10"/>
  <c r="BE4" i="10" s="1"/>
  <c r="AL4" i="10"/>
  <c r="AH4" i="10"/>
  <c r="AD4" i="10"/>
  <c r="BA3" i="10"/>
  <c r="AW3" i="10"/>
  <c r="AS3" i="10"/>
  <c r="AI3" i="10"/>
  <c r="AE3" i="10"/>
  <c r="BA35" i="12"/>
  <c r="AW35" i="12"/>
  <c r="AS35" i="12"/>
  <c r="AI35" i="12"/>
  <c r="AE35" i="12"/>
  <c r="BA34" i="12"/>
  <c r="AW34" i="12"/>
  <c r="AS34" i="12"/>
  <c r="AI34" i="12"/>
  <c r="AE34" i="12"/>
  <c r="BA33" i="12"/>
  <c r="AW33" i="12"/>
  <c r="AS33" i="12"/>
  <c r="AI33" i="12"/>
  <c r="AE33" i="12"/>
  <c r="BA32" i="12"/>
  <c r="AW32" i="12"/>
  <c r="AS32" i="12"/>
  <c r="AI32" i="12"/>
  <c r="AE32" i="12"/>
  <c r="BA31" i="12"/>
  <c r="AW31" i="12"/>
  <c r="AS31" i="12"/>
  <c r="AI31" i="12"/>
  <c r="AE31" i="12"/>
  <c r="BA30" i="12"/>
  <c r="AW30" i="12"/>
  <c r="AS30" i="12"/>
  <c r="AI30" i="12"/>
  <c r="AE30" i="12"/>
  <c r="AZ35" i="12"/>
  <c r="AV35" i="12"/>
  <c r="AR35" i="12"/>
  <c r="BE35" i="12" s="1"/>
  <c r="AL35" i="12"/>
  <c r="AH35" i="12"/>
  <c r="AD35" i="12"/>
  <c r="AZ34" i="12"/>
  <c r="AV34" i="12"/>
  <c r="AR34" i="12"/>
  <c r="BE34" i="12" s="1"/>
  <c r="AL34" i="12"/>
  <c r="AH34" i="12"/>
  <c r="AD34" i="12"/>
  <c r="AZ33" i="12"/>
  <c r="AV33" i="12"/>
  <c r="AR33" i="12"/>
  <c r="BE33" i="12" s="1"/>
  <c r="AL33" i="12"/>
  <c r="AH33" i="12"/>
  <c r="AD33" i="12"/>
  <c r="AZ32" i="12"/>
  <c r="AV32" i="12"/>
  <c r="AR32" i="12"/>
  <c r="BE32" i="12" s="1"/>
  <c r="AL32" i="12"/>
  <c r="AH32" i="12"/>
  <c r="AD32" i="12"/>
  <c r="AZ31" i="12"/>
  <c r="AV31" i="12"/>
  <c r="AR31" i="12"/>
  <c r="BE31" i="12" s="1"/>
  <c r="AL31" i="12"/>
  <c r="AH31" i="12"/>
  <c r="AD31" i="12"/>
  <c r="AZ30" i="12"/>
  <c r="AV30" i="12"/>
  <c r="AR30" i="12"/>
  <c r="BE30" i="12" s="1"/>
  <c r="AL30" i="12"/>
  <c r="AH30" i="12"/>
  <c r="AD30" i="12"/>
  <c r="AY35" i="12"/>
  <c r="AU35" i="12"/>
  <c r="AK35" i="12"/>
  <c r="AG35" i="12"/>
  <c r="AC35" i="12"/>
  <c r="AY34" i="12"/>
  <c r="AU34" i="12"/>
  <c r="AK34" i="12"/>
  <c r="AG34" i="12"/>
  <c r="AC34" i="12"/>
  <c r="AY33" i="12"/>
  <c r="AU33" i="12"/>
  <c r="AK33" i="12"/>
  <c r="AG33" i="12"/>
  <c r="AC33" i="12"/>
  <c r="AY32" i="12"/>
  <c r="AU32" i="12"/>
  <c r="AK32" i="12"/>
  <c r="AG32" i="12"/>
  <c r="AC32" i="12"/>
  <c r="AY31" i="12"/>
  <c r="AU31" i="12"/>
  <c r="AK31" i="12"/>
  <c r="AG31" i="12"/>
  <c r="AC31" i="12"/>
  <c r="AY30" i="12"/>
  <c r="AU30" i="12"/>
  <c r="AK30" i="12"/>
  <c r="AG30" i="12"/>
  <c r="AC30" i="12"/>
  <c r="BB35" i="12"/>
  <c r="AX35" i="12"/>
  <c r="AT35" i="12"/>
  <c r="AJ35" i="12"/>
  <c r="AF35" i="12"/>
  <c r="AB35" i="12"/>
  <c r="AO35" i="12" s="1"/>
  <c r="BB34" i="12"/>
  <c r="AX34" i="12"/>
  <c r="AT34" i="12"/>
  <c r="AJ34" i="12"/>
  <c r="AF34" i="12"/>
  <c r="AB34" i="12"/>
  <c r="AO34" i="12" s="1"/>
  <c r="BB33" i="12"/>
  <c r="AX33" i="12"/>
  <c r="AT33" i="12"/>
  <c r="AJ33" i="12"/>
  <c r="AF33" i="12"/>
  <c r="AB33" i="12"/>
  <c r="AO33" i="12" s="1"/>
  <c r="BB32" i="12"/>
  <c r="AX32" i="12"/>
  <c r="AT32" i="12"/>
  <c r="AJ32" i="12"/>
  <c r="AF32" i="12"/>
  <c r="AB32" i="12"/>
  <c r="AO32" i="12" s="1"/>
  <c r="BB31" i="12"/>
  <c r="AX31" i="12"/>
  <c r="AT31" i="12"/>
  <c r="AJ31" i="12"/>
  <c r="AF31" i="12"/>
  <c r="AB31" i="12"/>
  <c r="AO31" i="12" s="1"/>
  <c r="BB30" i="12"/>
  <c r="AX30" i="12"/>
  <c r="AT30" i="12"/>
  <c r="AJ30" i="12"/>
  <c r="AF30" i="12"/>
  <c r="AB30" i="12"/>
  <c r="AO30" i="12" s="1"/>
  <c r="BA29" i="12"/>
  <c r="AW29" i="12"/>
  <c r="AS29" i="12"/>
  <c r="AI29" i="12"/>
  <c r="AE29" i="12"/>
  <c r="BA28" i="12"/>
  <c r="AW28" i="12"/>
  <c r="AS28" i="12"/>
  <c r="AI28" i="12"/>
  <c r="AE28" i="12"/>
  <c r="BA27" i="12"/>
  <c r="AW27" i="12"/>
  <c r="AS27" i="12"/>
  <c r="AI27" i="12"/>
  <c r="AE27" i="12"/>
  <c r="BA26" i="12"/>
  <c r="AW26" i="12"/>
  <c r="AS26" i="12"/>
  <c r="AI26" i="12"/>
  <c r="AE26" i="12"/>
  <c r="BA25" i="12"/>
  <c r="AW25" i="12"/>
  <c r="AS25" i="12"/>
  <c r="AI25" i="12"/>
  <c r="AE25" i="12"/>
  <c r="BA24" i="12"/>
  <c r="AW24" i="12"/>
  <c r="AS24" i="12"/>
  <c r="AI24" i="12"/>
  <c r="AE24" i="12"/>
  <c r="BA23" i="12"/>
  <c r="AW23" i="12"/>
  <c r="AS23" i="12"/>
  <c r="AI23" i="12"/>
  <c r="AE23" i="12"/>
  <c r="BA22" i="12"/>
  <c r="AW22" i="12"/>
  <c r="AS22" i="12"/>
  <c r="AI22" i="12"/>
  <c r="AE22" i="12"/>
  <c r="BA21" i="12"/>
  <c r="AW21" i="12"/>
  <c r="AS21" i="12"/>
  <c r="AI21" i="12"/>
  <c r="AE21" i="12"/>
  <c r="BA20" i="12"/>
  <c r="AW20" i="12"/>
  <c r="AS20" i="12"/>
  <c r="AI20" i="12"/>
  <c r="AE20" i="12"/>
  <c r="BA19" i="12"/>
  <c r="AW19" i="12"/>
  <c r="AS19" i="12"/>
  <c r="AI19" i="12"/>
  <c r="AE19" i="12"/>
  <c r="BA18" i="12"/>
  <c r="AW18" i="12"/>
  <c r="AS18" i="12"/>
  <c r="AI18" i="12"/>
  <c r="AE18" i="12"/>
  <c r="BA17" i="12"/>
  <c r="AW17" i="12"/>
  <c r="AS17" i="12"/>
  <c r="AI17" i="12"/>
  <c r="AE17" i="12"/>
  <c r="BA16" i="12"/>
  <c r="AW16" i="12"/>
  <c r="AS16" i="12"/>
  <c r="AI16" i="12"/>
  <c r="AE16" i="12"/>
  <c r="AZ29" i="12"/>
  <c r="AV29" i="12"/>
  <c r="AR29" i="12"/>
  <c r="BE29" i="12" s="1"/>
  <c r="AL29" i="12"/>
  <c r="AH29" i="12"/>
  <c r="AD29" i="12"/>
  <c r="AZ28" i="12"/>
  <c r="AV28" i="12"/>
  <c r="AR28" i="12"/>
  <c r="BE28" i="12" s="1"/>
  <c r="AL28" i="12"/>
  <c r="AH28" i="12"/>
  <c r="AD28" i="12"/>
  <c r="AZ27" i="12"/>
  <c r="AV27" i="12"/>
  <c r="AR27" i="12"/>
  <c r="BE27" i="12" s="1"/>
  <c r="AL27" i="12"/>
  <c r="AH27" i="12"/>
  <c r="AD27" i="12"/>
  <c r="AZ26" i="12"/>
  <c r="AV26" i="12"/>
  <c r="AR26" i="12"/>
  <c r="BE26" i="12" s="1"/>
  <c r="AL26" i="12"/>
  <c r="AH26" i="12"/>
  <c r="AD26" i="12"/>
  <c r="AZ25" i="12"/>
  <c r="AV25" i="12"/>
  <c r="AR25" i="12"/>
  <c r="BE25" i="12" s="1"/>
  <c r="AL25" i="12"/>
  <c r="AH25" i="12"/>
  <c r="AD25" i="12"/>
  <c r="AZ24" i="12"/>
  <c r="AV24" i="12"/>
  <c r="AR24" i="12"/>
  <c r="BE24" i="12" s="1"/>
  <c r="AL24" i="12"/>
  <c r="AH24" i="12"/>
  <c r="AD24" i="12"/>
  <c r="AZ23" i="12"/>
  <c r="AV23" i="12"/>
  <c r="AR23" i="12"/>
  <c r="BE23" i="12" s="1"/>
  <c r="AL23" i="12"/>
  <c r="AH23" i="12"/>
  <c r="AD23" i="12"/>
  <c r="AZ22" i="12"/>
  <c r="AV22" i="12"/>
  <c r="AR22" i="12"/>
  <c r="BE22" i="12" s="1"/>
  <c r="AL22" i="12"/>
  <c r="AH22" i="12"/>
  <c r="AD22" i="12"/>
  <c r="AZ21" i="12"/>
  <c r="AV21" i="12"/>
  <c r="AR21" i="12"/>
  <c r="BE21" i="12" s="1"/>
  <c r="AL21" i="12"/>
  <c r="AH21" i="12"/>
  <c r="AD21" i="12"/>
  <c r="AZ20" i="12"/>
  <c r="AV20" i="12"/>
  <c r="AR20" i="12"/>
  <c r="BE20" i="12" s="1"/>
  <c r="AL20" i="12"/>
  <c r="AH20" i="12"/>
  <c r="AD20" i="12"/>
  <c r="AZ19" i="12"/>
  <c r="AV19" i="12"/>
  <c r="AR19" i="12"/>
  <c r="BE19" i="12" s="1"/>
  <c r="AL19" i="12"/>
  <c r="AH19" i="12"/>
  <c r="AD19" i="12"/>
  <c r="AZ18" i="12"/>
  <c r="AV18" i="12"/>
  <c r="AR18" i="12"/>
  <c r="BE18" i="12" s="1"/>
  <c r="AL18" i="12"/>
  <c r="AH18" i="12"/>
  <c r="AD18" i="12"/>
  <c r="AZ17" i="12"/>
  <c r="AV17" i="12"/>
  <c r="AR17" i="12"/>
  <c r="BE17" i="12" s="1"/>
  <c r="AL17" i="12"/>
  <c r="AH17" i="12"/>
  <c r="AD17" i="12"/>
  <c r="AZ16" i="12"/>
  <c r="AV16" i="12"/>
  <c r="AR16" i="12"/>
  <c r="BE16" i="12" s="1"/>
  <c r="AL16" i="12"/>
  <c r="AH16" i="12"/>
  <c r="AD16" i="12"/>
  <c r="AZ15" i="12"/>
  <c r="AY29" i="12"/>
  <c r="AU29" i="12"/>
  <c r="AK29" i="12"/>
  <c r="AG29" i="12"/>
  <c r="AC29" i="12"/>
  <c r="AY28" i="12"/>
  <c r="AU28" i="12"/>
  <c r="AK28" i="12"/>
  <c r="AG28" i="12"/>
  <c r="AC28" i="12"/>
  <c r="AY27" i="12"/>
  <c r="AU27" i="12"/>
  <c r="AK27" i="12"/>
  <c r="AG27" i="12"/>
  <c r="AC27" i="12"/>
  <c r="AY26" i="12"/>
  <c r="AU26" i="12"/>
  <c r="AK26" i="12"/>
  <c r="AG26" i="12"/>
  <c r="AC26" i="12"/>
  <c r="AY25" i="12"/>
  <c r="AU25" i="12"/>
  <c r="AK25" i="12"/>
  <c r="AG25" i="12"/>
  <c r="AC25" i="12"/>
  <c r="AY24" i="12"/>
  <c r="AU24" i="12"/>
  <c r="AK24" i="12"/>
  <c r="AG24" i="12"/>
  <c r="AC24" i="12"/>
  <c r="AY23" i="12"/>
  <c r="AU23" i="12"/>
  <c r="AK23" i="12"/>
  <c r="AG23" i="12"/>
  <c r="AC23" i="12"/>
  <c r="AY22" i="12"/>
  <c r="AU22" i="12"/>
  <c r="AK22" i="12"/>
  <c r="AG22" i="12"/>
  <c r="AC22" i="12"/>
  <c r="AY21" i="12"/>
  <c r="AU21" i="12"/>
  <c r="AK21" i="12"/>
  <c r="AG21" i="12"/>
  <c r="AC21" i="12"/>
  <c r="AY20" i="12"/>
  <c r="AU20" i="12"/>
  <c r="AK20" i="12"/>
  <c r="AG20" i="12"/>
  <c r="AC20" i="12"/>
  <c r="AY19" i="12"/>
  <c r="AU19" i="12"/>
  <c r="AK19" i="12"/>
  <c r="AG19" i="12"/>
  <c r="AC19" i="12"/>
  <c r="AY18" i="12"/>
  <c r="AU18" i="12"/>
  <c r="AK18" i="12"/>
  <c r="AG18" i="12"/>
  <c r="AC18" i="12"/>
  <c r="AY17" i="12"/>
  <c r="AU17" i="12"/>
  <c r="AK17" i="12"/>
  <c r="AG17" i="12"/>
  <c r="AC17" i="12"/>
  <c r="AY16" i="12"/>
  <c r="AU16" i="12"/>
  <c r="AK16" i="12"/>
  <c r="AG16" i="12"/>
  <c r="AC16" i="12"/>
  <c r="AY15" i="12"/>
  <c r="BB29" i="12"/>
  <c r="AX29" i="12"/>
  <c r="AT29" i="12"/>
  <c r="AJ29" i="12"/>
  <c r="AF29" i="12"/>
  <c r="AB29" i="12"/>
  <c r="AO29" i="12" s="1"/>
  <c r="BB28" i="12"/>
  <c r="AX28" i="12"/>
  <c r="AT28" i="12"/>
  <c r="AJ28" i="12"/>
  <c r="AF28" i="12"/>
  <c r="AB28" i="12"/>
  <c r="AO28" i="12" s="1"/>
  <c r="BB27" i="12"/>
  <c r="AX27" i="12"/>
  <c r="AT27" i="12"/>
  <c r="AJ27" i="12"/>
  <c r="AF27" i="12"/>
  <c r="AB27" i="12"/>
  <c r="AO27" i="12" s="1"/>
  <c r="BB26" i="12"/>
  <c r="AX26" i="12"/>
  <c r="AT26" i="12"/>
  <c r="AJ26" i="12"/>
  <c r="AF26" i="12"/>
  <c r="AB26" i="12"/>
  <c r="AO26" i="12" s="1"/>
  <c r="BB25" i="12"/>
  <c r="AX25" i="12"/>
  <c r="AT25" i="12"/>
  <c r="AJ25" i="12"/>
  <c r="AF25" i="12"/>
  <c r="AB25" i="12"/>
  <c r="AO25" i="12" s="1"/>
  <c r="BB24" i="12"/>
  <c r="AX24" i="12"/>
  <c r="AT24" i="12"/>
  <c r="AJ24" i="12"/>
  <c r="AF24" i="12"/>
  <c r="AB24" i="12"/>
  <c r="AO24" i="12" s="1"/>
  <c r="BB23" i="12"/>
  <c r="AX23" i="12"/>
  <c r="AT23" i="12"/>
  <c r="AJ23" i="12"/>
  <c r="AF23" i="12"/>
  <c r="AB23" i="12"/>
  <c r="AO23" i="12" s="1"/>
  <c r="BB22" i="12"/>
  <c r="AX22" i="12"/>
  <c r="AT22" i="12"/>
  <c r="AJ22" i="12"/>
  <c r="AF22" i="12"/>
  <c r="AB22" i="12"/>
  <c r="AO22" i="12" s="1"/>
  <c r="BB21" i="12"/>
  <c r="AX21" i="12"/>
  <c r="AT21" i="12"/>
  <c r="AJ21" i="12"/>
  <c r="AF21" i="12"/>
  <c r="AB21" i="12"/>
  <c r="AO21" i="12" s="1"/>
  <c r="BB20" i="12"/>
  <c r="AX20" i="12"/>
  <c r="AT20" i="12"/>
  <c r="AJ20" i="12"/>
  <c r="AF20" i="12"/>
  <c r="AB20" i="12"/>
  <c r="AO20" i="12" s="1"/>
  <c r="BB19" i="12"/>
  <c r="AX19" i="12"/>
  <c r="AT19" i="12"/>
  <c r="AJ19" i="12"/>
  <c r="AF19" i="12"/>
  <c r="AB19" i="12"/>
  <c r="AO19" i="12" s="1"/>
  <c r="BB18" i="12"/>
  <c r="AX18" i="12"/>
  <c r="AT18" i="12"/>
  <c r="AJ18" i="12"/>
  <c r="AF18" i="12"/>
  <c r="AB18" i="12"/>
  <c r="AO18" i="12" s="1"/>
  <c r="BB17" i="12"/>
  <c r="AX17" i="12"/>
  <c r="AT17" i="12"/>
  <c r="AJ17" i="12"/>
  <c r="AF17" i="12"/>
  <c r="AB17" i="12"/>
  <c r="AO17" i="12" s="1"/>
  <c r="BB16" i="12"/>
  <c r="AX16" i="12"/>
  <c r="AT16" i="12"/>
  <c r="AJ16" i="12"/>
  <c r="AF16" i="12"/>
  <c r="AB16" i="12"/>
  <c r="AO16" i="12" s="1"/>
  <c r="BB15" i="12"/>
  <c r="AW15" i="12"/>
  <c r="AS15" i="12"/>
  <c r="AI15" i="12"/>
  <c r="AE15" i="12"/>
  <c r="BA14" i="12"/>
  <c r="AW14" i="12"/>
  <c r="AS14" i="12"/>
  <c r="AI14" i="12"/>
  <c r="AE14" i="12"/>
  <c r="BA13" i="12"/>
  <c r="AW13" i="12"/>
  <c r="AS13" i="12"/>
  <c r="AI13" i="12"/>
  <c r="AE13" i="12"/>
  <c r="BA12" i="12"/>
  <c r="AW12" i="12"/>
  <c r="AS12" i="12"/>
  <c r="AI12" i="12"/>
  <c r="AE12" i="12"/>
  <c r="BA11" i="12"/>
  <c r="AW11" i="12"/>
  <c r="AS11" i="12"/>
  <c r="AI11" i="12"/>
  <c r="AE11" i="12"/>
  <c r="BA10" i="12"/>
  <c r="AW10" i="12"/>
  <c r="AS10" i="12"/>
  <c r="AI10" i="12"/>
  <c r="AE10" i="12"/>
  <c r="AY9" i="12"/>
  <c r="AU9" i="12"/>
  <c r="AK9" i="12"/>
  <c r="AG9" i="12"/>
  <c r="AC9" i="12"/>
  <c r="BA8" i="12"/>
  <c r="AW8" i="12"/>
  <c r="AS8" i="12"/>
  <c r="AI8" i="12"/>
  <c r="AE8" i="12"/>
  <c r="AY7" i="12"/>
  <c r="AU7" i="12"/>
  <c r="AK7" i="12"/>
  <c r="AG7" i="12"/>
  <c r="AC7" i="12"/>
  <c r="BA6" i="12"/>
  <c r="AW6" i="12"/>
  <c r="AS6" i="12"/>
  <c r="AI6" i="12"/>
  <c r="AE6" i="12"/>
  <c r="BB5" i="12"/>
  <c r="AX5" i="12"/>
  <c r="AT5" i="12"/>
  <c r="AJ5" i="12"/>
  <c r="AF5" i="12"/>
  <c r="AB5" i="12"/>
  <c r="AO5" i="12" s="1"/>
  <c r="AY4" i="12"/>
  <c r="AU4" i="12"/>
  <c r="AK4" i="12"/>
  <c r="AG4" i="12"/>
  <c r="AC4" i="12"/>
  <c r="AZ3" i="12"/>
  <c r="AV3" i="12"/>
  <c r="AR3" i="12"/>
  <c r="AL3" i="12"/>
  <c r="AH3" i="12"/>
  <c r="AD3" i="12"/>
  <c r="AV15" i="12"/>
  <c r="AR15" i="12"/>
  <c r="BE15" i="12" s="1"/>
  <c r="AL15" i="12"/>
  <c r="AH15" i="12"/>
  <c r="AD15" i="12"/>
  <c r="AZ14" i="12"/>
  <c r="AV14" i="12"/>
  <c r="AR14" i="12"/>
  <c r="BE14" i="12" s="1"/>
  <c r="AL14" i="12"/>
  <c r="AH14" i="12"/>
  <c r="AD14" i="12"/>
  <c r="AZ13" i="12"/>
  <c r="AV13" i="12"/>
  <c r="AR13" i="12"/>
  <c r="BE13" i="12" s="1"/>
  <c r="AL13" i="12"/>
  <c r="AH13" i="12"/>
  <c r="AD13" i="12"/>
  <c r="AZ12" i="12"/>
  <c r="AV12" i="12"/>
  <c r="AR12" i="12"/>
  <c r="BE12" i="12" s="1"/>
  <c r="AL12" i="12"/>
  <c r="AH12" i="12"/>
  <c r="AD12" i="12"/>
  <c r="AZ11" i="12"/>
  <c r="AV11" i="12"/>
  <c r="AR11" i="12"/>
  <c r="BE11" i="12" s="1"/>
  <c r="AL11" i="12"/>
  <c r="AH11" i="12"/>
  <c r="AD11" i="12"/>
  <c r="AZ10" i="12"/>
  <c r="AV10" i="12"/>
  <c r="AR10" i="12"/>
  <c r="BE10" i="12" s="1"/>
  <c r="AL10" i="12"/>
  <c r="AH10" i="12"/>
  <c r="AD10" i="12"/>
  <c r="BB9" i="12"/>
  <c r="AX9" i="12"/>
  <c r="AT9" i="12"/>
  <c r="AJ9" i="12"/>
  <c r="AF9" i="12"/>
  <c r="AB9" i="12"/>
  <c r="AO9" i="12" s="1"/>
  <c r="AZ8" i="12"/>
  <c r="AV8" i="12"/>
  <c r="AR8" i="12"/>
  <c r="BE8" i="12" s="1"/>
  <c r="AL8" i="12"/>
  <c r="AH8" i="12"/>
  <c r="AD8" i="12"/>
  <c r="BB7" i="12"/>
  <c r="AX7" i="12"/>
  <c r="AT7" i="12"/>
  <c r="AJ7" i="12"/>
  <c r="AF7" i="12"/>
  <c r="AB7" i="12"/>
  <c r="AO7" i="12" s="1"/>
  <c r="AZ6" i="12"/>
  <c r="AV6" i="12"/>
  <c r="AR6" i="12"/>
  <c r="BE6" i="12" s="1"/>
  <c r="AL6" i="12"/>
  <c r="AH6" i="12"/>
  <c r="AD6" i="12"/>
  <c r="BA5" i="12"/>
  <c r="AW5" i="12"/>
  <c r="AS5" i="12"/>
  <c r="AI5" i="12"/>
  <c r="AE5" i="12"/>
  <c r="BB4" i="12"/>
  <c r="AX4" i="12"/>
  <c r="AT4" i="12"/>
  <c r="AJ4" i="12"/>
  <c r="AF4" i="12"/>
  <c r="AB4" i="12"/>
  <c r="AO4" i="12" s="1"/>
  <c r="AY3" i="12"/>
  <c r="AU3" i="12"/>
  <c r="AK3" i="12"/>
  <c r="AG3" i="12"/>
  <c r="AC3" i="12"/>
  <c r="BA15" i="12"/>
  <c r="AU15" i="12"/>
  <c r="AK15" i="12"/>
  <c r="AG15" i="12"/>
  <c r="AC15" i="12"/>
  <c r="AY14" i="12"/>
  <c r="AU14" i="12"/>
  <c r="AK14" i="12"/>
  <c r="AG14" i="12"/>
  <c r="AC14" i="12"/>
  <c r="AY13" i="12"/>
  <c r="AU13" i="12"/>
  <c r="AK13" i="12"/>
  <c r="AG13" i="12"/>
  <c r="AC13" i="12"/>
  <c r="AY12" i="12"/>
  <c r="AU12" i="12"/>
  <c r="AK12" i="12"/>
  <c r="AG12" i="12"/>
  <c r="AC12" i="12"/>
  <c r="AY11" i="12"/>
  <c r="AU11" i="12"/>
  <c r="AK11" i="12"/>
  <c r="AG11" i="12"/>
  <c r="AC11" i="12"/>
  <c r="AY10" i="12"/>
  <c r="AU10" i="12"/>
  <c r="AK10" i="12"/>
  <c r="AG10" i="12"/>
  <c r="AC10" i="12"/>
  <c r="BA9" i="12"/>
  <c r="AW9" i="12"/>
  <c r="AS9" i="12"/>
  <c r="AI9" i="12"/>
  <c r="AE9" i="12"/>
  <c r="AY8" i="12"/>
  <c r="AU8" i="12"/>
  <c r="AK8" i="12"/>
  <c r="AG8" i="12"/>
  <c r="AC8" i="12"/>
  <c r="BA7" i="12"/>
  <c r="AW7" i="12"/>
  <c r="AS7" i="12"/>
  <c r="AI7" i="12"/>
  <c r="AE7" i="12"/>
  <c r="AY6" i="12"/>
  <c r="AU6" i="12"/>
  <c r="AK6" i="12"/>
  <c r="AG6" i="12"/>
  <c r="AC6" i="12"/>
  <c r="AZ5" i="12"/>
  <c r="AV5" i="12"/>
  <c r="AR5" i="12"/>
  <c r="BE5" i="12" s="1"/>
  <c r="AL5" i="12"/>
  <c r="AH5" i="12"/>
  <c r="AD5" i="12"/>
  <c r="BA4" i="12"/>
  <c r="AW4" i="12"/>
  <c r="AS4" i="12"/>
  <c r="AI4" i="12"/>
  <c r="AE4" i="12"/>
  <c r="BB3" i="12"/>
  <c r="AX3" i="12"/>
  <c r="AT3" i="12"/>
  <c r="AJ3" i="12"/>
  <c r="AF3" i="12"/>
  <c r="AB3" i="12"/>
  <c r="AX15" i="12"/>
  <c r="AT15" i="12"/>
  <c r="AJ15" i="12"/>
  <c r="AF15" i="12"/>
  <c r="AB15" i="12"/>
  <c r="AO15" i="12" s="1"/>
  <c r="BB14" i="12"/>
  <c r="AX14" i="12"/>
  <c r="AT14" i="12"/>
  <c r="AJ14" i="12"/>
  <c r="AF14" i="12"/>
  <c r="AB14" i="12"/>
  <c r="AO14" i="12" s="1"/>
  <c r="BB13" i="12"/>
  <c r="AX13" i="12"/>
  <c r="AT13" i="12"/>
  <c r="AJ13" i="12"/>
  <c r="AF13" i="12"/>
  <c r="AB13" i="12"/>
  <c r="AO13" i="12" s="1"/>
  <c r="BB12" i="12"/>
  <c r="AX12" i="12"/>
  <c r="AT12" i="12"/>
  <c r="AJ12" i="12"/>
  <c r="AF12" i="12"/>
  <c r="AB12" i="12"/>
  <c r="AO12" i="12" s="1"/>
  <c r="BB11" i="12"/>
  <c r="AX11" i="12"/>
  <c r="AT11" i="12"/>
  <c r="AJ11" i="12"/>
  <c r="AF11" i="12"/>
  <c r="AB11" i="12"/>
  <c r="AO11" i="12" s="1"/>
  <c r="BB10" i="12"/>
  <c r="AX10" i="12"/>
  <c r="AT10" i="12"/>
  <c r="AJ10" i="12"/>
  <c r="AF10" i="12"/>
  <c r="AB10" i="12"/>
  <c r="AO10" i="12" s="1"/>
  <c r="AZ9" i="12"/>
  <c r="AV9" i="12"/>
  <c r="AR9" i="12"/>
  <c r="BE9" i="12" s="1"/>
  <c r="AL9" i="12"/>
  <c r="AH9" i="12"/>
  <c r="AD9" i="12"/>
  <c r="BB8" i="12"/>
  <c r="AX8" i="12"/>
  <c r="AT8" i="12"/>
  <c r="AJ8" i="12"/>
  <c r="AF8" i="12"/>
  <c r="AB8" i="12"/>
  <c r="AO8" i="12" s="1"/>
  <c r="AZ7" i="12"/>
  <c r="AV7" i="12"/>
  <c r="AR7" i="12"/>
  <c r="BE7" i="12" s="1"/>
  <c r="AL7" i="12"/>
  <c r="AH7" i="12"/>
  <c r="AD7" i="12"/>
  <c r="BB6" i="12"/>
  <c r="AX6" i="12"/>
  <c r="AT6" i="12"/>
  <c r="AJ6" i="12"/>
  <c r="AF6" i="12"/>
  <c r="AB6" i="12"/>
  <c r="AO6" i="12" s="1"/>
  <c r="AY5" i="12"/>
  <c r="AU5" i="12"/>
  <c r="AK5" i="12"/>
  <c r="AG5" i="12"/>
  <c r="AC5" i="12"/>
  <c r="AZ4" i="12"/>
  <c r="AV4" i="12"/>
  <c r="AR4" i="12"/>
  <c r="BE4" i="12" s="1"/>
  <c r="AL4" i="12"/>
  <c r="AH4" i="12"/>
  <c r="AD4" i="12"/>
  <c r="BA3" i="12"/>
  <c r="AW3" i="12"/>
  <c r="AS3" i="12"/>
  <c r="AI3" i="12"/>
  <c r="AE3" i="12"/>
  <c r="BB35" i="11"/>
  <c r="AX35" i="11"/>
  <c r="AT35" i="11"/>
  <c r="AJ35" i="11"/>
  <c r="AF35" i="11"/>
  <c r="AB35" i="11"/>
  <c r="AO35" i="11" s="1"/>
  <c r="BB34" i="11"/>
  <c r="AX34" i="11"/>
  <c r="AT34" i="11"/>
  <c r="AJ34" i="11"/>
  <c r="AF34" i="11"/>
  <c r="AB34" i="11"/>
  <c r="AO34" i="11" s="1"/>
  <c r="BB33" i="11"/>
  <c r="AX33" i="11"/>
  <c r="AT33" i="11"/>
  <c r="AJ33" i="11"/>
  <c r="AF33" i="11"/>
  <c r="AB33" i="11"/>
  <c r="AO33" i="11" s="1"/>
  <c r="BB32" i="11"/>
  <c r="AX32" i="11"/>
  <c r="AT32" i="11"/>
  <c r="AJ32" i="11"/>
  <c r="AF32" i="11"/>
  <c r="AB32" i="11"/>
  <c r="AO32" i="11" s="1"/>
  <c r="BB31" i="11"/>
  <c r="AX31" i="11"/>
  <c r="AT31" i="11"/>
  <c r="AJ31" i="11"/>
  <c r="AF31" i="11"/>
  <c r="AB31" i="11"/>
  <c r="AO31" i="11" s="1"/>
  <c r="BB30" i="11"/>
  <c r="AX30" i="11"/>
  <c r="AT30" i="11"/>
  <c r="AJ30" i="11"/>
  <c r="AF30" i="11"/>
  <c r="AB30" i="11"/>
  <c r="AO30" i="11" s="1"/>
  <c r="BB29" i="11"/>
  <c r="AX29" i="11"/>
  <c r="AT29" i="11"/>
  <c r="AJ29" i="11"/>
  <c r="AF29" i="11"/>
  <c r="AB29" i="11"/>
  <c r="AO29" i="11" s="1"/>
  <c r="BB28" i="11"/>
  <c r="AX28" i="11"/>
  <c r="AT28" i="11"/>
  <c r="AJ28" i="11"/>
  <c r="AF28" i="11"/>
  <c r="AB28" i="11"/>
  <c r="AO28" i="11" s="1"/>
  <c r="BB27" i="11"/>
  <c r="AX27" i="11"/>
  <c r="AT27" i="11"/>
  <c r="AJ27" i="11"/>
  <c r="AF27" i="11"/>
  <c r="AB27" i="11"/>
  <c r="AO27" i="11" s="1"/>
  <c r="BB26" i="11"/>
  <c r="AX26" i="11"/>
  <c r="AT26" i="11"/>
  <c r="AJ26" i="11"/>
  <c r="AF26" i="11"/>
  <c r="AB26" i="11"/>
  <c r="AO26" i="11" s="1"/>
  <c r="BB25" i="11"/>
  <c r="AX25" i="11"/>
  <c r="AT25" i="11"/>
  <c r="AJ25" i="11"/>
  <c r="AF25" i="11"/>
  <c r="AB25" i="11"/>
  <c r="AO25" i="11" s="1"/>
  <c r="BB24" i="11"/>
  <c r="AX24" i="11"/>
  <c r="AT24" i="11"/>
  <c r="AJ24" i="11"/>
  <c r="AF24" i="11"/>
  <c r="AB24" i="11"/>
  <c r="AO24" i="11" s="1"/>
  <c r="BB23" i="11"/>
  <c r="AX23" i="11"/>
  <c r="AT23" i="11"/>
  <c r="AJ23" i="11"/>
  <c r="AF23" i="11"/>
  <c r="AB23" i="11"/>
  <c r="AO23" i="11" s="1"/>
  <c r="BB22" i="11"/>
  <c r="AX22" i="11"/>
  <c r="AT22" i="11"/>
  <c r="AJ22" i="11"/>
  <c r="AF22" i="11"/>
  <c r="AB22" i="11"/>
  <c r="AO22" i="11" s="1"/>
  <c r="AY21" i="11"/>
  <c r="AU21" i="11"/>
  <c r="AK21" i="11"/>
  <c r="AG21" i="11"/>
  <c r="AC21" i="11"/>
  <c r="AY20" i="11"/>
  <c r="AU20" i="11"/>
  <c r="AK20" i="11"/>
  <c r="AG20" i="11"/>
  <c r="AC20" i="11"/>
  <c r="AY19" i="11"/>
  <c r="AU19" i="11"/>
  <c r="AK19" i="11"/>
  <c r="AG19" i="11"/>
  <c r="AC19" i="11"/>
  <c r="AY18" i="11"/>
  <c r="AU18" i="11"/>
  <c r="AK18" i="11"/>
  <c r="AG18" i="11"/>
  <c r="AC18" i="11"/>
  <c r="AY17" i="11"/>
  <c r="AU17" i="11"/>
  <c r="AK17" i="11"/>
  <c r="AG17" i="11"/>
  <c r="AC17" i="11"/>
  <c r="AY16" i="11"/>
  <c r="AU16" i="11"/>
  <c r="AK16" i="11"/>
  <c r="AG16" i="11"/>
  <c r="AC16" i="11"/>
  <c r="BA35" i="11"/>
  <c r="AW35" i="11"/>
  <c r="AS35" i="11"/>
  <c r="AI35" i="11"/>
  <c r="AE35" i="11"/>
  <c r="BA34" i="11"/>
  <c r="AW34" i="11"/>
  <c r="AS34" i="11"/>
  <c r="AI34" i="11"/>
  <c r="AE34" i="11"/>
  <c r="BA33" i="11"/>
  <c r="AW33" i="11"/>
  <c r="AS33" i="11"/>
  <c r="AI33" i="11"/>
  <c r="AE33" i="11"/>
  <c r="BA32" i="11"/>
  <c r="AW32" i="11"/>
  <c r="AS32" i="11"/>
  <c r="AI32" i="11"/>
  <c r="AE32" i="11"/>
  <c r="BA31" i="11"/>
  <c r="AW31" i="11"/>
  <c r="AS31" i="11"/>
  <c r="AI31" i="11"/>
  <c r="AE31" i="11"/>
  <c r="BA30" i="11"/>
  <c r="AW30" i="11"/>
  <c r="AS30" i="11"/>
  <c r="AI30" i="11"/>
  <c r="AE30" i="11"/>
  <c r="BA29" i="11"/>
  <c r="AW29" i="11"/>
  <c r="AS29" i="11"/>
  <c r="AI29" i="11"/>
  <c r="AE29" i="11"/>
  <c r="BA28" i="11"/>
  <c r="AW28" i="11"/>
  <c r="AS28" i="11"/>
  <c r="AI28" i="11"/>
  <c r="AE28" i="11"/>
  <c r="BA27" i="11"/>
  <c r="AW27" i="11"/>
  <c r="AS27" i="11"/>
  <c r="AI27" i="11"/>
  <c r="AE27" i="11"/>
  <c r="BA26" i="11"/>
  <c r="AW26" i="11"/>
  <c r="AS26" i="11"/>
  <c r="AI26" i="11"/>
  <c r="AE26" i="11"/>
  <c r="BA25" i="11"/>
  <c r="AW25" i="11"/>
  <c r="AS25" i="11"/>
  <c r="AI25" i="11"/>
  <c r="AE25" i="11"/>
  <c r="BA24" i="11"/>
  <c r="AW24" i="11"/>
  <c r="AS24" i="11"/>
  <c r="AI24" i="11"/>
  <c r="AE24" i="11"/>
  <c r="BA23" i="11"/>
  <c r="AW23" i="11"/>
  <c r="AS23" i="11"/>
  <c r="AI23" i="11"/>
  <c r="AE23" i="11"/>
  <c r="BA22" i="11"/>
  <c r="AW22" i="11"/>
  <c r="AS22" i="11"/>
  <c r="AI22" i="11"/>
  <c r="AE22" i="11"/>
  <c r="BB21" i="11"/>
  <c r="AX21" i="11"/>
  <c r="AT21" i="11"/>
  <c r="AJ21" i="11"/>
  <c r="AF21" i="11"/>
  <c r="AB21" i="11"/>
  <c r="AO21" i="11" s="1"/>
  <c r="BB20" i="11"/>
  <c r="AX20" i="11"/>
  <c r="AT20" i="11"/>
  <c r="AJ20" i="11"/>
  <c r="AF20" i="11"/>
  <c r="AB20" i="11"/>
  <c r="AO20" i="11" s="1"/>
  <c r="BB19" i="11"/>
  <c r="AX19" i="11"/>
  <c r="AT19" i="11"/>
  <c r="AJ19" i="11"/>
  <c r="AF19" i="11"/>
  <c r="AB19" i="11"/>
  <c r="AO19" i="11" s="1"/>
  <c r="BB18" i="11"/>
  <c r="AX18" i="11"/>
  <c r="AT18" i="11"/>
  <c r="AJ18" i="11"/>
  <c r="AF18" i="11"/>
  <c r="AB18" i="11"/>
  <c r="AO18" i="11" s="1"/>
  <c r="BB17" i="11"/>
  <c r="AX17" i="11"/>
  <c r="AT17" i="11"/>
  <c r="AJ17" i="11"/>
  <c r="AF17" i="11"/>
  <c r="AB17" i="11"/>
  <c r="AO17" i="11" s="1"/>
  <c r="BB16" i="11"/>
  <c r="AX16" i="11"/>
  <c r="AT16" i="11"/>
  <c r="AJ16" i="11"/>
  <c r="AF16" i="11"/>
  <c r="AB16" i="11"/>
  <c r="AO16" i="11" s="1"/>
  <c r="AY15" i="11"/>
  <c r="AU15" i="11"/>
  <c r="AZ35" i="11"/>
  <c r="AV35" i="11"/>
  <c r="AR35" i="11"/>
  <c r="BE35" i="11" s="1"/>
  <c r="AL35" i="11"/>
  <c r="AH35" i="11"/>
  <c r="AD35" i="11"/>
  <c r="AZ34" i="11"/>
  <c r="AV34" i="11"/>
  <c r="AR34" i="11"/>
  <c r="BE34" i="11" s="1"/>
  <c r="AL34" i="11"/>
  <c r="AH34" i="11"/>
  <c r="AD34" i="11"/>
  <c r="AZ33" i="11"/>
  <c r="AV33" i="11"/>
  <c r="AR33" i="11"/>
  <c r="BE33" i="11" s="1"/>
  <c r="AL33" i="11"/>
  <c r="AH33" i="11"/>
  <c r="AD33" i="11"/>
  <c r="AZ32" i="11"/>
  <c r="AV32" i="11"/>
  <c r="AR32" i="11"/>
  <c r="BE32" i="11" s="1"/>
  <c r="AL32" i="11"/>
  <c r="AH32" i="11"/>
  <c r="AD32" i="11"/>
  <c r="AZ31" i="11"/>
  <c r="AV31" i="11"/>
  <c r="AR31" i="11"/>
  <c r="BE31" i="11" s="1"/>
  <c r="AL31" i="11"/>
  <c r="AH31" i="11"/>
  <c r="AD31" i="11"/>
  <c r="AZ30" i="11"/>
  <c r="AV30" i="11"/>
  <c r="AR30" i="11"/>
  <c r="BE30" i="11" s="1"/>
  <c r="AL30" i="11"/>
  <c r="AH30" i="11"/>
  <c r="AD30" i="11"/>
  <c r="AZ29" i="11"/>
  <c r="AV29" i="11"/>
  <c r="AR29" i="11"/>
  <c r="BE29" i="11" s="1"/>
  <c r="AL29" i="11"/>
  <c r="AH29" i="11"/>
  <c r="AD29" i="11"/>
  <c r="AZ28" i="11"/>
  <c r="AV28" i="11"/>
  <c r="AR28" i="11"/>
  <c r="BE28" i="11" s="1"/>
  <c r="AL28" i="11"/>
  <c r="AH28" i="11"/>
  <c r="AD28" i="11"/>
  <c r="AZ27" i="11"/>
  <c r="AV27" i="11"/>
  <c r="AR27" i="11"/>
  <c r="BE27" i="11" s="1"/>
  <c r="AL27" i="11"/>
  <c r="AH27" i="11"/>
  <c r="AD27" i="11"/>
  <c r="AZ26" i="11"/>
  <c r="AV26" i="11"/>
  <c r="AR26" i="11"/>
  <c r="BE26" i="11" s="1"/>
  <c r="AL26" i="11"/>
  <c r="AH26" i="11"/>
  <c r="AD26" i="11"/>
  <c r="AZ25" i="11"/>
  <c r="AV25" i="11"/>
  <c r="AR25" i="11"/>
  <c r="BE25" i="11" s="1"/>
  <c r="AL25" i="11"/>
  <c r="AH25" i="11"/>
  <c r="AD25" i="11"/>
  <c r="AZ24" i="11"/>
  <c r="AV24" i="11"/>
  <c r="AR24" i="11"/>
  <c r="BE24" i="11" s="1"/>
  <c r="AL24" i="11"/>
  <c r="AH24" i="11"/>
  <c r="AD24" i="11"/>
  <c r="AZ23" i="11"/>
  <c r="AV23" i="11"/>
  <c r="AR23" i="11"/>
  <c r="BE23" i="11" s="1"/>
  <c r="AL23" i="11"/>
  <c r="AH23" i="11"/>
  <c r="AD23" i="11"/>
  <c r="AZ22" i="11"/>
  <c r="AV22" i="11"/>
  <c r="AR22" i="11"/>
  <c r="BE22" i="11" s="1"/>
  <c r="AL22" i="11"/>
  <c r="AH22" i="11"/>
  <c r="AD22" i="11"/>
  <c r="BA21" i="11"/>
  <c r="AW21" i="11"/>
  <c r="AS21" i="11"/>
  <c r="AI21" i="11"/>
  <c r="AE21" i="11"/>
  <c r="BA20" i="11"/>
  <c r="AW20" i="11"/>
  <c r="AS20" i="11"/>
  <c r="AI20" i="11"/>
  <c r="AE20" i="11"/>
  <c r="BA19" i="11"/>
  <c r="AW19" i="11"/>
  <c r="AS19" i="11"/>
  <c r="AI19" i="11"/>
  <c r="AE19" i="11"/>
  <c r="BA18" i="11"/>
  <c r="AW18" i="11"/>
  <c r="AS18" i="11"/>
  <c r="AI18" i="11"/>
  <c r="AE18" i="11"/>
  <c r="BA17" i="11"/>
  <c r="AW17" i="11"/>
  <c r="AS17" i="11"/>
  <c r="AI17" i="11"/>
  <c r="AE17" i="11"/>
  <c r="BA16" i="11"/>
  <c r="AW16" i="11"/>
  <c r="AS16" i="11"/>
  <c r="AI16" i="11"/>
  <c r="AE16" i="11"/>
  <c r="BB15" i="11"/>
  <c r="AX15" i="11"/>
  <c r="AY35" i="11"/>
  <c r="AU35" i="11"/>
  <c r="AK35" i="11"/>
  <c r="AG35" i="11"/>
  <c r="AC35" i="11"/>
  <c r="AY34" i="11"/>
  <c r="AU34" i="11"/>
  <c r="AK34" i="11"/>
  <c r="AG34" i="11"/>
  <c r="AC34" i="11"/>
  <c r="AY33" i="11"/>
  <c r="AU33" i="11"/>
  <c r="AK33" i="11"/>
  <c r="AG33" i="11"/>
  <c r="AC33" i="11"/>
  <c r="AY32" i="11"/>
  <c r="AU32" i="11"/>
  <c r="AK32" i="11"/>
  <c r="AG32" i="11"/>
  <c r="AC32" i="11"/>
  <c r="AY31" i="11"/>
  <c r="AU31" i="11"/>
  <c r="AK31" i="11"/>
  <c r="AG31" i="11"/>
  <c r="AC31" i="11"/>
  <c r="AY30" i="11"/>
  <c r="AU30" i="11"/>
  <c r="AK30" i="11"/>
  <c r="AG30" i="11"/>
  <c r="AC30" i="11"/>
  <c r="AY29" i="11"/>
  <c r="AU29" i="11"/>
  <c r="AK29" i="11"/>
  <c r="AG29" i="11"/>
  <c r="AC29" i="11"/>
  <c r="AY28" i="11"/>
  <c r="AU28" i="11"/>
  <c r="AK28" i="11"/>
  <c r="AG28" i="11"/>
  <c r="AC28" i="11"/>
  <c r="AY27" i="11"/>
  <c r="AU27" i="11"/>
  <c r="AK27" i="11"/>
  <c r="AG27" i="11"/>
  <c r="AC27" i="11"/>
  <c r="AY26" i="11"/>
  <c r="AU26" i="11"/>
  <c r="AK26" i="11"/>
  <c r="AG26" i="11"/>
  <c r="AC26" i="11"/>
  <c r="AY25" i="11"/>
  <c r="AU25" i="11"/>
  <c r="AK25" i="11"/>
  <c r="AG25" i="11"/>
  <c r="AC25" i="11"/>
  <c r="AY24" i="11"/>
  <c r="AU24" i="11"/>
  <c r="AK24" i="11"/>
  <c r="AG24" i="11"/>
  <c r="AC24" i="11"/>
  <c r="AY23" i="11"/>
  <c r="AU23" i="11"/>
  <c r="AK23" i="11"/>
  <c r="AG23" i="11"/>
  <c r="AC23" i="11"/>
  <c r="AY22" i="11"/>
  <c r="AU22" i="11"/>
  <c r="AK22" i="11"/>
  <c r="AG22" i="11"/>
  <c r="AC22" i="11"/>
  <c r="AZ21" i="11"/>
  <c r="AV21" i="11"/>
  <c r="AR21" i="11"/>
  <c r="BE21" i="11" s="1"/>
  <c r="AL21" i="11"/>
  <c r="AH21" i="11"/>
  <c r="AD21" i="11"/>
  <c r="AZ20" i="11"/>
  <c r="AV20" i="11"/>
  <c r="AR20" i="11"/>
  <c r="BE20" i="11" s="1"/>
  <c r="AL20" i="11"/>
  <c r="AH20" i="11"/>
  <c r="AD20" i="11"/>
  <c r="AZ19" i="11"/>
  <c r="AV19" i="11"/>
  <c r="AR19" i="11"/>
  <c r="BE19" i="11" s="1"/>
  <c r="AL19" i="11"/>
  <c r="AH19" i="11"/>
  <c r="AD19" i="11"/>
  <c r="AZ18" i="11"/>
  <c r="AV18" i="11"/>
  <c r="AR18" i="11"/>
  <c r="BE18" i="11" s="1"/>
  <c r="AL18" i="11"/>
  <c r="AH18" i="11"/>
  <c r="AD18" i="11"/>
  <c r="AZ17" i="11"/>
  <c r="AV17" i="11"/>
  <c r="AR17" i="11"/>
  <c r="BE17" i="11" s="1"/>
  <c r="AL17" i="11"/>
  <c r="AH17" i="11"/>
  <c r="AD17" i="11"/>
  <c r="AZ16" i="11"/>
  <c r="AV16" i="11"/>
  <c r="AR16" i="11"/>
  <c r="BE16" i="11" s="1"/>
  <c r="AL16" i="11"/>
  <c r="AH16" i="11"/>
  <c r="AD16" i="11"/>
  <c r="AZ15" i="11"/>
  <c r="AS15" i="11"/>
  <c r="AI15" i="11"/>
  <c r="AE15" i="11"/>
  <c r="BB14" i="11"/>
  <c r="AX14" i="11"/>
  <c r="AT14" i="11"/>
  <c r="AJ14" i="11"/>
  <c r="AF14" i="11"/>
  <c r="AB14" i="11"/>
  <c r="AO14" i="11" s="1"/>
  <c r="AY13" i="11"/>
  <c r="AU13" i="11"/>
  <c r="AK13" i="11"/>
  <c r="AG13" i="11"/>
  <c r="AC13" i="11"/>
  <c r="AY12" i="11"/>
  <c r="AU12" i="11"/>
  <c r="AK12" i="11"/>
  <c r="AG12" i="11"/>
  <c r="AC12" i="11"/>
  <c r="AY11" i="11"/>
  <c r="AU11" i="11"/>
  <c r="AK11" i="11"/>
  <c r="AG11" i="11"/>
  <c r="AC11" i="11"/>
  <c r="BA10" i="11"/>
  <c r="AW10" i="11"/>
  <c r="AS10" i="11"/>
  <c r="AI10" i="11"/>
  <c r="AE10" i="11"/>
  <c r="AY9" i="11"/>
  <c r="AU9" i="11"/>
  <c r="AK9" i="11"/>
  <c r="AG9" i="11"/>
  <c r="AC9" i="11"/>
  <c r="BA8" i="11"/>
  <c r="AW8" i="11"/>
  <c r="AS8" i="11"/>
  <c r="AI8" i="11"/>
  <c r="AE8" i="11"/>
  <c r="AY7" i="11"/>
  <c r="AU7" i="11"/>
  <c r="AK7" i="11"/>
  <c r="AG7" i="11"/>
  <c r="AC7" i="11"/>
  <c r="BA6" i="11"/>
  <c r="AW6" i="11"/>
  <c r="AS6" i="11"/>
  <c r="AI6" i="11"/>
  <c r="AE6" i="11"/>
  <c r="BB5" i="11"/>
  <c r="AX5" i="11"/>
  <c r="AT5" i="11"/>
  <c r="AJ5" i="11"/>
  <c r="AF5" i="11"/>
  <c r="AB5" i="11"/>
  <c r="AO5" i="11" s="1"/>
  <c r="AY4" i="11"/>
  <c r="AU4" i="11"/>
  <c r="AK4" i="11"/>
  <c r="AG4" i="11"/>
  <c r="AC4" i="11"/>
  <c r="AZ3" i="11"/>
  <c r="AV3" i="11"/>
  <c r="AR3" i="11"/>
  <c r="AL3" i="11"/>
  <c r="AH3" i="11"/>
  <c r="AD3" i="11"/>
  <c r="AW15" i="11"/>
  <c r="AR15" i="11"/>
  <c r="BE15" i="11" s="1"/>
  <c r="AL15" i="11"/>
  <c r="AH15" i="11"/>
  <c r="AD15" i="11"/>
  <c r="BA14" i="11"/>
  <c r="AW14" i="11"/>
  <c r="AS14" i="11"/>
  <c r="AI14" i="11"/>
  <c r="AE14" i="11"/>
  <c r="BB13" i="11"/>
  <c r="AX13" i="11"/>
  <c r="AT13" i="11"/>
  <c r="AJ13" i="11"/>
  <c r="AF13" i="11"/>
  <c r="AB13" i="11"/>
  <c r="AO13" i="11" s="1"/>
  <c r="BB12" i="11"/>
  <c r="AX12" i="11"/>
  <c r="AT12" i="11"/>
  <c r="AJ12" i="11"/>
  <c r="AF12" i="11"/>
  <c r="AB12" i="11"/>
  <c r="AO12" i="11" s="1"/>
  <c r="BB11" i="11"/>
  <c r="AX11" i="11"/>
  <c r="AT11" i="11"/>
  <c r="AJ11" i="11"/>
  <c r="AF11" i="11"/>
  <c r="AB11" i="11"/>
  <c r="AO11" i="11" s="1"/>
  <c r="AZ10" i="11"/>
  <c r="AV10" i="11"/>
  <c r="AR10" i="11"/>
  <c r="BE10" i="11" s="1"/>
  <c r="AL10" i="11"/>
  <c r="AH10" i="11"/>
  <c r="AD10" i="11"/>
  <c r="BB9" i="11"/>
  <c r="AX9" i="11"/>
  <c r="AT9" i="11"/>
  <c r="AJ9" i="11"/>
  <c r="AF9" i="11"/>
  <c r="AB9" i="11"/>
  <c r="AO9" i="11" s="1"/>
  <c r="AZ8" i="11"/>
  <c r="AV8" i="11"/>
  <c r="AR8" i="11"/>
  <c r="BE8" i="11" s="1"/>
  <c r="AL8" i="11"/>
  <c r="AH8" i="11"/>
  <c r="AD8" i="11"/>
  <c r="BB7" i="11"/>
  <c r="AX7" i="11"/>
  <c r="AT7" i="11"/>
  <c r="AJ7" i="11"/>
  <c r="AF7" i="11"/>
  <c r="AB7" i="11"/>
  <c r="AO7" i="11" s="1"/>
  <c r="AZ6" i="11"/>
  <c r="AV6" i="11"/>
  <c r="AR6" i="11"/>
  <c r="BE6" i="11" s="1"/>
  <c r="AL6" i="11"/>
  <c r="AH6" i="11"/>
  <c r="AD6" i="11"/>
  <c r="BA5" i="11"/>
  <c r="AW5" i="11"/>
  <c r="AS5" i="11"/>
  <c r="AI5" i="11"/>
  <c r="AE5" i="11"/>
  <c r="BB4" i="11"/>
  <c r="AX4" i="11"/>
  <c r="AT4" i="11"/>
  <c r="AJ4" i="11"/>
  <c r="AF4" i="11"/>
  <c r="AB4" i="11"/>
  <c r="AO4" i="11" s="1"/>
  <c r="AY3" i="11"/>
  <c r="AU3" i="11"/>
  <c r="AK3" i="11"/>
  <c r="AG3" i="11"/>
  <c r="AC3" i="11"/>
  <c r="AV15" i="11"/>
  <c r="AK15" i="11"/>
  <c r="AG15" i="11"/>
  <c r="AC15" i="11"/>
  <c r="AZ14" i="11"/>
  <c r="AV14" i="11"/>
  <c r="AR14" i="11"/>
  <c r="BE14" i="11" s="1"/>
  <c r="AL14" i="11"/>
  <c r="AH14" i="11"/>
  <c r="AD14" i="11"/>
  <c r="BA13" i="11"/>
  <c r="AW13" i="11"/>
  <c r="AS13" i="11"/>
  <c r="AI13" i="11"/>
  <c r="AE13" i="11"/>
  <c r="BA12" i="11"/>
  <c r="AW12" i="11"/>
  <c r="AS12" i="11"/>
  <c r="AI12" i="11"/>
  <c r="AE12" i="11"/>
  <c r="BA11" i="11"/>
  <c r="AW11" i="11"/>
  <c r="AS11" i="11"/>
  <c r="AI11" i="11"/>
  <c r="AE11" i="11"/>
  <c r="AY10" i="11"/>
  <c r="AU10" i="11"/>
  <c r="AK10" i="11"/>
  <c r="AG10" i="11"/>
  <c r="AC10" i="11"/>
  <c r="BA9" i="11"/>
  <c r="AW9" i="11"/>
  <c r="AS9" i="11"/>
  <c r="AI9" i="11"/>
  <c r="AE9" i="11"/>
  <c r="AY8" i="11"/>
  <c r="AU8" i="11"/>
  <c r="AK8" i="11"/>
  <c r="AG8" i="11"/>
  <c r="AC8" i="11"/>
  <c r="BA7" i="11"/>
  <c r="AW7" i="11"/>
  <c r="AS7" i="11"/>
  <c r="AI7" i="11"/>
  <c r="AE7" i="11"/>
  <c r="AY6" i="11"/>
  <c r="AU6" i="11"/>
  <c r="AK6" i="11"/>
  <c r="AG6" i="11"/>
  <c r="AC6" i="11"/>
  <c r="AZ5" i="11"/>
  <c r="AV5" i="11"/>
  <c r="AR5" i="11"/>
  <c r="BE5" i="11" s="1"/>
  <c r="AL5" i="11"/>
  <c r="AH5" i="11"/>
  <c r="AD5" i="11"/>
  <c r="BA4" i="11"/>
  <c r="AW4" i="11"/>
  <c r="AS4" i="11"/>
  <c r="AI4" i="11"/>
  <c r="AE4" i="11"/>
  <c r="BB3" i="11"/>
  <c r="AX3" i="11"/>
  <c r="AT3" i="11"/>
  <c r="AJ3" i="11"/>
  <c r="AF3" i="11"/>
  <c r="AB3" i="11"/>
  <c r="BA15" i="11"/>
  <c r="AT15" i="11"/>
  <c r="AJ15" i="11"/>
  <c r="AF15" i="11"/>
  <c r="AB15" i="11"/>
  <c r="AO15" i="11" s="1"/>
  <c r="AY14" i="11"/>
  <c r="AU14" i="11"/>
  <c r="AK14" i="11"/>
  <c r="AG14" i="11"/>
  <c r="AC14" i="11"/>
  <c r="AZ13" i="11"/>
  <c r="AV13" i="11"/>
  <c r="AR13" i="11"/>
  <c r="BE13" i="11" s="1"/>
  <c r="AL13" i="11"/>
  <c r="AH13" i="11"/>
  <c r="AD13" i="11"/>
  <c r="AZ12" i="11"/>
  <c r="AV12" i="11"/>
  <c r="AR12" i="11"/>
  <c r="BE12" i="11" s="1"/>
  <c r="AL12" i="11"/>
  <c r="AH12" i="11"/>
  <c r="AD12" i="11"/>
  <c r="AZ11" i="11"/>
  <c r="AV11" i="11"/>
  <c r="AR11" i="11"/>
  <c r="BE11" i="11" s="1"/>
  <c r="AL11" i="11"/>
  <c r="AH11" i="11"/>
  <c r="AD11" i="11"/>
  <c r="BB10" i="11"/>
  <c r="AX10" i="11"/>
  <c r="AT10" i="11"/>
  <c r="AJ10" i="11"/>
  <c r="AF10" i="11"/>
  <c r="AB10" i="11"/>
  <c r="AO10" i="11" s="1"/>
  <c r="AZ9" i="11"/>
  <c r="AV9" i="11"/>
  <c r="AR9" i="11"/>
  <c r="BE9" i="11" s="1"/>
  <c r="AL9" i="11"/>
  <c r="AH9" i="11"/>
  <c r="AD9" i="11"/>
  <c r="BB8" i="11"/>
  <c r="AX8" i="11"/>
  <c r="AT8" i="11"/>
  <c r="AJ8" i="11"/>
  <c r="AF8" i="11"/>
  <c r="AB8" i="11"/>
  <c r="AO8" i="11" s="1"/>
  <c r="AZ7" i="11"/>
  <c r="AV7" i="11"/>
  <c r="AR7" i="11"/>
  <c r="BE7" i="11" s="1"/>
  <c r="AL7" i="11"/>
  <c r="AH7" i="11"/>
  <c r="AD7" i="11"/>
  <c r="BB6" i="11"/>
  <c r="AX6" i="11"/>
  <c r="AT6" i="11"/>
  <c r="AJ6" i="11"/>
  <c r="AF6" i="11"/>
  <c r="AB6" i="11"/>
  <c r="AO6" i="11" s="1"/>
  <c r="AY5" i="11"/>
  <c r="AU5" i="11"/>
  <c r="AK5" i="11"/>
  <c r="AG5" i="11"/>
  <c r="AC5" i="11"/>
  <c r="AZ4" i="11"/>
  <c r="AV4" i="11"/>
  <c r="AR4" i="11"/>
  <c r="BE4" i="11" s="1"/>
  <c r="AL4" i="11"/>
  <c r="AH4" i="11"/>
  <c r="AD4" i="11"/>
  <c r="BA3" i="11"/>
  <c r="AW3" i="11"/>
  <c r="AS3" i="11"/>
  <c r="AI3" i="11"/>
  <c r="AE3" i="11"/>
  <c r="AY35" i="9"/>
  <c r="AU35" i="9"/>
  <c r="AK35" i="9"/>
  <c r="AG35" i="9"/>
  <c r="AC35" i="9"/>
  <c r="AY34" i="9"/>
  <c r="AU34" i="9"/>
  <c r="AK34" i="9"/>
  <c r="AG34" i="9"/>
  <c r="AC34" i="9"/>
  <c r="AY33" i="9"/>
  <c r="AU33" i="9"/>
  <c r="AK33" i="9"/>
  <c r="AG33" i="9"/>
  <c r="AC33" i="9"/>
  <c r="AY32" i="9"/>
  <c r="AU32" i="9"/>
  <c r="AK32" i="9"/>
  <c r="AG32" i="9"/>
  <c r="AC32" i="9"/>
  <c r="AY31" i="9"/>
  <c r="AU31" i="9"/>
  <c r="AK31" i="9"/>
  <c r="AG31" i="9"/>
  <c r="AC31" i="9"/>
  <c r="AY30" i="9"/>
  <c r="AU30" i="9"/>
  <c r="AK30" i="9"/>
  <c r="AG30" i="9"/>
  <c r="AC30" i="9"/>
  <c r="AY29" i="9"/>
  <c r="AU29" i="9"/>
  <c r="AK29" i="9"/>
  <c r="AG29" i="9"/>
  <c r="AC29" i="9"/>
  <c r="AY28" i="9"/>
  <c r="AU28" i="9"/>
  <c r="AK28" i="9"/>
  <c r="AG28" i="9"/>
  <c r="AC28" i="9"/>
  <c r="AY27" i="9"/>
  <c r="AU27" i="9"/>
  <c r="AK27" i="9"/>
  <c r="AG27" i="9"/>
  <c r="AC27" i="9"/>
  <c r="AY26" i="9"/>
  <c r="AU26" i="9"/>
  <c r="AK26" i="9"/>
  <c r="AG26" i="9"/>
  <c r="AC26" i="9"/>
  <c r="AY25" i="9"/>
  <c r="AU25" i="9"/>
  <c r="AK25" i="9"/>
  <c r="AG25" i="9"/>
  <c r="AC25" i="9"/>
  <c r="AY24" i="9"/>
  <c r="AU24" i="9"/>
  <c r="AK24" i="9"/>
  <c r="AG24" i="9"/>
  <c r="AC24" i="9"/>
  <c r="AY23" i="9"/>
  <c r="AU23" i="9"/>
  <c r="AK23" i="9"/>
  <c r="AG23" i="9"/>
  <c r="AC23" i="9"/>
  <c r="AY22" i="9"/>
  <c r="AU22" i="9"/>
  <c r="AK22" i="9"/>
  <c r="AG22" i="9"/>
  <c r="AC22" i="9"/>
  <c r="AY21" i="9"/>
  <c r="AU21" i="9"/>
  <c r="AK21" i="9"/>
  <c r="AG21" i="9"/>
  <c r="AC21" i="9"/>
  <c r="AY20" i="9"/>
  <c r="AU20" i="9"/>
  <c r="AK20" i="9"/>
  <c r="AG20" i="9"/>
  <c r="AC20" i="9"/>
  <c r="AY19" i="9"/>
  <c r="AU19" i="9"/>
  <c r="AK19" i="9"/>
  <c r="AG19" i="9"/>
  <c r="AC19" i="9"/>
  <c r="AY18" i="9"/>
  <c r="AU18" i="9"/>
  <c r="AK18" i="9"/>
  <c r="AG18" i="9"/>
  <c r="AC18" i="9"/>
  <c r="AY17" i="9"/>
  <c r="AU17" i="9"/>
  <c r="AK17" i="9"/>
  <c r="AG17" i="9"/>
  <c r="AC17" i="9"/>
  <c r="AY16" i="9"/>
  <c r="AU16" i="9"/>
  <c r="AK16" i="9"/>
  <c r="AG16" i="9"/>
  <c r="AC16" i="9"/>
  <c r="AY15" i="9"/>
  <c r="AU15" i="9"/>
  <c r="AK15" i="9"/>
  <c r="AG15" i="9"/>
  <c r="AC15" i="9"/>
  <c r="AY14" i="9"/>
  <c r="AU14" i="9"/>
  <c r="AK14" i="9"/>
  <c r="AG14" i="9"/>
  <c r="AC14" i="9"/>
  <c r="AY13" i="9"/>
  <c r="AU13" i="9"/>
  <c r="AK13" i="9"/>
  <c r="AG13" i="9"/>
  <c r="AC13" i="9"/>
  <c r="AY12" i="9"/>
  <c r="AU12" i="9"/>
  <c r="AK12" i="9"/>
  <c r="AG12" i="9"/>
  <c r="AC12" i="9"/>
  <c r="AY11" i="9"/>
  <c r="AU11" i="9"/>
  <c r="AK11" i="9"/>
  <c r="AG11" i="9"/>
  <c r="AC11" i="9"/>
  <c r="AY10" i="9"/>
  <c r="AU10" i="9"/>
  <c r="AK10" i="9"/>
  <c r="AG10" i="9"/>
  <c r="AC10" i="9"/>
  <c r="BA9" i="9"/>
  <c r="AW9" i="9"/>
  <c r="AS9" i="9"/>
  <c r="AI9" i="9"/>
  <c r="AE9" i="9"/>
  <c r="AY8" i="9"/>
  <c r="AU8" i="9"/>
  <c r="AK8" i="9"/>
  <c r="AG8" i="9"/>
  <c r="AC8" i="9"/>
  <c r="BA7" i="9"/>
  <c r="AW7" i="9"/>
  <c r="AS7" i="9"/>
  <c r="AI7" i="9"/>
  <c r="AE7" i="9"/>
  <c r="AY6" i="9"/>
  <c r="AU6" i="9"/>
  <c r="AK6" i="9"/>
  <c r="AG6" i="9"/>
  <c r="AC6" i="9"/>
  <c r="AZ5" i="9"/>
  <c r="AV5" i="9"/>
  <c r="AR5" i="9"/>
  <c r="BE5" i="9" s="1"/>
  <c r="AL5" i="9"/>
  <c r="AH5" i="9"/>
  <c r="AD5" i="9"/>
  <c r="BA4" i="9"/>
  <c r="AW4" i="9"/>
  <c r="AS4" i="9"/>
  <c r="AI4" i="9"/>
  <c r="AE4" i="9"/>
  <c r="BB3" i="9"/>
  <c r="AX3" i="9"/>
  <c r="AT3" i="9"/>
  <c r="AJ3" i="9"/>
  <c r="AF3" i="9"/>
  <c r="AB3" i="9"/>
  <c r="BB35" i="9"/>
  <c r="AX35" i="9"/>
  <c r="AT35" i="9"/>
  <c r="AJ35" i="9"/>
  <c r="AF35" i="9"/>
  <c r="AB35" i="9"/>
  <c r="AO35" i="9" s="1"/>
  <c r="BB34" i="9"/>
  <c r="AX34" i="9"/>
  <c r="AT34" i="9"/>
  <c r="AJ34" i="9"/>
  <c r="AF34" i="9"/>
  <c r="AB34" i="9"/>
  <c r="AO34" i="9" s="1"/>
  <c r="BB33" i="9"/>
  <c r="AX33" i="9"/>
  <c r="AT33" i="9"/>
  <c r="AJ33" i="9"/>
  <c r="AF33" i="9"/>
  <c r="AB33" i="9"/>
  <c r="AO33" i="9" s="1"/>
  <c r="BB32" i="9"/>
  <c r="AX32" i="9"/>
  <c r="AT32" i="9"/>
  <c r="AJ32" i="9"/>
  <c r="AF32" i="9"/>
  <c r="AB32" i="9"/>
  <c r="AO32" i="9" s="1"/>
  <c r="BB31" i="9"/>
  <c r="AX31" i="9"/>
  <c r="AT31" i="9"/>
  <c r="AJ31" i="9"/>
  <c r="AF31" i="9"/>
  <c r="AB31" i="9"/>
  <c r="AO31" i="9" s="1"/>
  <c r="BB30" i="9"/>
  <c r="AX30" i="9"/>
  <c r="AT30" i="9"/>
  <c r="AJ30" i="9"/>
  <c r="AF30" i="9"/>
  <c r="AB30" i="9"/>
  <c r="AO30" i="9" s="1"/>
  <c r="BB29" i="9"/>
  <c r="AX29" i="9"/>
  <c r="AT29" i="9"/>
  <c r="AJ29" i="9"/>
  <c r="AF29" i="9"/>
  <c r="AB29" i="9"/>
  <c r="AO29" i="9" s="1"/>
  <c r="BB28" i="9"/>
  <c r="AX28" i="9"/>
  <c r="AT28" i="9"/>
  <c r="AJ28" i="9"/>
  <c r="AF28" i="9"/>
  <c r="AB28" i="9"/>
  <c r="AO28" i="9" s="1"/>
  <c r="BB27" i="9"/>
  <c r="AX27" i="9"/>
  <c r="AT27" i="9"/>
  <c r="AJ27" i="9"/>
  <c r="AF27" i="9"/>
  <c r="AB27" i="9"/>
  <c r="AO27" i="9" s="1"/>
  <c r="BB26" i="9"/>
  <c r="AX26" i="9"/>
  <c r="AT26" i="9"/>
  <c r="AJ26" i="9"/>
  <c r="AF26" i="9"/>
  <c r="AB26" i="9"/>
  <c r="AO26" i="9" s="1"/>
  <c r="BB25" i="9"/>
  <c r="AX25" i="9"/>
  <c r="AT25" i="9"/>
  <c r="AJ25" i="9"/>
  <c r="AF25" i="9"/>
  <c r="AB25" i="9"/>
  <c r="AO25" i="9" s="1"/>
  <c r="BB24" i="9"/>
  <c r="AX24" i="9"/>
  <c r="AT24" i="9"/>
  <c r="AJ24" i="9"/>
  <c r="AF24" i="9"/>
  <c r="AB24" i="9"/>
  <c r="AO24" i="9" s="1"/>
  <c r="BB23" i="9"/>
  <c r="AX23" i="9"/>
  <c r="AT23" i="9"/>
  <c r="AJ23" i="9"/>
  <c r="AF23" i="9"/>
  <c r="AB23" i="9"/>
  <c r="AO23" i="9" s="1"/>
  <c r="BB22" i="9"/>
  <c r="AX22" i="9"/>
  <c r="AT22" i="9"/>
  <c r="AJ22" i="9"/>
  <c r="AF22" i="9"/>
  <c r="AB22" i="9"/>
  <c r="AO22" i="9" s="1"/>
  <c r="BB21" i="9"/>
  <c r="AX21" i="9"/>
  <c r="AT21" i="9"/>
  <c r="AJ21" i="9"/>
  <c r="AF21" i="9"/>
  <c r="AB21" i="9"/>
  <c r="AO21" i="9" s="1"/>
  <c r="BB20" i="9"/>
  <c r="AX20" i="9"/>
  <c r="AT20" i="9"/>
  <c r="AJ20" i="9"/>
  <c r="AF20" i="9"/>
  <c r="AB20" i="9"/>
  <c r="AO20" i="9" s="1"/>
  <c r="BB19" i="9"/>
  <c r="AX19" i="9"/>
  <c r="AT19" i="9"/>
  <c r="AJ19" i="9"/>
  <c r="AF19" i="9"/>
  <c r="AB19" i="9"/>
  <c r="AO19" i="9" s="1"/>
  <c r="BB18" i="9"/>
  <c r="AX18" i="9"/>
  <c r="AT18" i="9"/>
  <c r="AJ18" i="9"/>
  <c r="AF18" i="9"/>
  <c r="AB18" i="9"/>
  <c r="AO18" i="9" s="1"/>
  <c r="BB17" i="9"/>
  <c r="AX17" i="9"/>
  <c r="AT17" i="9"/>
  <c r="AJ17" i="9"/>
  <c r="AF17" i="9"/>
  <c r="AB17" i="9"/>
  <c r="AO17" i="9" s="1"/>
  <c r="BB16" i="9"/>
  <c r="AX16" i="9"/>
  <c r="AT16" i="9"/>
  <c r="AJ16" i="9"/>
  <c r="AF16" i="9"/>
  <c r="AB16" i="9"/>
  <c r="AO16" i="9" s="1"/>
  <c r="BB15" i="9"/>
  <c r="AX15" i="9"/>
  <c r="AT15" i="9"/>
  <c r="AJ15" i="9"/>
  <c r="AF15" i="9"/>
  <c r="AB15" i="9"/>
  <c r="AO15" i="9" s="1"/>
  <c r="BB14" i="9"/>
  <c r="AX14" i="9"/>
  <c r="AT14" i="9"/>
  <c r="AJ14" i="9"/>
  <c r="AF14" i="9"/>
  <c r="AB14" i="9"/>
  <c r="AO14" i="9" s="1"/>
  <c r="BB13" i="9"/>
  <c r="AX13" i="9"/>
  <c r="AT13" i="9"/>
  <c r="AJ13" i="9"/>
  <c r="AF13" i="9"/>
  <c r="AB13" i="9"/>
  <c r="AO13" i="9" s="1"/>
  <c r="BB12" i="9"/>
  <c r="AX12" i="9"/>
  <c r="AT12" i="9"/>
  <c r="AJ12" i="9"/>
  <c r="AF12" i="9"/>
  <c r="AB12" i="9"/>
  <c r="AO12" i="9" s="1"/>
  <c r="BB11" i="9"/>
  <c r="AX11" i="9"/>
  <c r="AT11" i="9"/>
  <c r="AJ11" i="9"/>
  <c r="AF11" i="9"/>
  <c r="AB11" i="9"/>
  <c r="AO11" i="9" s="1"/>
  <c r="BB10" i="9"/>
  <c r="AX10" i="9"/>
  <c r="AT10" i="9"/>
  <c r="AJ10" i="9"/>
  <c r="AF10" i="9"/>
  <c r="AB10" i="9"/>
  <c r="AO10" i="9" s="1"/>
  <c r="AZ9" i="9"/>
  <c r="AV9" i="9"/>
  <c r="AR9" i="9"/>
  <c r="BE9" i="9" s="1"/>
  <c r="AL9" i="9"/>
  <c r="AH9" i="9"/>
  <c r="AD9" i="9"/>
  <c r="BB8" i="9"/>
  <c r="AX8" i="9"/>
  <c r="AT8" i="9"/>
  <c r="AJ8" i="9"/>
  <c r="AF8" i="9"/>
  <c r="AB8" i="9"/>
  <c r="AO8" i="9" s="1"/>
  <c r="AZ7" i="9"/>
  <c r="AV7" i="9"/>
  <c r="AR7" i="9"/>
  <c r="BE7" i="9" s="1"/>
  <c r="AL7" i="9"/>
  <c r="AH7" i="9"/>
  <c r="AD7" i="9"/>
  <c r="BB6" i="9"/>
  <c r="AX6" i="9"/>
  <c r="AT6" i="9"/>
  <c r="AJ6" i="9"/>
  <c r="AF6" i="9"/>
  <c r="AB6" i="9"/>
  <c r="AO6" i="9" s="1"/>
  <c r="AY5" i="9"/>
  <c r="AU5" i="9"/>
  <c r="AK5" i="9"/>
  <c r="AG5" i="9"/>
  <c r="AC5" i="9"/>
  <c r="AZ4" i="9"/>
  <c r="AV4" i="9"/>
  <c r="AR4" i="9"/>
  <c r="BE4" i="9" s="1"/>
  <c r="AL4" i="9"/>
  <c r="AH4" i="9"/>
  <c r="AD4" i="9"/>
  <c r="BA3" i="9"/>
  <c r="AW3" i="9"/>
  <c r="AS3" i="9"/>
  <c r="AI3" i="9"/>
  <c r="AE3" i="9"/>
  <c r="BA35" i="9"/>
  <c r="AW35" i="9"/>
  <c r="AS35" i="9"/>
  <c r="AI35" i="9"/>
  <c r="AE35" i="9"/>
  <c r="BA34" i="9"/>
  <c r="AW34" i="9"/>
  <c r="AS34" i="9"/>
  <c r="AI34" i="9"/>
  <c r="AE34" i="9"/>
  <c r="BA33" i="9"/>
  <c r="AW33" i="9"/>
  <c r="AS33" i="9"/>
  <c r="AI33" i="9"/>
  <c r="AE33" i="9"/>
  <c r="BA32" i="9"/>
  <c r="AW32" i="9"/>
  <c r="AS32" i="9"/>
  <c r="AI32" i="9"/>
  <c r="AE32" i="9"/>
  <c r="BA31" i="9"/>
  <c r="AW31" i="9"/>
  <c r="AS31" i="9"/>
  <c r="AI31" i="9"/>
  <c r="AE31" i="9"/>
  <c r="BA30" i="9"/>
  <c r="AW30" i="9"/>
  <c r="AS30" i="9"/>
  <c r="AI30" i="9"/>
  <c r="AE30" i="9"/>
  <c r="BA29" i="9"/>
  <c r="AW29" i="9"/>
  <c r="AS29" i="9"/>
  <c r="AI29" i="9"/>
  <c r="AE29" i="9"/>
  <c r="BA28" i="9"/>
  <c r="AW28" i="9"/>
  <c r="AS28" i="9"/>
  <c r="AI28" i="9"/>
  <c r="AE28" i="9"/>
  <c r="BA27" i="9"/>
  <c r="AW27" i="9"/>
  <c r="AS27" i="9"/>
  <c r="AI27" i="9"/>
  <c r="AE27" i="9"/>
  <c r="BA26" i="9"/>
  <c r="AW26" i="9"/>
  <c r="AS26" i="9"/>
  <c r="AI26" i="9"/>
  <c r="AE26" i="9"/>
  <c r="BA25" i="9"/>
  <c r="AW25" i="9"/>
  <c r="AS25" i="9"/>
  <c r="AI25" i="9"/>
  <c r="AE25" i="9"/>
  <c r="BA24" i="9"/>
  <c r="AW24" i="9"/>
  <c r="AS24" i="9"/>
  <c r="AI24" i="9"/>
  <c r="AE24" i="9"/>
  <c r="BA23" i="9"/>
  <c r="AW23" i="9"/>
  <c r="AS23" i="9"/>
  <c r="AI23" i="9"/>
  <c r="AE23" i="9"/>
  <c r="BA22" i="9"/>
  <c r="AW22" i="9"/>
  <c r="AS22" i="9"/>
  <c r="AI22" i="9"/>
  <c r="AE22" i="9"/>
  <c r="BA21" i="9"/>
  <c r="AW21" i="9"/>
  <c r="AS21" i="9"/>
  <c r="AI21" i="9"/>
  <c r="AE21" i="9"/>
  <c r="BA20" i="9"/>
  <c r="AW20" i="9"/>
  <c r="AS20" i="9"/>
  <c r="AI20" i="9"/>
  <c r="AE20" i="9"/>
  <c r="BA19" i="9"/>
  <c r="AW19" i="9"/>
  <c r="AS19" i="9"/>
  <c r="AI19" i="9"/>
  <c r="AE19" i="9"/>
  <c r="BA18" i="9"/>
  <c r="AW18" i="9"/>
  <c r="AS18" i="9"/>
  <c r="AI18" i="9"/>
  <c r="AE18" i="9"/>
  <c r="BA17" i="9"/>
  <c r="AW17" i="9"/>
  <c r="AS17" i="9"/>
  <c r="AI17" i="9"/>
  <c r="AE17" i="9"/>
  <c r="BA16" i="9"/>
  <c r="AW16" i="9"/>
  <c r="AS16" i="9"/>
  <c r="AI16" i="9"/>
  <c r="AE16" i="9"/>
  <c r="BA15" i="9"/>
  <c r="AW15" i="9"/>
  <c r="AS15" i="9"/>
  <c r="AI15" i="9"/>
  <c r="AE15" i="9"/>
  <c r="BA14" i="9"/>
  <c r="AW14" i="9"/>
  <c r="AS14" i="9"/>
  <c r="AI14" i="9"/>
  <c r="AE14" i="9"/>
  <c r="BA13" i="9"/>
  <c r="AW13" i="9"/>
  <c r="AS13" i="9"/>
  <c r="AI13" i="9"/>
  <c r="AE13" i="9"/>
  <c r="BA12" i="9"/>
  <c r="AW12" i="9"/>
  <c r="AS12" i="9"/>
  <c r="AI12" i="9"/>
  <c r="AE12" i="9"/>
  <c r="BA11" i="9"/>
  <c r="AW11" i="9"/>
  <c r="AS11" i="9"/>
  <c r="AI11" i="9"/>
  <c r="AE11" i="9"/>
  <c r="BA10" i="9"/>
  <c r="AW10" i="9"/>
  <c r="AS10" i="9"/>
  <c r="AI10" i="9"/>
  <c r="AE10" i="9"/>
  <c r="AY9" i="9"/>
  <c r="AU9" i="9"/>
  <c r="AK9" i="9"/>
  <c r="AG9" i="9"/>
  <c r="AC9" i="9"/>
  <c r="BA8" i="9"/>
  <c r="AW8" i="9"/>
  <c r="AS8" i="9"/>
  <c r="AI8" i="9"/>
  <c r="AE8" i="9"/>
  <c r="AY7" i="9"/>
  <c r="AU7" i="9"/>
  <c r="AK7" i="9"/>
  <c r="AG7" i="9"/>
  <c r="AC7" i="9"/>
  <c r="BA6" i="9"/>
  <c r="AW6" i="9"/>
  <c r="AS6" i="9"/>
  <c r="AI6" i="9"/>
  <c r="AE6" i="9"/>
  <c r="BB5" i="9"/>
  <c r="AX5" i="9"/>
  <c r="AT5" i="9"/>
  <c r="AJ5" i="9"/>
  <c r="AF5" i="9"/>
  <c r="AB5" i="9"/>
  <c r="AO5" i="9" s="1"/>
  <c r="AY4" i="9"/>
  <c r="AU4" i="9"/>
  <c r="AK4" i="9"/>
  <c r="AG4" i="9"/>
  <c r="AC4" i="9"/>
  <c r="AZ3" i="9"/>
  <c r="AV3" i="9"/>
  <c r="AR3" i="9"/>
  <c r="AL3" i="9"/>
  <c r="AH3" i="9"/>
  <c r="AD3" i="9"/>
  <c r="AZ35" i="9"/>
  <c r="AV35" i="9"/>
  <c r="AR35" i="9"/>
  <c r="BE35" i="9" s="1"/>
  <c r="AL35" i="9"/>
  <c r="AH35" i="9"/>
  <c r="AD35" i="9"/>
  <c r="AZ34" i="9"/>
  <c r="AV34" i="9"/>
  <c r="AR34" i="9"/>
  <c r="BE34" i="9" s="1"/>
  <c r="AL34" i="9"/>
  <c r="AH34" i="9"/>
  <c r="AD34" i="9"/>
  <c r="AZ33" i="9"/>
  <c r="AV33" i="9"/>
  <c r="AR33" i="9"/>
  <c r="BE33" i="9" s="1"/>
  <c r="AL33" i="9"/>
  <c r="AH33" i="9"/>
  <c r="AD33" i="9"/>
  <c r="AZ32" i="9"/>
  <c r="AV32" i="9"/>
  <c r="AR32" i="9"/>
  <c r="BE32" i="9" s="1"/>
  <c r="AL32" i="9"/>
  <c r="AH32" i="9"/>
  <c r="AD32" i="9"/>
  <c r="AZ31" i="9"/>
  <c r="AV31" i="9"/>
  <c r="AR31" i="9"/>
  <c r="BE31" i="9" s="1"/>
  <c r="AL31" i="9"/>
  <c r="AH31" i="9"/>
  <c r="AD31" i="9"/>
  <c r="AZ30" i="9"/>
  <c r="AV30" i="9"/>
  <c r="AR30" i="9"/>
  <c r="BE30" i="9" s="1"/>
  <c r="AL30" i="9"/>
  <c r="AH30" i="9"/>
  <c r="AD30" i="9"/>
  <c r="AZ29" i="9"/>
  <c r="AV29" i="9"/>
  <c r="AR29" i="9"/>
  <c r="BE29" i="9" s="1"/>
  <c r="AL29" i="9"/>
  <c r="AH29" i="9"/>
  <c r="AD29" i="9"/>
  <c r="AZ28" i="9"/>
  <c r="AV28" i="9"/>
  <c r="AR28" i="9"/>
  <c r="BE28" i="9" s="1"/>
  <c r="AL28" i="9"/>
  <c r="AH28" i="9"/>
  <c r="AD28" i="9"/>
  <c r="AZ27" i="9"/>
  <c r="AV27" i="9"/>
  <c r="AR27" i="9"/>
  <c r="BE27" i="9" s="1"/>
  <c r="AL27" i="9"/>
  <c r="AH27" i="9"/>
  <c r="AD27" i="9"/>
  <c r="AZ26" i="9"/>
  <c r="AV26" i="9"/>
  <c r="AR26" i="9"/>
  <c r="BE26" i="9" s="1"/>
  <c r="AL26" i="9"/>
  <c r="AH26" i="9"/>
  <c r="AD26" i="9"/>
  <c r="AZ25" i="9"/>
  <c r="AV25" i="9"/>
  <c r="AR25" i="9"/>
  <c r="BE25" i="9" s="1"/>
  <c r="AL25" i="9"/>
  <c r="AH25" i="9"/>
  <c r="AD25" i="9"/>
  <c r="AZ24" i="9"/>
  <c r="AV24" i="9"/>
  <c r="AR24" i="9"/>
  <c r="BE24" i="9" s="1"/>
  <c r="AL24" i="9"/>
  <c r="AH24" i="9"/>
  <c r="AD24" i="9"/>
  <c r="AZ23" i="9"/>
  <c r="AV23" i="9"/>
  <c r="AR23" i="9"/>
  <c r="BE23" i="9" s="1"/>
  <c r="AL23" i="9"/>
  <c r="AH23" i="9"/>
  <c r="AD23" i="9"/>
  <c r="AZ22" i="9"/>
  <c r="AV22" i="9"/>
  <c r="AR22" i="9"/>
  <c r="BE22" i="9" s="1"/>
  <c r="AL22" i="9"/>
  <c r="AH22" i="9"/>
  <c r="AD22" i="9"/>
  <c r="AZ21" i="9"/>
  <c r="AV21" i="9"/>
  <c r="AR21" i="9"/>
  <c r="BE21" i="9" s="1"/>
  <c r="AL21" i="9"/>
  <c r="AH21" i="9"/>
  <c r="AD21" i="9"/>
  <c r="AZ20" i="9"/>
  <c r="AV20" i="9"/>
  <c r="AR20" i="9"/>
  <c r="BE20" i="9" s="1"/>
  <c r="AL20" i="9"/>
  <c r="AH20" i="9"/>
  <c r="AD20" i="9"/>
  <c r="AZ19" i="9"/>
  <c r="AV19" i="9"/>
  <c r="AR19" i="9"/>
  <c r="BE19" i="9" s="1"/>
  <c r="AL19" i="9"/>
  <c r="AH19" i="9"/>
  <c r="AD19" i="9"/>
  <c r="AZ18" i="9"/>
  <c r="AV18" i="9"/>
  <c r="AR18" i="9"/>
  <c r="BE18" i="9" s="1"/>
  <c r="AL18" i="9"/>
  <c r="AH18" i="9"/>
  <c r="AD18" i="9"/>
  <c r="AZ17" i="9"/>
  <c r="AV17" i="9"/>
  <c r="AR17" i="9"/>
  <c r="BE17" i="9" s="1"/>
  <c r="AL17" i="9"/>
  <c r="AH17" i="9"/>
  <c r="AD17" i="9"/>
  <c r="AZ16" i="9"/>
  <c r="AV16" i="9"/>
  <c r="AR16" i="9"/>
  <c r="BE16" i="9" s="1"/>
  <c r="AL16" i="9"/>
  <c r="AH16" i="9"/>
  <c r="AD16" i="9"/>
  <c r="AZ15" i="9"/>
  <c r="AV15" i="9"/>
  <c r="AR15" i="9"/>
  <c r="BE15" i="9" s="1"/>
  <c r="AL15" i="9"/>
  <c r="AH15" i="9"/>
  <c r="AD15" i="9"/>
  <c r="AZ14" i="9"/>
  <c r="AV14" i="9"/>
  <c r="AR14" i="9"/>
  <c r="BE14" i="9" s="1"/>
  <c r="AL14" i="9"/>
  <c r="AH14" i="9"/>
  <c r="AD14" i="9"/>
  <c r="AZ13" i="9"/>
  <c r="AV13" i="9"/>
  <c r="AR13" i="9"/>
  <c r="BE13" i="9" s="1"/>
  <c r="AL13" i="9"/>
  <c r="AH13" i="9"/>
  <c r="AD13" i="9"/>
  <c r="AZ12" i="9"/>
  <c r="AV12" i="9"/>
  <c r="AR12" i="9"/>
  <c r="BE12" i="9" s="1"/>
  <c r="AL12" i="9"/>
  <c r="AH12" i="9"/>
  <c r="AD12" i="9"/>
  <c r="AZ11" i="9"/>
  <c r="AV11" i="9"/>
  <c r="AR11" i="9"/>
  <c r="BE11" i="9" s="1"/>
  <c r="AL11" i="9"/>
  <c r="AH11" i="9"/>
  <c r="AD11" i="9"/>
  <c r="AZ10" i="9"/>
  <c r="AV10" i="9"/>
  <c r="AR10" i="9"/>
  <c r="BE10" i="9" s="1"/>
  <c r="AL10" i="9"/>
  <c r="AH10" i="9"/>
  <c r="AD10" i="9"/>
  <c r="BB9" i="9"/>
  <c r="AX9" i="9"/>
  <c r="AT9" i="9"/>
  <c r="AJ9" i="9"/>
  <c r="AF9" i="9"/>
  <c r="AB9" i="9"/>
  <c r="AO9" i="9" s="1"/>
  <c r="AZ8" i="9"/>
  <c r="AV8" i="9"/>
  <c r="AR8" i="9"/>
  <c r="BE8" i="9" s="1"/>
  <c r="AL8" i="9"/>
  <c r="AH8" i="9"/>
  <c r="AD8" i="9"/>
  <c r="BB7" i="9"/>
  <c r="AX7" i="9"/>
  <c r="AT7" i="9"/>
  <c r="AJ7" i="9"/>
  <c r="AF7" i="9"/>
  <c r="AB7" i="9"/>
  <c r="AO7" i="9" s="1"/>
  <c r="AZ6" i="9"/>
  <c r="AV6" i="9"/>
  <c r="AR6" i="9"/>
  <c r="BE6" i="9" s="1"/>
  <c r="AL6" i="9"/>
  <c r="AH6" i="9"/>
  <c r="AD6" i="9"/>
  <c r="BA5" i="9"/>
  <c r="AW5" i="9"/>
  <c r="AS5" i="9"/>
  <c r="AI5" i="9"/>
  <c r="AE5" i="9"/>
  <c r="BB4" i="9"/>
  <c r="AX4" i="9"/>
  <c r="AT4" i="9"/>
  <c r="AJ4" i="9"/>
  <c r="AF4" i="9"/>
  <c r="AB4" i="9"/>
  <c r="AO4" i="9" s="1"/>
  <c r="AY3" i="9"/>
  <c r="AU3" i="9"/>
  <c r="AK3" i="9"/>
  <c r="AG3" i="9"/>
  <c r="AC3" i="9"/>
  <c r="BT1" i="8"/>
  <c r="BR1" i="8"/>
  <c r="CF4" i="8" s="1"/>
  <c r="K148" i="2"/>
  <c r="J148" i="2"/>
  <c r="H148" i="2" s="1"/>
  <c r="I148" i="2" s="1"/>
  <c r="K132" i="2"/>
  <c r="J132" i="2"/>
  <c r="H132" i="2" s="1"/>
  <c r="I132" i="2" s="1"/>
  <c r="H149" i="2"/>
  <c r="I149" i="2" s="1"/>
  <c r="K149" i="2"/>
  <c r="J149" i="2"/>
  <c r="K133" i="2"/>
  <c r="J133" i="2"/>
  <c r="H133" i="2" s="1"/>
  <c r="I133" i="2" s="1"/>
  <c r="J150" i="2"/>
  <c r="H150" i="2" s="1"/>
  <c r="I150" i="2" s="1"/>
  <c r="K150" i="2"/>
  <c r="J134" i="2"/>
  <c r="K134" i="2"/>
  <c r="K123" i="2"/>
  <c r="J123" i="2"/>
  <c r="K139" i="2"/>
  <c r="J139" i="2"/>
  <c r="H139" i="2" s="1"/>
  <c r="I139" i="2" s="1"/>
  <c r="K144" i="2"/>
  <c r="J144" i="2"/>
  <c r="K128" i="2"/>
  <c r="J128" i="2"/>
  <c r="H128" i="2" s="1"/>
  <c r="I128" i="2" s="1"/>
  <c r="K145" i="2"/>
  <c r="J145" i="2"/>
  <c r="H145" i="2" s="1"/>
  <c r="I145" i="2" s="1"/>
  <c r="K129" i="2"/>
  <c r="J129" i="2"/>
  <c r="J146" i="2"/>
  <c r="K146" i="2"/>
  <c r="J130" i="2"/>
  <c r="H130" i="2" s="1"/>
  <c r="I130" i="2" s="1"/>
  <c r="K130" i="2"/>
  <c r="K151" i="2"/>
  <c r="J151" i="2"/>
  <c r="H151" i="2" s="1"/>
  <c r="I151" i="2" s="1"/>
  <c r="K135" i="2"/>
  <c r="J135" i="2"/>
  <c r="K140" i="2"/>
  <c r="J140" i="2"/>
  <c r="H140" i="2" s="1"/>
  <c r="I140" i="2" s="1"/>
  <c r="H124" i="2"/>
  <c r="I124" i="2" s="1"/>
  <c r="K124" i="2"/>
  <c r="J124" i="2"/>
  <c r="H141" i="2"/>
  <c r="I141" i="2" s="1"/>
  <c r="K141" i="2"/>
  <c r="J141" i="2"/>
  <c r="K125" i="2"/>
  <c r="J125" i="2"/>
  <c r="H125" i="2" s="1"/>
  <c r="I125" i="2" s="1"/>
  <c r="J142" i="2"/>
  <c r="H142" i="2" s="1"/>
  <c r="I142" i="2" s="1"/>
  <c r="K142" i="2"/>
  <c r="J126" i="2"/>
  <c r="K126" i="2"/>
  <c r="K147" i="2"/>
  <c r="J147" i="2"/>
  <c r="K131" i="2"/>
  <c r="J131" i="2"/>
  <c r="H131" i="2" s="1"/>
  <c r="I131" i="2" s="1"/>
  <c r="BI1" i="8"/>
  <c r="CF3" i="8" s="1"/>
  <c r="BK1" i="8"/>
  <c r="BV1" i="8" s="1"/>
  <c r="CF5" i="8" s="1"/>
  <c r="K152" i="2"/>
  <c r="J152" i="2"/>
  <c r="H152" i="2" s="1"/>
  <c r="I152" i="2" s="1"/>
  <c r="K136" i="2"/>
  <c r="J136" i="2"/>
  <c r="H136" i="2" s="1"/>
  <c r="I136" i="2" s="1"/>
  <c r="K153" i="2"/>
  <c r="J153" i="2"/>
  <c r="K137" i="2"/>
  <c r="J137" i="2"/>
  <c r="H137" i="2" s="1"/>
  <c r="I137" i="2" s="1"/>
  <c r="J154" i="2"/>
  <c r="H154" i="2" s="1"/>
  <c r="I154" i="2" s="1"/>
  <c r="K154" i="2"/>
  <c r="J138" i="2"/>
  <c r="H138" i="2"/>
  <c r="I138" i="2" s="1"/>
  <c r="K138" i="2"/>
  <c r="J122" i="2"/>
  <c r="K122" i="2"/>
  <c r="K143" i="2"/>
  <c r="J143" i="2"/>
  <c r="K127" i="2"/>
  <c r="J127" i="2"/>
  <c r="H127" i="2" s="1"/>
  <c r="I127" i="2" s="1"/>
  <c r="H126" i="2" l="1"/>
  <c r="I126" i="2" s="1"/>
  <c r="H146" i="2"/>
  <c r="I146" i="2" s="1"/>
  <c r="H134" i="2"/>
  <c r="I134" i="2" s="1"/>
  <c r="H122" i="2"/>
  <c r="I122" i="2" s="1"/>
  <c r="H147" i="2"/>
  <c r="I147" i="2" s="1"/>
  <c r="H135" i="2"/>
  <c r="I135" i="2" s="1"/>
  <c r="H129" i="2"/>
  <c r="I129" i="2" s="1"/>
  <c r="H144" i="2"/>
  <c r="I144" i="2" s="1"/>
  <c r="H123" i="2"/>
  <c r="I123" i="2" s="1"/>
  <c r="H143" i="2"/>
  <c r="I143" i="2" s="1"/>
  <c r="H153" i="2"/>
  <c r="I153" i="2" s="1"/>
  <c r="AK1" i="11"/>
  <c r="AO3" i="11"/>
  <c r="AI1" i="11"/>
  <c r="BH2" i="11" s="1"/>
  <c r="AV1" i="11"/>
  <c r="AT1" i="11"/>
  <c r="BH3" i="11" s="1"/>
  <c r="BE3" i="11"/>
  <c r="AV1" i="12"/>
  <c r="AT1" i="12"/>
  <c r="BH3" i="12" s="1"/>
  <c r="BE3" i="12"/>
  <c r="AV1" i="10"/>
  <c r="AT1" i="10"/>
  <c r="BH3" i="10" s="1"/>
  <c r="BE3" i="10"/>
  <c r="CF10" i="8"/>
  <c r="CF9" i="8"/>
  <c r="CF8" i="8"/>
  <c r="CF7" i="8"/>
  <c r="AK1" i="10"/>
  <c r="AX1" i="10" s="1"/>
  <c r="BH4" i="10" s="1"/>
  <c r="AO3" i="10"/>
  <c r="AI1" i="10"/>
  <c r="BH2" i="10" s="1"/>
  <c r="CG10" i="8"/>
  <c r="CG9" i="8"/>
  <c r="CG8" i="8"/>
  <c r="CG7" i="8"/>
  <c r="AT1" i="9"/>
  <c r="BH3" i="9" s="1"/>
  <c r="BE3" i="9"/>
  <c r="AV1" i="9"/>
  <c r="AK1" i="9"/>
  <c r="AX1" i="9" s="1"/>
  <c r="BH4" i="9" s="1"/>
  <c r="AO3" i="9"/>
  <c r="AI1" i="9"/>
  <c r="BH2" i="9" s="1"/>
  <c r="AK1" i="12"/>
  <c r="AX1" i="12" s="1"/>
  <c r="BH4" i="12" s="1"/>
  <c r="AO3" i="12"/>
  <c r="AI1" i="12"/>
  <c r="BH2" i="12" s="1"/>
  <c r="BH7" i="12" l="1"/>
  <c r="BH8" i="12" s="1"/>
  <c r="BH6" i="12"/>
  <c r="BH9" i="12" s="1"/>
  <c r="BI8" i="9"/>
  <c r="BI9" i="9" s="1"/>
  <c r="BI6" i="9"/>
  <c r="BI7" i="9"/>
  <c r="BI7" i="12"/>
  <c r="BI8" i="12"/>
  <c r="BI9" i="12" s="1"/>
  <c r="BI6" i="12"/>
  <c r="BH7" i="10"/>
  <c r="BH8" i="10" s="1"/>
  <c r="BH6" i="10"/>
  <c r="BH9" i="10" s="1"/>
  <c r="BI7" i="10"/>
  <c r="BI8" i="10"/>
  <c r="BI9" i="10" s="1"/>
  <c r="BI6" i="10"/>
  <c r="BH13" i="11"/>
  <c r="BH6" i="9"/>
  <c r="BH9" i="9" s="1"/>
  <c r="BH7" i="9"/>
  <c r="BH8" i="9" s="1"/>
  <c r="BH14" i="11"/>
  <c r="AX1" i="11"/>
  <c r="BH4" i="11" s="1"/>
  <c r="BH15" i="11" s="1"/>
  <c r="BH6" i="11" l="1"/>
  <c r="BH7" i="11"/>
  <c r="BH8" i="11" s="1"/>
  <c r="BI7" i="11"/>
  <c r="BI6" i="11"/>
  <c r="BI10" i="11" s="1"/>
  <c r="BI8" i="11"/>
  <c r="BI9" i="11" s="1"/>
  <c r="BH9" i="11" l="1"/>
  <c r="BH10" i="11"/>
</calcChain>
</file>

<file path=xl/sharedStrings.xml><?xml version="1.0" encoding="utf-8"?>
<sst xmlns="http://schemas.openxmlformats.org/spreadsheetml/2006/main" count="448" uniqueCount="220">
  <si>
    <t>Koordinaten</t>
  </si>
  <si>
    <t>Freiheitsgrad
Nummer</t>
  </si>
  <si>
    <t>Knotenlasten</t>
  </si>
  <si>
    <t>Verschiebung</t>
  </si>
  <si>
    <t>Auflagerkräfte</t>
  </si>
  <si>
    <t>Federhärte</t>
  </si>
  <si>
    <t>Federkräfte</t>
  </si>
  <si>
    <t>Knoten-
verdrehung</t>
  </si>
  <si>
    <t>plast.
Moment</t>
  </si>
  <si>
    <t>Versatz</t>
  </si>
  <si>
    <t>Vorverformung</t>
  </si>
  <si>
    <t>Einflusslinie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</si>
  <si>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</si>
  <si>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</si>
  <si>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</si>
  <si>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</si>
  <si>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</si>
  <si>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</si>
  <si>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</si>
  <si>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</si>
  <si>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</si>
  <si>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</si>
  <si>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Az</t>
  </si>
  <si>
    <t>k_u</t>
  </si>
  <si>
    <t>k_w</t>
  </si>
  <si>
    <t>k_phi</t>
  </si>
  <si>
    <t>θ</t>
  </si>
  <si>
    <t>Mpl</t>
  </si>
  <si>
    <t>x0</t>
  </si>
  <si>
    <t>z0</t>
  </si>
  <si>
    <t>u0</t>
  </si>
  <si>
    <t>w0</t>
  </si>
  <si>
    <t>j0</t>
  </si>
  <si>
    <t>Wert</t>
  </si>
  <si>
    <t>##</t>
  </si>
  <si>
    <t>max. Def.</t>
  </si>
  <si>
    <t>Ref.Größe</t>
  </si>
  <si>
    <t>Korrektur</t>
  </si>
  <si>
    <t>Lastfaktor:</t>
  </si>
  <si>
    <t>Verschiebungs-</t>
  </si>
  <si>
    <t>skalierung</t>
  </si>
  <si>
    <t>Geometrie</t>
  </si>
  <si>
    <t>konstante Linienlasten</t>
  </si>
  <si>
    <t>lineare Linienlasten</t>
  </si>
  <si>
    <t>Vorspannung</t>
  </si>
  <si>
    <t>Temperaturlasten</t>
  </si>
  <si>
    <t>Theorie II. Ordnung</t>
  </si>
  <si>
    <t>Tragwerkslasten</t>
  </si>
  <si>
    <t>elast. Bettung</t>
  </si>
  <si>
    <t>Fließgelenk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</si>
  <si>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</si>
  <si>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</si>
  <si>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</si>
  <si>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</si>
  <si>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</si>
  <si>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</si>
  <si>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</si>
  <si>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</si>
  <si>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</si>
  <si>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</si>
  <si>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</si>
  <si>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</si>
  <si>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</si>
  <si>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</si>
  <si>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</si>
  <si>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</si>
  <si>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</si>
  <si>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</si>
  <si>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</si>
  <si>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</si>
  <si>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</si>
  <si>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</si>
  <si>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</si>
  <si>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Element</t>
  </si>
  <si>
    <t>a</t>
  </si>
  <si>
    <t>b</t>
  </si>
  <si>
    <t>L</t>
  </si>
  <si>
    <t>EI</t>
  </si>
  <si>
    <t>EA</t>
  </si>
  <si>
    <t>GAs</t>
  </si>
  <si>
    <t>GE</t>
  </si>
  <si>
    <t>Theorie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</si>
  <si>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</si>
  <si>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</si>
  <si>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</si>
  <si>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</si>
  <si>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</si>
  <si>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</si>
  <si>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</si>
  <si>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</si>
  <si>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</si>
  <si>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</si>
  <si>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</si>
  <si>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</si>
  <si>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</si>
  <si>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</si>
  <si>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</si>
  <si>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</si>
  <si>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</si>
  <si>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</si>
  <si>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</si>
  <si>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</si>
  <si>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</si>
  <si>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</si>
  <si>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</si>
  <si>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</si>
  <si>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</si>
  <si>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Response</t>
  </si>
  <si>
    <t>Parameter</t>
  </si>
  <si>
    <t>2b</t>
  </si>
  <si>
    <t>xa</t>
  </si>
  <si>
    <t>xb</t>
  </si>
  <si>
    <t>za</t>
  </si>
  <si>
    <t>zb</t>
  </si>
  <si>
    <t>alpha</t>
  </si>
  <si>
    <t>sin</t>
  </si>
  <si>
    <t>cos</t>
  </si>
  <si>
    <t>Normalkräfte</t>
  </si>
  <si>
    <t>Skalierung</t>
  </si>
  <si>
    <t>Größe</t>
  </si>
  <si>
    <t>Schnittkraftverläufe</t>
  </si>
  <si>
    <t>max. N</t>
  </si>
  <si>
    <t>R</t>
  </si>
  <si>
    <t>relatv</t>
  </si>
  <si>
    <t>maxN</t>
  </si>
  <si>
    <t>minN</t>
  </si>
  <si>
    <t>Querkräfte</t>
  </si>
  <si>
    <t>max. Q</t>
  </si>
  <si>
    <t>relativ</t>
  </si>
  <si>
    <t>maxQ</t>
  </si>
  <si>
    <t>minQ</t>
  </si>
  <si>
    <t>Biegemomente</t>
  </si>
  <si>
    <t>max. M</t>
  </si>
  <si>
    <t>maxM</t>
  </si>
  <si>
    <t>minM</t>
  </si>
  <si>
    <t>Verläufe</t>
  </si>
  <si>
    <t>Keine Sensitivität</t>
  </si>
  <si>
    <t>Antwort</t>
  </si>
  <si>
    <t>maxSens</t>
  </si>
  <si>
    <t>minSens</t>
  </si>
  <si>
    <t>Lastschritt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</si>
  <si>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</si>
  <si>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</si>
  <si>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</si>
  <si>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</si>
  <si>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</si>
  <si>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</si>
  <si>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</si>
  <si>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</si>
  <si>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</si>
  <si>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Systemgeometrie</t>
  </si>
  <si>
    <t>globale Verformung</t>
  </si>
  <si>
    <t>max Verf.</t>
  </si>
  <si>
    <t>max x</t>
  </si>
  <si>
    <t>max y</t>
  </si>
  <si>
    <t>Superposition</t>
  </si>
  <si>
    <t>scl</t>
  </si>
  <si>
    <t>Cx</t>
  </si>
  <si>
    <t>Dx</t>
  </si>
  <si>
    <t>Cy</t>
  </si>
  <si>
    <t>Dy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</si>
  <si>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</si>
  <si>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</si>
  <si>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</si>
  <si>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Deformation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</si>
  <si>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</si>
  <si>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</si>
  <si>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</si>
  <si>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</si>
  <si>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</si>
  <si>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</si>
  <si>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</si>
  <si>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</si>
  <si>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</si>
  <si>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</si>
  <si>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Normalkraft</t>
  </si>
  <si>
    <t>Sensitivitäten</t>
  </si>
  <si>
    <t>Vorlesung</t>
  </si>
  <si>
    <t>Standard</t>
  </si>
  <si>
    <t>Abmessungen</t>
  </si>
  <si>
    <t>BTW</t>
  </si>
  <si>
    <t>Xmin</t>
  </si>
  <si>
    <t>Baufortschritt</t>
  </si>
  <si>
    <t>Xmax</t>
  </si>
  <si>
    <t>Vorspanung</t>
  </si>
  <si>
    <t>Zmin</t>
  </si>
  <si>
    <t>WinklerBettung</t>
  </si>
  <si>
    <t>Zmax</t>
  </si>
  <si>
    <t>Rastereinteilung</t>
  </si>
  <si>
    <t>Dz</t>
  </si>
  <si>
    <t>Einstellungen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</si>
  <si>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</si>
  <si>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</si>
  <si>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</si>
  <si>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</si>
  <si>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</si>
  <si>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</si>
  <si>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</si>
  <si>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</si>
  <si>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</si>
  <si>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</si>
  <si>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</si>
  <si>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</si>
  <si>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</si>
  <si>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</si>
  <si>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</si>
  <si>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</si>
  <si>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</si>
  <si>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</si>
  <si>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</si>
  <si>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</si>
  <si>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</si>
  <si>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Projekt</t>
  </si>
  <si>
    <t>Morandi_20180903</t>
  </si>
  <si>
    <t>GraphTextScale</t>
  </si>
  <si>
    <t>BackgroundPicture</t>
  </si>
  <si>
    <t>C:\Users\kub\Documents\Excel\UserFormZeichnen\AllStiff_Release\2020_04\StiffBitmaps\Ponte_Morandi.bmp</t>
  </si>
  <si>
    <t>GUI Input Device</t>
  </si>
  <si>
    <t>Maus</t>
  </si>
  <si>
    <t>GUI Fangradius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</si>
</sst>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FFF9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8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3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3" xfId="1" applyFont="1" applyFill="1" applyBorder="1" applyAlignment="1" applyProtection="1">
      <alignment horizontal="center" vertical="center"/>
    </xf>
    <xf numFmtId="0" fontId="2" fillId="5" borderId="2" xfId="1" applyFont="1" applyFill="1" applyBorder="1" applyAlignment="1" applyProtection="1">
      <alignment horizontal="center" vertical="center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center" vertical="center"/>
    </xf>
    <xf numFmtId="0" fontId="2" fillId="6" borderId="6" xfId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/>
    </xf>
    <xf numFmtId="0" fontId="2" fillId="7" borderId="5" xfId="1" applyFont="1" applyFill="1" applyBorder="1" applyAlignment="1" applyProtection="1">
      <alignment horizontal="center" vertical="center"/>
    </xf>
    <xf numFmtId="0" fontId="2" fillId="7" borderId="6" xfId="1" applyFont="1" applyFill="1" applyBorder="1" applyAlignment="1" applyProtection="1">
      <alignment horizontal="center" vertical="center"/>
    </xf>
    <xf numFmtId="0" fontId="2" fillId="8" borderId="4" xfId="1" applyFont="1" applyFill="1" applyBorder="1" applyAlignment="1" applyProtection="1">
      <alignment horizontal="center" vertical="center"/>
    </xf>
    <xf numFmtId="0" fontId="2" fillId="8" borderId="5" xfId="1" applyFont="1" applyFill="1" applyBorder="1" applyAlignment="1" applyProtection="1">
      <alignment horizontal="center" vertical="center"/>
    </xf>
    <xf numFmtId="0" fontId="2" fillId="8" borderId="6" xfId="1" applyFont="1" applyFill="1" applyBorder="1" applyAlignment="1" applyProtection="1">
      <alignment horizontal="center" vertical="center"/>
    </xf>
    <xf numFmtId="0" fontId="2" fillId="9" borderId="7" xfId="1" applyFont="1" applyFill="1" applyBorder="1" applyAlignment="1" applyProtection="1">
      <alignment horizontal="center" vertical="center" wrapText="1"/>
    </xf>
    <xf numFmtId="0" fontId="2" fillId="10" borderId="7" xfId="1" applyFont="1" applyFill="1" applyBorder="1" applyAlignment="1" applyProtection="1">
      <alignment horizontal="center" vertical="center" wrapText="1"/>
    </xf>
    <xf numFmtId="0" fontId="2" fillId="11" borderId="1" xfId="1" applyFont="1" applyFill="1" applyBorder="1" applyAlignment="1" applyProtection="1">
      <alignment horizontal="center" vertical="center"/>
    </xf>
    <xf numFmtId="0" fontId="2" fillId="11" borderId="2" xfId="1" applyFont="1" applyFill="1" applyBorder="1" applyAlignment="1" applyProtection="1">
      <alignment horizontal="center" vertical="center"/>
    </xf>
    <xf numFmtId="0" fontId="2" fillId="12" borderId="1" xfId="1" applyFont="1" applyFill="1" applyBorder="1" applyAlignment="1" applyProtection="1">
      <alignment horizontal="center" vertical="center"/>
    </xf>
    <xf numFmtId="0" fontId="2" fillId="12" borderId="3" xfId="1" applyFont="1" applyFill="1" applyBorder="1" applyAlignment="1" applyProtection="1">
      <alignment horizontal="center" vertical="center"/>
    </xf>
    <xf numFmtId="0" fontId="2" fillId="13" borderId="8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7" borderId="7" xfId="1" applyFont="1" applyFill="1" applyBorder="1" applyAlignment="1" applyProtection="1">
      <alignment horizontal="center" vertical="center"/>
    </xf>
    <xf numFmtId="0" fontId="1" fillId="2" borderId="9" xfId="1" applyFont="1" applyFill="1" applyBorder="1" applyAlignment="1" applyProtection="1">
      <alignment horizontal="center" vertical="center"/>
    </xf>
    <xf numFmtId="0" fontId="1" fillId="2" borderId="10" xfId="1" applyFont="1" applyFill="1" applyBorder="1" applyAlignment="1" applyProtection="1">
      <alignment horizontal="center" vertical="center"/>
    </xf>
    <xf numFmtId="0" fontId="1" fillId="3" borderId="11" xfId="1" applyFont="1" applyFill="1" applyBorder="1" applyAlignment="1" applyProtection="1">
      <alignment horizontal="center" vertical="center"/>
    </xf>
    <xf numFmtId="0" fontId="1" fillId="3" borderId="12" xfId="1" applyFont="1" applyFill="1" applyBorder="1" applyAlignment="1" applyProtection="1">
      <alignment horizontal="center" vertical="center"/>
    </xf>
    <xf numFmtId="0" fontId="1" fillId="3" borderId="10" xfId="1" applyFont="1" applyFill="1" applyBorder="1" applyAlignment="1" applyProtection="1">
      <alignment horizontal="center" vertical="center"/>
    </xf>
    <xf numFmtId="0" fontId="1" fillId="4" borderId="13" xfId="1" applyFont="1" applyFill="1" applyBorder="1" applyAlignment="1" applyProtection="1">
      <alignment horizontal="center" vertical="center"/>
    </xf>
    <xf numFmtId="0" fontId="1" fillId="4" borderId="14" xfId="1" applyFont="1" applyFill="1" applyBorder="1" applyAlignment="1" applyProtection="1">
      <alignment horizontal="center" vertical="center"/>
    </xf>
    <xf numFmtId="0" fontId="1" fillId="4" borderId="15" xfId="1" applyFont="1" applyFill="1" applyBorder="1" applyAlignment="1" applyProtection="1">
      <alignment horizontal="center" vertical="center"/>
    </xf>
    <xf numFmtId="0" fontId="1" fillId="5" borderId="11" xfId="1" applyFont="1" applyFill="1" applyBorder="1" applyAlignment="1" applyProtection="1">
      <alignment horizontal="center" vertical="center"/>
    </xf>
    <xf numFmtId="0" fontId="1" fillId="5" borderId="12" xfId="1" applyFont="1" applyFill="1" applyBorder="1" applyAlignment="1" applyProtection="1">
      <alignment horizontal="center" vertical="center"/>
    </xf>
    <xf numFmtId="0" fontId="1" fillId="5" borderId="16" xfId="1" applyFont="1" applyFill="1" applyBorder="1" applyAlignment="1" applyProtection="1">
      <alignment horizontal="center" vertical="center"/>
    </xf>
    <xf numFmtId="0" fontId="1" fillId="6" borderId="11" xfId="1" applyFont="1" applyFill="1" applyBorder="1" applyAlignment="1" applyProtection="1">
      <alignment horizontal="center" vertical="center"/>
    </xf>
    <xf numFmtId="0" fontId="1" fillId="6" borderId="12" xfId="1" applyFont="1" applyFill="1" applyBorder="1" applyAlignment="1" applyProtection="1">
      <alignment horizontal="center" vertical="center"/>
    </xf>
    <xf numFmtId="0" fontId="1" fillId="6" borderId="10" xfId="1" applyFont="1" applyFill="1" applyBorder="1" applyAlignment="1" applyProtection="1">
      <alignment horizontal="center" vertical="center"/>
    </xf>
    <xf numFmtId="0" fontId="1" fillId="7" borderId="13" xfId="1" applyFont="1" applyFill="1" applyBorder="1" applyAlignment="1" applyProtection="1">
      <alignment horizontal="center" vertical="center"/>
    </xf>
    <xf numFmtId="0" fontId="1" fillId="7" borderId="14" xfId="1" applyFont="1" applyFill="1" applyBorder="1" applyAlignment="1" applyProtection="1">
      <alignment horizontal="center" vertical="center"/>
    </xf>
    <xf numFmtId="0" fontId="1" fillId="7" borderId="17" xfId="1" applyFont="1" applyFill="1" applyBorder="1" applyAlignment="1" applyProtection="1">
      <alignment horizontal="center" vertical="center"/>
    </xf>
    <xf numFmtId="0" fontId="1" fillId="8" borderId="11" xfId="1" applyFont="1" applyFill="1" applyBorder="1" applyAlignment="1" applyProtection="1">
      <alignment horizontal="center" vertical="center"/>
    </xf>
    <xf numFmtId="0" fontId="1" fillId="8" borderId="12" xfId="1" applyFont="1" applyFill="1" applyBorder="1" applyAlignment="1" applyProtection="1">
      <alignment horizontal="center" vertical="center"/>
    </xf>
    <xf numFmtId="0" fontId="1" fillId="8" borderId="5" xfId="1" applyFont="1" applyFill="1" applyBorder="1" applyAlignment="1" applyProtection="1">
      <alignment horizontal="center" vertical="center"/>
    </xf>
    <xf numFmtId="0" fontId="3" fillId="9" borderId="7" xfId="1" applyFont="1" applyFill="1" applyBorder="1" applyAlignment="1" applyProtection="1">
      <alignment horizontal="center" vertical="center"/>
    </xf>
    <xf numFmtId="0" fontId="1" fillId="10" borderId="7" xfId="1" applyFont="1" applyFill="1" applyBorder="1" applyAlignment="1" applyProtection="1">
      <alignment horizontal="center" vertical="center"/>
    </xf>
    <xf numFmtId="0" fontId="1" fillId="11" borderId="13" xfId="1" applyFont="1" applyFill="1" applyBorder="1" applyAlignment="1" applyProtection="1">
      <alignment horizontal="center" vertical="center"/>
    </xf>
    <xf numFmtId="0" fontId="1" fillId="11" borderId="17" xfId="1" applyFont="1" applyFill="1" applyBorder="1" applyAlignment="1" applyProtection="1">
      <alignment horizontal="center" vertical="center"/>
    </xf>
    <xf numFmtId="0" fontId="1" fillId="12" borderId="18" xfId="1" applyFont="1" applyFill="1" applyBorder="1" applyAlignment="1" applyProtection="1">
      <alignment horizontal="center" vertical="center"/>
    </xf>
    <xf numFmtId="0" fontId="1" fillId="12" borderId="14" xfId="1" applyFont="1" applyFill="1" applyBorder="1" applyAlignment="1" applyProtection="1">
      <alignment horizontal="center" vertical="center"/>
    </xf>
    <xf numFmtId="0" fontId="4" fillId="12" borderId="15" xfId="1" applyFont="1" applyFill="1" applyBorder="1" applyAlignment="1" applyProtection="1">
      <alignment horizontal="center" vertical="center"/>
    </xf>
    <xf numFmtId="0" fontId="1" fillId="13" borderId="7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Border="1" applyProtection="1"/>
    <xf numFmtId="0" fontId="1" fillId="7" borderId="19" xfId="1" applyFont="1" applyFill="1" applyBorder="1" applyAlignment="1" applyProtection="1">
      <alignment horizontal="center" vertical="center"/>
    </xf>
    <xf numFmtId="0" fontId="1" fillId="2" borderId="20" xfId="1" applyFill="1" applyBorder="1" applyAlignment="1" applyProtection="1">
      <alignment horizontal="center"/>
      <protection locked="0"/>
    </xf>
    <xf numFmtId="0" fontId="1" fillId="2" borderId="21" xfId="1" applyFill="1" applyBorder="1" applyAlignment="1" applyProtection="1">
      <alignment horizontal="center"/>
      <protection locked="0"/>
    </xf>
    <xf numFmtId="0" fontId="1" fillId="14" borderId="22" xfId="1" applyFill="1" applyBorder="1" applyAlignment="1" applyProtection="1">
      <alignment horizontal="center"/>
      <protection locked="0"/>
    </xf>
    <xf numFmtId="0" fontId="1" fillId="14" borderId="23" xfId="1" applyFill="1" applyBorder="1" applyAlignment="1" applyProtection="1">
      <alignment horizontal="center"/>
      <protection locked="0"/>
    </xf>
    <xf numFmtId="0" fontId="1" fillId="14" borderId="21" xfId="1" applyFill="1" applyBorder="1" applyAlignment="1" applyProtection="1">
      <alignment horizontal="center"/>
      <protection locked="0"/>
    </xf>
    <xf numFmtId="0" fontId="1" fillId="15" borderId="22" xfId="1" applyFill="1" applyBorder="1" applyAlignment="1" applyProtection="1">
      <alignment horizontal="center"/>
      <protection locked="0"/>
    </xf>
    <xf numFmtId="0" fontId="1" fillId="15" borderId="23" xfId="1" applyFill="1" applyBorder="1" applyAlignment="1" applyProtection="1">
      <alignment horizontal="center"/>
      <protection locked="0"/>
    </xf>
    <xf numFmtId="0" fontId="1" fillId="15" borderId="24" xfId="1" applyFill="1" applyBorder="1" applyAlignment="1" applyProtection="1">
      <alignment horizontal="center"/>
      <protection locked="0"/>
    </xf>
    <xf numFmtId="0" fontId="1" fillId="5" borderId="22" xfId="1" applyFill="1" applyBorder="1" applyAlignment="1" applyProtection="1">
      <alignment horizontal="center"/>
      <protection locked="0"/>
    </xf>
    <xf numFmtId="0" fontId="1" fillId="5" borderId="23" xfId="1" applyFill="1" applyBorder="1" applyAlignment="1" applyProtection="1">
      <alignment horizontal="center"/>
      <protection locked="0"/>
    </xf>
    <xf numFmtId="0" fontId="1" fillId="5" borderId="24" xfId="1" applyFill="1" applyBorder="1" applyAlignment="1" applyProtection="1">
      <alignment horizontal="center"/>
      <protection locked="0"/>
    </xf>
    <xf numFmtId="0" fontId="1" fillId="6" borderId="22" xfId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6" borderId="21" xfId="1" applyFill="1" applyBorder="1" applyAlignment="1" applyProtection="1">
      <alignment horizontal="center"/>
      <protection locked="0"/>
    </xf>
    <xf numFmtId="0" fontId="1" fillId="7" borderId="25" xfId="1" applyFill="1" applyBorder="1" applyAlignment="1" applyProtection="1">
      <alignment horizontal="center"/>
      <protection locked="0"/>
    </xf>
    <xf numFmtId="0" fontId="1" fillId="7" borderId="26" xfId="1" applyFill="1" applyBorder="1" applyAlignment="1" applyProtection="1">
      <alignment horizontal="center"/>
      <protection locked="0"/>
    </xf>
    <xf numFmtId="0" fontId="1" fillId="7" borderId="27" xfId="1" applyFill="1" applyBorder="1" applyAlignment="1" applyProtection="1">
      <alignment horizontal="center"/>
      <protection locked="0"/>
    </xf>
    <xf numFmtId="0" fontId="1" fillId="8" borderId="22" xfId="1" applyFill="1" applyBorder="1" applyAlignment="1" applyProtection="1">
      <alignment horizontal="center"/>
      <protection locked="0"/>
    </xf>
    <xf numFmtId="0" fontId="1" fillId="8" borderId="23" xfId="1" applyFill="1" applyBorder="1" applyAlignment="1" applyProtection="1">
      <alignment horizontal="center"/>
      <protection locked="0"/>
    </xf>
    <xf numFmtId="0" fontId="1" fillId="8" borderId="21" xfId="1" applyFill="1" applyBorder="1" applyAlignment="1" applyProtection="1">
      <alignment horizontal="center"/>
      <protection locked="0"/>
    </xf>
    <xf numFmtId="0" fontId="1" fillId="9" borderId="28" xfId="1" applyFill="1" applyBorder="1" applyAlignment="1" applyProtection="1">
      <alignment horizontal="center"/>
      <protection locked="0"/>
    </xf>
    <xf numFmtId="0" fontId="1" fillId="10" borderId="29" xfId="1" applyFill="1" applyBorder="1" applyAlignment="1" applyProtection="1">
      <alignment horizontal="center"/>
      <protection locked="0"/>
    </xf>
    <xf numFmtId="0" fontId="1" fillId="11" borderId="22" xfId="1" applyFill="1" applyBorder="1" applyAlignment="1" applyProtection="1">
      <alignment horizontal="center"/>
      <protection locked="0"/>
    </xf>
    <xf numFmtId="0" fontId="1" fillId="11" borderId="21" xfId="1" applyFill="1" applyBorder="1" applyAlignment="1" applyProtection="1">
      <alignment horizontal="center"/>
      <protection locked="0"/>
    </xf>
    <xf numFmtId="0" fontId="1" fillId="12" borderId="20" xfId="1" applyFill="1" applyBorder="1" applyAlignment="1" applyProtection="1">
      <alignment horizontal="center"/>
      <protection locked="0"/>
    </xf>
    <xf numFmtId="0" fontId="1" fillId="12" borderId="23" xfId="1" applyFill="1" applyBorder="1" applyAlignment="1" applyProtection="1">
      <alignment horizontal="center"/>
      <protection locked="0"/>
    </xf>
    <xf numFmtId="0" fontId="1" fillId="12" borderId="24" xfId="1" applyFill="1" applyBorder="1" applyAlignment="1" applyProtection="1">
      <alignment horizontal="center"/>
      <protection locked="0"/>
    </xf>
    <xf numFmtId="0" fontId="1" fillId="13" borderId="19" xfId="1" applyFill="1" applyBorder="1" applyProtection="1">
      <protection locked="0"/>
    </xf>
    <xf numFmtId="0" fontId="1" fillId="0" borderId="0" xfId="1" applyFill="1" applyBorder="1" applyProtection="1"/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0" fontId="5" fillId="0" borderId="0" xfId="1" applyFont="1" applyBorder="1" applyProtection="1"/>
    <xf numFmtId="0" fontId="1" fillId="0" borderId="0" xfId="1" applyProtection="1"/>
    <xf numFmtId="0" fontId="1" fillId="7" borderId="19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  <protection locked="0"/>
    </xf>
    <xf numFmtId="0" fontId="1" fillId="2" borderId="31" xfId="1" applyFill="1" applyBorder="1" applyAlignment="1" applyProtection="1">
      <alignment horizontal="center"/>
      <protection locked="0"/>
    </xf>
    <xf numFmtId="0" fontId="1" fillId="14" borderId="32" xfId="1" applyFont="1" applyFill="1" applyBorder="1" applyAlignment="1" applyProtection="1">
      <alignment horizontal="center"/>
      <protection locked="0"/>
    </xf>
    <xf numFmtId="0" fontId="1" fillId="14" borderId="33" xfId="1" applyFont="1" applyFill="1" applyBorder="1" applyAlignment="1" applyProtection="1">
      <alignment horizontal="center"/>
      <protection locked="0"/>
    </xf>
    <xf numFmtId="0" fontId="1" fillId="14" borderId="34" xfId="1" applyFont="1" applyFill="1" applyBorder="1" applyAlignment="1" applyProtection="1">
      <alignment horizontal="center"/>
      <protection locked="0"/>
    </xf>
    <xf numFmtId="0" fontId="1" fillId="15" borderId="32" xfId="1" applyFill="1" applyBorder="1" applyAlignment="1" applyProtection="1">
      <alignment horizontal="center"/>
      <protection locked="0"/>
    </xf>
    <xf numFmtId="0" fontId="1" fillId="15" borderId="33" xfId="1" applyFill="1" applyBorder="1" applyAlignment="1" applyProtection="1">
      <alignment horizontal="center"/>
      <protection locked="0"/>
    </xf>
    <xf numFmtId="0" fontId="1" fillId="15" borderId="35" xfId="1" applyFill="1" applyBorder="1" applyAlignment="1" applyProtection="1">
      <alignment horizontal="center"/>
      <protection locked="0"/>
    </xf>
    <xf numFmtId="0" fontId="1" fillId="5" borderId="32" xfId="1" applyFill="1" applyBorder="1" applyAlignment="1" applyProtection="1">
      <alignment horizontal="center"/>
      <protection locked="0"/>
    </xf>
    <xf numFmtId="0" fontId="1" fillId="5" borderId="33" xfId="1" applyFill="1" applyBorder="1" applyAlignment="1" applyProtection="1">
      <alignment horizontal="center"/>
      <protection locked="0"/>
    </xf>
    <xf numFmtId="0" fontId="1" fillId="5" borderId="35" xfId="1" applyFill="1" applyBorder="1" applyAlignment="1" applyProtection="1">
      <alignment horizontal="center"/>
      <protection locked="0"/>
    </xf>
    <xf numFmtId="0" fontId="1" fillId="6" borderId="32" xfId="1" applyFill="1" applyBorder="1" applyAlignment="1" applyProtection="1">
      <alignment horizontal="center"/>
      <protection locked="0"/>
    </xf>
    <xf numFmtId="0" fontId="1" fillId="6" borderId="33" xfId="1" applyFill="1" applyBorder="1" applyAlignment="1" applyProtection="1">
      <alignment horizontal="center"/>
      <protection locked="0"/>
    </xf>
    <xf numFmtId="0" fontId="1" fillId="6" borderId="34" xfId="1" applyFill="1" applyBorder="1" applyAlignment="1" applyProtection="1">
      <alignment horizontal="center"/>
      <protection locked="0"/>
    </xf>
    <xf numFmtId="0" fontId="1" fillId="7" borderId="36" xfId="1" applyFill="1" applyBorder="1" applyAlignment="1" applyProtection="1">
      <alignment horizontal="center"/>
      <protection locked="0"/>
    </xf>
    <xf numFmtId="0" fontId="1" fillId="7" borderId="33" xfId="1" applyFill="1" applyBorder="1" applyAlignment="1" applyProtection="1">
      <alignment horizontal="center"/>
      <protection locked="0"/>
    </xf>
    <xf numFmtId="0" fontId="1" fillId="7" borderId="34" xfId="1" applyFill="1" applyBorder="1" applyAlignment="1" applyProtection="1">
      <alignment horizontal="center"/>
      <protection locked="0"/>
    </xf>
    <xf numFmtId="0" fontId="1" fillId="8" borderId="32" xfId="1" applyFill="1" applyBorder="1" applyAlignment="1" applyProtection="1">
      <alignment horizontal="center"/>
      <protection locked="0"/>
    </xf>
    <xf numFmtId="0" fontId="1" fillId="8" borderId="33" xfId="1" applyFill="1" applyBorder="1" applyAlignment="1" applyProtection="1">
      <alignment horizontal="center"/>
      <protection locked="0"/>
    </xf>
    <xf numFmtId="0" fontId="1" fillId="8" borderId="34" xfId="1" applyFill="1" applyBorder="1" applyAlignment="1" applyProtection="1">
      <alignment horizontal="center"/>
      <protection locked="0"/>
    </xf>
    <xf numFmtId="0" fontId="1" fillId="9" borderId="37" xfId="1" applyFill="1" applyBorder="1" applyAlignment="1" applyProtection="1">
      <alignment horizontal="center"/>
      <protection locked="0"/>
    </xf>
    <xf numFmtId="0" fontId="1" fillId="10" borderId="38" xfId="1" applyFill="1" applyBorder="1" applyAlignment="1" applyProtection="1">
      <alignment horizontal="center"/>
      <protection locked="0"/>
    </xf>
    <xf numFmtId="0" fontId="1" fillId="11" borderId="32" xfId="1" applyFill="1" applyBorder="1" applyAlignment="1" applyProtection="1">
      <alignment horizontal="center"/>
      <protection locked="0"/>
    </xf>
    <xf numFmtId="0" fontId="1" fillId="11" borderId="34" xfId="1" applyFill="1" applyBorder="1" applyAlignment="1" applyProtection="1">
      <alignment horizontal="center"/>
      <protection locked="0"/>
    </xf>
    <xf numFmtId="0" fontId="1" fillId="12" borderId="36" xfId="1" applyFill="1" applyBorder="1" applyAlignment="1" applyProtection="1">
      <alignment horizontal="center"/>
      <protection locked="0"/>
    </xf>
    <xf numFmtId="0" fontId="1" fillId="12" borderId="33" xfId="1" applyFill="1" applyBorder="1" applyAlignment="1" applyProtection="1">
      <alignment horizontal="center"/>
      <protection locked="0"/>
    </xf>
    <xf numFmtId="0" fontId="1" fillId="12" borderId="35" xfId="1" applyFill="1" applyBorder="1" applyAlignment="1" applyProtection="1">
      <alignment horizontal="center"/>
      <protection locked="0"/>
    </xf>
    <xf numFmtId="0" fontId="1" fillId="13" borderId="37" xfId="1" applyFill="1" applyBorder="1" applyProtection="1">
      <protection locked="0"/>
    </xf>
    <xf numFmtId="0" fontId="1" fillId="7" borderId="37" xfId="1" applyFill="1" applyBorder="1" applyAlignment="1" applyProtection="1">
      <alignment horizontal="center"/>
    </xf>
    <xf numFmtId="0" fontId="1" fillId="2" borderId="34" xfId="1" applyFill="1" applyBorder="1" applyAlignment="1" applyProtection="1">
      <alignment horizontal="center"/>
      <protection locked="0"/>
    </xf>
    <xf numFmtId="0" fontId="1" fillId="14" borderId="32" xfId="1" applyFill="1" applyBorder="1" applyAlignment="1" applyProtection="1">
      <alignment horizontal="center"/>
      <protection locked="0"/>
    </xf>
    <xf numFmtId="0" fontId="1" fillId="14" borderId="26" xfId="1" applyFill="1" applyBorder="1" applyAlignment="1" applyProtection="1">
      <alignment horizontal="center"/>
      <protection locked="0"/>
    </xf>
    <xf numFmtId="0" fontId="1" fillId="14" borderId="31" xfId="1" applyFont="1" applyFill="1" applyBorder="1" applyAlignment="1" applyProtection="1">
      <alignment horizontal="center"/>
      <protection locked="0"/>
    </xf>
    <xf numFmtId="0" fontId="1" fillId="15" borderId="26" xfId="1" applyFill="1" applyBorder="1" applyAlignment="1" applyProtection="1">
      <alignment horizontal="center"/>
      <protection locked="0"/>
    </xf>
    <xf numFmtId="0" fontId="1" fillId="14" borderId="31" xfId="1" applyFill="1" applyBorder="1" applyAlignment="1" applyProtection="1">
      <alignment horizontal="center"/>
      <protection locked="0"/>
    </xf>
    <xf numFmtId="0" fontId="1" fillId="2" borderId="36" xfId="1" applyFill="1" applyBorder="1" applyAlignment="1" applyProtection="1">
      <alignment horizontal="center"/>
      <protection locked="0"/>
    </xf>
    <xf numFmtId="0" fontId="1" fillId="14" borderId="33" xfId="1" applyFill="1" applyBorder="1" applyAlignment="1" applyProtection="1">
      <alignment horizontal="center"/>
      <protection locked="0"/>
    </xf>
    <xf numFmtId="0" fontId="1" fillId="14" borderId="34" xfId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/>
    <xf numFmtId="0" fontId="1" fillId="4" borderId="32" xfId="1" applyFill="1" applyBorder="1" applyAlignment="1" applyProtection="1">
      <alignment horizontal="center"/>
      <protection locked="0"/>
    </xf>
    <xf numFmtId="0" fontId="1" fillId="4" borderId="33" xfId="1" applyFill="1" applyBorder="1" applyAlignment="1" applyProtection="1">
      <alignment horizontal="center"/>
      <protection locked="0"/>
    </xf>
    <xf numFmtId="0" fontId="1" fillId="4" borderId="35" xfId="1" applyFill="1" applyBorder="1" applyAlignment="1" applyProtection="1">
      <alignment horizontal="center"/>
      <protection locked="0"/>
    </xf>
    <xf numFmtId="0" fontId="1" fillId="13" borderId="39" xfId="1" applyFill="1" applyBorder="1" applyProtection="1">
      <protection locked="0"/>
    </xf>
    <xf numFmtId="0" fontId="1" fillId="0" borderId="40" xfId="1" applyFont="1" applyFill="1" applyBorder="1" applyProtection="1"/>
    <xf numFmtId="0" fontId="1" fillId="0" borderId="41" xfId="1" applyFont="1" applyFill="1" applyBorder="1" applyProtection="1"/>
    <xf numFmtId="0" fontId="1" fillId="0" borderId="42" xfId="1" applyFont="1" applyFill="1" applyBorder="1" applyProtection="1"/>
    <xf numFmtId="0" fontId="1" fillId="0" borderId="43" xfId="1" applyFont="1" applyFill="1" applyBorder="1" applyProtection="1"/>
    <xf numFmtId="0" fontId="1" fillId="0" borderId="44" xfId="1" applyFont="1" applyFill="1" applyBorder="1" applyProtection="1"/>
    <xf numFmtId="0" fontId="1" fillId="0" borderId="45" xfId="1" applyFont="1" applyFill="1" applyBorder="1" applyProtection="1"/>
    <xf numFmtId="0" fontId="1" fillId="0" borderId="13" xfId="1" applyFill="1" applyBorder="1" applyProtection="1"/>
    <xf numFmtId="0" fontId="1" fillId="0" borderId="17" xfId="1" applyFill="1" applyBorder="1" applyProtection="1">
      <protection locked="0"/>
    </xf>
    <xf numFmtId="0" fontId="1" fillId="0" borderId="0" xfId="1" applyFill="1" applyProtection="1"/>
    <xf numFmtId="0" fontId="1" fillId="3" borderId="32" xfId="1" applyFill="1" applyBorder="1" applyAlignment="1" applyProtection="1">
      <alignment horizontal="center"/>
      <protection locked="0"/>
    </xf>
    <xf numFmtId="0" fontId="1" fillId="3" borderId="33" xfId="1" applyFill="1" applyBorder="1" applyAlignment="1" applyProtection="1">
      <alignment horizontal="center"/>
      <protection locked="0"/>
    </xf>
    <xf numFmtId="0" fontId="1" fillId="3" borderId="34" xfId="1" applyFill="1" applyBorder="1" applyAlignment="1" applyProtection="1">
      <alignment horizontal="center"/>
      <protection locked="0"/>
    </xf>
    <xf numFmtId="0" fontId="1" fillId="7" borderId="46" xfId="1" applyFill="1" applyBorder="1" applyAlignment="1" applyProtection="1">
      <alignment horizontal="center"/>
    </xf>
    <xf numFmtId="0" fontId="1" fillId="7" borderId="47" xfId="1" applyFill="1" applyBorder="1" applyAlignment="1" applyProtection="1">
      <alignment horizontal="center"/>
    </xf>
    <xf numFmtId="0" fontId="1" fillId="2" borderId="48" xfId="1" applyFill="1" applyBorder="1" applyAlignment="1" applyProtection="1">
      <alignment horizontal="center"/>
      <protection locked="0"/>
    </xf>
    <xf numFmtId="0" fontId="1" fillId="2" borderId="49" xfId="1" applyFill="1" applyBorder="1" applyAlignment="1" applyProtection="1">
      <alignment horizontal="center"/>
      <protection locked="0"/>
    </xf>
    <xf numFmtId="0" fontId="1" fillId="3" borderId="50" xfId="1" applyFill="1" applyBorder="1" applyAlignment="1" applyProtection="1">
      <alignment horizontal="center"/>
      <protection locked="0"/>
    </xf>
    <xf numFmtId="0" fontId="1" fillId="3" borderId="51" xfId="1" applyFill="1" applyBorder="1" applyAlignment="1" applyProtection="1">
      <alignment horizontal="center"/>
      <protection locked="0"/>
    </xf>
    <xf numFmtId="0" fontId="1" fillId="3" borderId="49" xfId="1" applyFill="1" applyBorder="1" applyAlignment="1" applyProtection="1">
      <alignment horizontal="center"/>
      <protection locked="0"/>
    </xf>
    <xf numFmtId="0" fontId="1" fillId="4" borderId="50" xfId="1" applyFill="1" applyBorder="1" applyAlignment="1" applyProtection="1">
      <alignment horizontal="center"/>
      <protection locked="0"/>
    </xf>
    <xf numFmtId="0" fontId="1" fillId="4" borderId="51" xfId="1" applyFill="1" applyBorder="1" applyAlignment="1" applyProtection="1">
      <alignment horizontal="center"/>
      <protection locked="0"/>
    </xf>
    <xf numFmtId="0" fontId="1" fillId="4" borderId="52" xfId="1" applyFill="1" applyBorder="1" applyAlignment="1" applyProtection="1">
      <alignment horizontal="center"/>
      <protection locked="0"/>
    </xf>
    <xf numFmtId="0" fontId="1" fillId="5" borderId="50" xfId="1" applyFill="1" applyBorder="1" applyAlignment="1" applyProtection="1">
      <alignment horizontal="center"/>
      <protection locked="0"/>
    </xf>
    <xf numFmtId="0" fontId="1" fillId="5" borderId="51" xfId="1" applyFill="1" applyBorder="1" applyAlignment="1" applyProtection="1">
      <alignment horizontal="center"/>
      <protection locked="0"/>
    </xf>
    <xf numFmtId="0" fontId="1" fillId="5" borderId="52" xfId="1" applyFill="1" applyBorder="1" applyAlignment="1" applyProtection="1">
      <alignment horizontal="center"/>
      <protection locked="0"/>
    </xf>
    <xf numFmtId="0" fontId="1" fillId="6" borderId="50" xfId="1" applyFill="1" applyBorder="1" applyAlignment="1" applyProtection="1">
      <alignment horizontal="center"/>
      <protection locked="0"/>
    </xf>
    <xf numFmtId="0" fontId="1" fillId="6" borderId="51" xfId="1" applyFill="1" applyBorder="1" applyAlignment="1" applyProtection="1">
      <alignment horizontal="center"/>
      <protection locked="0"/>
    </xf>
    <xf numFmtId="0" fontId="1" fillId="6" borderId="49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7" borderId="51" xfId="1" applyFill="1" applyBorder="1" applyAlignment="1" applyProtection="1">
      <alignment horizontal="center"/>
      <protection locked="0"/>
    </xf>
    <xf numFmtId="0" fontId="1" fillId="7" borderId="49" xfId="1" applyFill="1" applyBorder="1" applyAlignment="1" applyProtection="1">
      <alignment horizontal="center"/>
      <protection locked="0"/>
    </xf>
    <xf numFmtId="0" fontId="1" fillId="8" borderId="50" xfId="1" applyFill="1" applyBorder="1" applyAlignment="1" applyProtection="1">
      <alignment horizontal="center"/>
      <protection locked="0"/>
    </xf>
    <xf numFmtId="0" fontId="1" fillId="8" borderId="51" xfId="1" applyFill="1" applyBorder="1" applyAlignment="1" applyProtection="1">
      <alignment horizontal="center"/>
      <protection locked="0"/>
    </xf>
    <xf numFmtId="0" fontId="1" fillId="8" borderId="49" xfId="1" applyFill="1" applyBorder="1" applyAlignment="1" applyProtection="1">
      <alignment horizontal="center"/>
      <protection locked="0"/>
    </xf>
    <xf numFmtId="0" fontId="1" fillId="9" borderId="47" xfId="1" applyFill="1" applyBorder="1" applyAlignment="1" applyProtection="1">
      <alignment horizontal="center"/>
      <protection locked="0"/>
    </xf>
    <xf numFmtId="0" fontId="1" fillId="10" borderId="53" xfId="1" applyFill="1" applyBorder="1" applyAlignment="1" applyProtection="1">
      <alignment horizontal="center"/>
      <protection locked="0"/>
    </xf>
    <xf numFmtId="0" fontId="1" fillId="11" borderId="50" xfId="1" applyFill="1" applyBorder="1" applyAlignment="1" applyProtection="1">
      <alignment horizontal="center"/>
      <protection locked="0"/>
    </xf>
    <xf numFmtId="0" fontId="1" fillId="11" borderId="49" xfId="1" applyFill="1" applyBorder="1" applyAlignment="1" applyProtection="1">
      <alignment horizontal="center"/>
      <protection locked="0"/>
    </xf>
    <xf numFmtId="0" fontId="1" fillId="12" borderId="48" xfId="1" applyFill="1" applyBorder="1" applyAlignment="1" applyProtection="1">
      <alignment horizontal="center"/>
      <protection locked="0"/>
    </xf>
    <xf numFmtId="0" fontId="1" fillId="12" borderId="51" xfId="1" applyFill="1" applyBorder="1" applyAlignment="1" applyProtection="1">
      <alignment horizontal="center"/>
      <protection locked="0"/>
    </xf>
    <xf numFmtId="0" fontId="1" fillId="12" borderId="52" xfId="1" applyFill="1" applyBorder="1" applyAlignment="1" applyProtection="1">
      <alignment horizontal="center"/>
      <protection locked="0"/>
    </xf>
    <xf numFmtId="0" fontId="1" fillId="13" borderId="47" xfId="1" applyFill="1" applyBorder="1" applyProtection="1">
      <protection locked="0"/>
    </xf>
    <xf numFmtId="0" fontId="1" fillId="0" borderId="0" xfId="1" applyFill="1" applyBorder="1" applyAlignment="1" applyProtection="1">
      <alignment horizontal="center"/>
    </xf>
    <xf numFmtId="0" fontId="7" fillId="0" borderId="0" xfId="1" applyFont="1" applyFill="1" applyBorder="1" applyProtection="1"/>
    <xf numFmtId="0" fontId="7" fillId="0" borderId="0" xfId="1" applyFont="1" applyProtection="1"/>
    <xf numFmtId="0" fontId="1" fillId="16" borderId="4" xfId="1" applyFill="1" applyBorder="1" applyProtection="1"/>
    <xf numFmtId="0" fontId="1" fillId="16" borderId="6" xfId="1" applyFill="1" applyBorder="1" applyProtection="1"/>
    <xf numFmtId="0" fontId="1" fillId="16" borderId="54" xfId="1" applyFill="1" applyBorder="1" applyProtection="1"/>
    <xf numFmtId="0" fontId="1" fillId="16" borderId="55" xfId="1" applyFill="1" applyBorder="1" applyProtection="1"/>
    <xf numFmtId="0" fontId="1" fillId="16" borderId="7" xfId="1" applyFill="1" applyBorder="1" applyProtection="1">
      <protection locked="0"/>
    </xf>
    <xf numFmtId="0" fontId="8" fillId="0" borderId="0" xfId="1" applyFont="1" applyFill="1" applyBorder="1" applyProtection="1"/>
    <xf numFmtId="0" fontId="2" fillId="0" borderId="0" xfId="1" applyFont="1" applyProtection="1"/>
    <xf numFmtId="0" fontId="2" fillId="17" borderId="4" xfId="1" applyFont="1" applyFill="1" applyBorder="1" applyAlignment="1" applyProtection="1">
      <alignment horizontal="center"/>
    </xf>
    <xf numFmtId="0" fontId="2" fillId="17" borderId="6" xfId="1" applyFont="1" applyFill="1" applyBorder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2" fillId="15" borderId="1" xfId="1" applyFont="1" applyFill="1" applyBorder="1" applyAlignment="1" applyProtection="1">
      <alignment horizontal="center"/>
    </xf>
    <xf numFmtId="0" fontId="2" fillId="15" borderId="3" xfId="1" applyFont="1" applyFill="1" applyBorder="1" applyAlignment="1" applyProtection="1">
      <alignment horizontal="center"/>
    </xf>
    <xf numFmtId="0" fontId="2" fillId="15" borderId="2" xfId="1" applyFont="1" applyFill="1" applyBorder="1" applyAlignment="1" applyProtection="1">
      <alignment horizontal="center"/>
    </xf>
    <xf numFmtId="0" fontId="2" fillId="18" borderId="1" xfId="1" applyFont="1" applyFill="1" applyBorder="1" applyAlignment="1" applyProtection="1">
      <alignment horizontal="center"/>
    </xf>
    <xf numFmtId="0" fontId="2" fillId="18" borderId="3" xfId="1" applyFont="1" applyFill="1" applyBorder="1" applyAlignment="1" applyProtection="1">
      <alignment horizontal="center"/>
    </xf>
    <xf numFmtId="0" fontId="2" fillId="18" borderId="2" xfId="1" applyFont="1" applyFill="1" applyBorder="1" applyAlignment="1" applyProtection="1">
      <alignment horizontal="center"/>
    </xf>
    <xf numFmtId="0" fontId="2" fillId="6" borderId="4" xfId="1" applyFont="1" applyFill="1" applyBorder="1" applyAlignment="1" applyProtection="1">
      <alignment horizontal="center"/>
    </xf>
    <xf numFmtId="0" fontId="2" fillId="6" borderId="5" xfId="1" applyFont="1" applyFill="1" applyBorder="1" applyAlignment="1" applyProtection="1">
      <alignment horizontal="center"/>
    </xf>
    <xf numFmtId="0" fontId="2" fillId="19" borderId="4" xfId="1" applyFont="1" applyFill="1" applyBorder="1" applyAlignment="1" applyProtection="1">
      <alignment horizontal="center"/>
    </xf>
    <xf numFmtId="0" fontId="2" fillId="19" borderId="5" xfId="1" applyFont="1" applyFill="1" applyBorder="1" applyAlignment="1" applyProtection="1">
      <alignment horizontal="center"/>
    </xf>
    <xf numFmtId="0" fontId="2" fillId="19" borderId="6" xfId="1" applyFont="1" applyFill="1" applyBorder="1" applyAlignment="1" applyProtection="1">
      <alignment horizontal="center"/>
    </xf>
    <xf numFmtId="0" fontId="2" fillId="20" borderId="1" xfId="1" applyFont="1" applyFill="1" applyBorder="1" applyAlignment="1" applyProtection="1">
      <alignment horizontal="center"/>
    </xf>
    <xf numFmtId="0" fontId="2" fillId="20" borderId="3" xfId="1" applyFont="1" applyFill="1" applyBorder="1" applyAlignment="1" applyProtection="1">
      <alignment horizontal="center"/>
    </xf>
    <xf numFmtId="0" fontId="2" fillId="20" borderId="6" xfId="1" applyFont="1" applyFill="1" applyBorder="1" applyAlignment="1" applyProtection="1">
      <alignment horizontal="center"/>
    </xf>
    <xf numFmtId="0" fontId="2" fillId="9" borderId="5" xfId="1" applyFont="1" applyFill="1" applyBorder="1" applyAlignment="1" applyProtection="1">
      <alignment horizontal="center"/>
    </xf>
    <xf numFmtId="0" fontId="2" fillId="9" borderId="6" xfId="1" applyFont="1" applyFill="1" applyBorder="1" applyAlignment="1" applyProtection="1">
      <alignment horizontal="center"/>
    </xf>
    <xf numFmtId="0" fontId="2" fillId="21" borderId="8" xfId="1" applyFont="1" applyFill="1" applyBorder="1" applyProtection="1"/>
    <xf numFmtId="0" fontId="2" fillId="0" borderId="0" xfId="1" applyFont="1" applyAlignment="1" applyProtection="1">
      <alignment horizontal="right"/>
    </xf>
    <xf numFmtId="0" fontId="2" fillId="22" borderId="7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9" fillId="0" borderId="0" xfId="1" applyFont="1" applyBorder="1" applyProtection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2" fillId="0" borderId="0" xfId="0" applyFont="1" applyProtection="1"/>
    <xf numFmtId="0" fontId="2" fillId="19" borderId="1" xfId="1" applyFont="1" applyFill="1" applyBorder="1" applyAlignment="1" applyProtection="1">
      <alignment horizontal="center"/>
    </xf>
    <xf numFmtId="0" fontId="2" fillId="19" borderId="3" xfId="1" applyFont="1" applyFill="1" applyBorder="1" applyAlignment="1" applyProtection="1">
      <alignment horizontal="center"/>
    </xf>
    <xf numFmtId="0" fontId="2" fillId="17" borderId="13" xfId="1" applyFont="1" applyFill="1" applyBorder="1" applyAlignment="1" applyProtection="1">
      <alignment horizontal="center"/>
    </xf>
    <xf numFmtId="0" fontId="2" fillId="17" borderId="17" xfId="1" applyFont="1" applyFill="1" applyBorder="1" applyAlignment="1" applyProtection="1">
      <alignment horizontal="center"/>
    </xf>
    <xf numFmtId="0" fontId="2" fillId="14" borderId="1" xfId="1" applyFont="1" applyFill="1" applyBorder="1" applyAlignment="1" applyProtection="1">
      <alignment horizontal="center"/>
    </xf>
    <xf numFmtId="0" fontId="2" fillId="14" borderId="3" xfId="1" applyFont="1" applyFill="1" applyBorder="1" applyAlignment="1" applyProtection="1">
      <alignment horizontal="center"/>
    </xf>
    <xf numFmtId="0" fontId="2" fillId="14" borderId="2" xfId="1" applyFont="1" applyFill="1" applyBorder="1" applyAlignment="1" applyProtection="1">
      <alignment horizontal="center"/>
    </xf>
    <xf numFmtId="0" fontId="2" fillId="6" borderId="13" xfId="1" applyFont="1" applyFill="1" applyBorder="1" applyProtection="1"/>
    <xf numFmtId="0" fontId="2" fillId="6" borderId="14" xfId="1" applyFont="1" applyFill="1" applyBorder="1" applyAlignment="1" applyProtection="1">
      <alignment horizontal="center"/>
    </xf>
    <xf numFmtId="0" fontId="2" fillId="6" borderId="15" xfId="1" applyFont="1" applyFill="1" applyBorder="1" applyAlignment="1" applyProtection="1">
      <alignment horizontal="center"/>
    </xf>
    <xf numFmtId="0" fontId="2" fillId="19" borderId="13" xfId="1" applyFont="1" applyFill="1" applyBorder="1" applyAlignment="1" applyProtection="1">
      <alignment horizontal="center"/>
    </xf>
    <xf numFmtId="0" fontId="2" fillId="19" borderId="14" xfId="1" applyFont="1" applyFill="1" applyBorder="1" applyAlignment="1" applyProtection="1">
      <alignment horizontal="center"/>
    </xf>
    <xf numFmtId="0" fontId="2" fillId="19" borderId="15" xfId="1" applyFont="1" applyFill="1" applyBorder="1" applyAlignment="1" applyProtection="1">
      <alignment horizontal="center"/>
    </xf>
    <xf numFmtId="0" fontId="11" fillId="20" borderId="13" xfId="1" applyFont="1" applyFill="1" applyBorder="1" applyProtection="1"/>
    <xf numFmtId="0" fontId="11" fillId="20" borderId="14" xfId="1" applyFont="1" applyFill="1" applyBorder="1" applyProtection="1"/>
    <xf numFmtId="0" fontId="2" fillId="20" borderId="15" xfId="1" applyFont="1" applyFill="1" applyBorder="1" applyAlignment="1" applyProtection="1">
      <alignment horizontal="right"/>
    </xf>
    <xf numFmtId="0" fontId="2" fillId="20" borderId="3" xfId="1" applyFont="1" applyFill="1" applyBorder="1" applyAlignment="1" applyProtection="1">
      <alignment horizontal="left"/>
    </xf>
    <xf numFmtId="0" fontId="2" fillId="20" borderId="15" xfId="1" applyFont="1" applyFill="1" applyBorder="1" applyAlignment="1" applyProtection="1">
      <alignment horizontal="left"/>
    </xf>
    <xf numFmtId="0" fontId="2" fillId="20" borderId="2" xfId="1" applyFont="1" applyFill="1" applyBorder="1" applyAlignment="1" applyProtection="1">
      <alignment horizontal="center"/>
    </xf>
    <xf numFmtId="0" fontId="2" fillId="23" borderId="18" xfId="1" applyFont="1" applyFill="1" applyBorder="1" applyAlignment="1" applyProtection="1">
      <alignment horizontal="center"/>
    </xf>
    <xf numFmtId="0" fontId="2" fillId="23" borderId="14" xfId="1" applyFont="1" applyFill="1" applyBorder="1" applyAlignment="1" applyProtection="1">
      <alignment horizontal="center"/>
    </xf>
    <xf numFmtId="0" fontId="2" fillId="23" borderId="17" xfId="1" applyFont="1" applyFill="1" applyBorder="1" applyAlignment="1" applyProtection="1">
      <alignment horizontal="center"/>
    </xf>
    <xf numFmtId="0" fontId="2" fillId="21" borderId="2" xfId="1" applyFont="1" applyFill="1" applyBorder="1" applyProtection="1"/>
    <xf numFmtId="0" fontId="2" fillId="13" borderId="2" xfId="1" applyFont="1" applyFill="1" applyBorder="1" applyAlignment="1" applyProtection="1">
      <alignment horizontal="right"/>
    </xf>
    <xf numFmtId="0" fontId="2" fillId="24" borderId="13" xfId="1" applyFont="1" applyFill="1" applyBorder="1" applyAlignment="1" applyProtection="1">
      <alignment horizontal="center"/>
    </xf>
    <xf numFmtId="0" fontId="2" fillId="24" borderId="17" xfId="1" applyFont="1" applyFill="1" applyBorder="1" applyAlignment="1" applyProtection="1">
      <alignment horizontal="center"/>
    </xf>
    <xf numFmtId="0" fontId="11" fillId="25" borderId="1" xfId="1" applyFont="1" applyFill="1" applyBorder="1" applyAlignment="1" applyProtection="1">
      <alignment horizontal="center"/>
    </xf>
    <xf numFmtId="0" fontId="11" fillId="19" borderId="13" xfId="1" applyFont="1" applyFill="1" applyBorder="1" applyAlignment="1" applyProtection="1">
      <alignment horizontal="center"/>
    </xf>
    <xf numFmtId="0" fontId="11" fillId="19" borderId="17" xfId="1" applyFont="1" applyFill="1" applyBorder="1" applyAlignment="1" applyProtection="1">
      <alignment horizontal="center"/>
    </xf>
    <xf numFmtId="0" fontId="11" fillId="17" borderId="56" xfId="1" applyFont="1" applyFill="1" applyBorder="1" applyAlignment="1" applyProtection="1">
      <alignment horizontal="center"/>
    </xf>
    <xf numFmtId="0" fontId="11" fillId="17" borderId="57" xfId="1" applyFont="1" applyFill="1" applyBorder="1" applyAlignment="1" applyProtection="1">
      <alignment horizontal="center"/>
    </xf>
    <xf numFmtId="0" fontId="11" fillId="14" borderId="13" xfId="1" applyFont="1" applyFill="1" applyBorder="1" applyAlignment="1" applyProtection="1">
      <alignment horizontal="center"/>
    </xf>
    <xf numFmtId="0" fontId="11" fillId="14" borderId="14" xfId="1" applyFont="1" applyFill="1" applyBorder="1" applyAlignment="1" applyProtection="1">
      <alignment horizontal="center"/>
    </xf>
    <xf numFmtId="0" fontId="11" fillId="14" borderId="17" xfId="1" applyFont="1" applyFill="1" applyBorder="1" applyAlignment="1" applyProtection="1">
      <alignment horizontal="center"/>
    </xf>
    <xf numFmtId="0" fontId="11" fillId="26" borderId="7" xfId="1" applyFont="1" applyFill="1" applyBorder="1" applyAlignment="1" applyProtection="1">
      <alignment horizontal="center"/>
    </xf>
    <xf numFmtId="0" fontId="11" fillId="27" borderId="7" xfId="1" applyFont="1" applyFill="1" applyBorder="1" applyAlignment="1" applyProtection="1">
      <alignment horizontal="center"/>
    </xf>
    <xf numFmtId="0" fontId="11" fillId="15" borderId="13" xfId="1" applyFont="1" applyFill="1" applyBorder="1" applyAlignment="1" applyProtection="1">
      <alignment horizontal="center"/>
    </xf>
    <xf numFmtId="0" fontId="11" fillId="15" borderId="17" xfId="1" applyFont="1" applyFill="1" applyBorder="1" applyAlignment="1" applyProtection="1">
      <alignment horizontal="center"/>
    </xf>
    <xf numFmtId="0" fontId="11" fillId="15" borderId="18" xfId="1" applyFont="1" applyFill="1" applyBorder="1" applyAlignment="1" applyProtection="1">
      <alignment horizontal="center"/>
    </xf>
    <xf numFmtId="0" fontId="11" fillId="18" borderId="1" xfId="1" applyFont="1" applyFill="1" applyBorder="1" applyAlignment="1" applyProtection="1">
      <alignment horizontal="center"/>
    </xf>
    <xf numFmtId="0" fontId="11" fillId="18" borderId="15" xfId="1" applyFont="1" applyFill="1" applyBorder="1" applyAlignment="1" applyProtection="1">
      <alignment horizontal="center"/>
    </xf>
    <xf numFmtId="0" fontId="11" fillId="18" borderId="17" xfId="1" applyFont="1" applyFill="1" applyBorder="1" applyAlignment="1" applyProtection="1">
      <alignment horizontal="center"/>
    </xf>
    <xf numFmtId="0" fontId="11" fillId="18" borderId="14" xfId="1" applyFont="1" applyFill="1" applyBorder="1" applyAlignment="1" applyProtection="1">
      <alignment horizontal="center"/>
    </xf>
    <xf numFmtId="0" fontId="11" fillId="6" borderId="13" xfId="1" applyFont="1" applyFill="1" applyBorder="1" applyAlignment="1" applyProtection="1">
      <alignment horizontal="center"/>
    </xf>
    <xf numFmtId="0" fontId="11" fillId="6" borderId="14" xfId="1" applyFont="1" applyFill="1" applyBorder="1" applyAlignment="1" applyProtection="1">
      <alignment horizontal="center"/>
    </xf>
    <xf numFmtId="0" fontId="11" fillId="6" borderId="15" xfId="1" applyFont="1" applyFill="1" applyBorder="1" applyAlignment="1" applyProtection="1">
      <alignment horizontal="center"/>
    </xf>
    <xf numFmtId="0" fontId="11" fillId="19" borderId="14" xfId="1" applyFont="1" applyFill="1" applyBorder="1" applyAlignment="1" applyProtection="1">
      <alignment horizontal="center"/>
    </xf>
    <xf numFmtId="0" fontId="11" fillId="19" borderId="15" xfId="1" applyFont="1" applyFill="1" applyBorder="1" applyAlignment="1" applyProtection="1">
      <alignment horizontal="center"/>
    </xf>
    <xf numFmtId="0" fontId="11" fillId="20" borderId="13" xfId="1" applyFont="1" applyFill="1" applyBorder="1" applyAlignment="1" applyProtection="1">
      <alignment horizontal="center"/>
    </xf>
    <xf numFmtId="0" fontId="11" fillId="20" borderId="14" xfId="1" applyFont="1" applyFill="1" applyBorder="1" applyAlignment="1" applyProtection="1">
      <alignment horizontal="center"/>
    </xf>
    <xf numFmtId="0" fontId="11" fillId="20" borderId="15" xfId="1" applyFont="1" applyFill="1" applyBorder="1" applyAlignment="1" applyProtection="1">
      <alignment horizontal="center"/>
    </xf>
    <xf numFmtId="0" fontId="11" fillId="20" borderId="57" xfId="1" applyFont="1" applyFill="1" applyBorder="1" applyAlignment="1" applyProtection="1">
      <alignment horizontal="center"/>
    </xf>
    <xf numFmtId="0" fontId="11" fillId="23" borderId="13" xfId="1" applyFont="1" applyFill="1" applyBorder="1" applyProtection="1"/>
    <xf numFmtId="0" fontId="11" fillId="23" borderId="14" xfId="1" applyFont="1" applyFill="1" applyBorder="1" applyAlignment="1" applyProtection="1">
      <alignment horizontal="center"/>
    </xf>
    <xf numFmtId="0" fontId="11" fillId="23" borderId="17" xfId="1" applyFont="1" applyFill="1" applyBorder="1" applyAlignment="1" applyProtection="1">
      <alignment horizontal="center"/>
    </xf>
    <xf numFmtId="0" fontId="11" fillId="21" borderId="2" xfId="1" applyFont="1" applyFill="1" applyBorder="1" applyAlignment="1" applyProtection="1">
      <alignment horizontal="center"/>
    </xf>
    <xf numFmtId="0" fontId="11" fillId="13" borderId="3" xfId="1" applyFont="1" applyFill="1" applyBorder="1" applyAlignment="1" applyProtection="1">
      <alignment horizontal="center"/>
    </xf>
    <xf numFmtId="0" fontId="11" fillId="22" borderId="7" xfId="1" applyFont="1" applyFill="1" applyBorder="1" applyAlignment="1" applyProtection="1">
      <alignment horizontal="center"/>
    </xf>
    <xf numFmtId="0" fontId="11" fillId="24" borderId="13" xfId="1" applyFont="1" applyFill="1" applyBorder="1" applyProtection="1"/>
    <xf numFmtId="0" fontId="11" fillId="24" borderId="17" xfId="1" applyFont="1" applyFill="1" applyBorder="1" applyProtection="1"/>
    <xf numFmtId="0" fontId="11" fillId="0" borderId="0" xfId="1" applyFont="1" applyProtection="1"/>
    <xf numFmtId="0" fontId="12" fillId="0" borderId="0" xfId="1" applyFont="1" applyFill="1" applyBorder="1" applyAlignment="1" applyProtection="1">
      <alignment horizontal="center"/>
    </xf>
    <xf numFmtId="0" fontId="13" fillId="0" borderId="0" xfId="1" applyFont="1" applyBorder="1" applyProtection="1"/>
    <xf numFmtId="0" fontId="14" fillId="0" borderId="0" xfId="1" applyFont="1" applyBorder="1" applyProtection="1"/>
    <xf numFmtId="0" fontId="13" fillId="0" borderId="0" xfId="1" applyFont="1" applyBorder="1" applyAlignment="1" applyProtection="1">
      <alignment horizontal="right"/>
    </xf>
    <xf numFmtId="0" fontId="13" fillId="0" borderId="0" xfId="1" applyFont="1" applyBorder="1" applyAlignment="1" applyProtection="1">
      <alignment horizontal="center"/>
    </xf>
    <xf numFmtId="0" fontId="13" fillId="0" borderId="0" xfId="1" applyFont="1" applyFill="1" applyBorder="1" applyProtection="1"/>
    <xf numFmtId="0" fontId="11" fillId="0" borderId="0" xfId="0" applyFont="1" applyProtection="1"/>
    <xf numFmtId="0" fontId="1" fillId="25" borderId="28" xfId="1" applyFill="1" applyBorder="1" applyProtection="1"/>
    <xf numFmtId="0" fontId="1" fillId="19" borderId="22" xfId="1" applyFill="1" applyBorder="1" applyAlignment="1" applyProtection="1">
      <alignment horizontal="center"/>
      <protection locked="0"/>
    </xf>
    <xf numFmtId="0" fontId="1" fillId="19" borderId="21" xfId="1" applyFill="1" applyBorder="1" applyAlignment="1" applyProtection="1">
      <alignment horizontal="center"/>
      <protection locked="0"/>
    </xf>
    <xf numFmtId="0" fontId="1" fillId="17" borderId="58" xfId="1" applyFont="1" applyFill="1" applyBorder="1" applyAlignment="1" applyProtection="1">
      <alignment horizontal="center"/>
      <protection locked="0"/>
    </xf>
    <xf numFmtId="0" fontId="1" fillId="17" borderId="59" xfId="1" applyFont="1" applyFill="1" applyBorder="1" applyAlignment="1" applyProtection="1">
      <alignment horizontal="center"/>
      <protection locked="0"/>
    </xf>
    <xf numFmtId="11" fontId="1" fillId="14" borderId="58" xfId="1" applyNumberFormat="1" applyFill="1" applyBorder="1" applyAlignment="1" applyProtection="1">
      <alignment horizontal="center"/>
      <protection locked="0"/>
    </xf>
    <xf numFmtId="11" fontId="1" fillId="14" borderId="33" xfId="1" applyNumberFormat="1" applyFill="1" applyBorder="1" applyAlignment="1" applyProtection="1">
      <alignment horizontal="center"/>
      <protection locked="0"/>
    </xf>
    <xf numFmtId="11" fontId="1" fillId="14" borderId="59" xfId="1" applyNumberFormat="1" applyFill="1" applyBorder="1" applyAlignment="1" applyProtection="1">
      <alignment horizontal="center"/>
      <protection locked="0"/>
    </xf>
    <xf numFmtId="0" fontId="1" fillId="26" borderId="28" xfId="1" applyFont="1" applyFill="1" applyBorder="1" applyAlignment="1" applyProtection="1">
      <alignment horizontal="center"/>
      <protection locked="0"/>
    </xf>
    <xf numFmtId="0" fontId="1" fillId="27" borderId="28" xfId="1" applyFill="1" applyBorder="1" applyAlignment="1" applyProtection="1">
      <alignment horizontal="center"/>
      <protection locked="0"/>
    </xf>
    <xf numFmtId="0" fontId="1" fillId="15" borderId="20" xfId="1" applyFill="1" applyBorder="1" applyAlignment="1" applyProtection="1">
      <alignment horizontal="center"/>
      <protection locked="0"/>
    </xf>
    <xf numFmtId="0" fontId="1" fillId="15" borderId="21" xfId="1" applyFill="1" applyBorder="1" applyAlignment="1" applyProtection="1">
      <alignment horizontal="center"/>
      <protection locked="0"/>
    </xf>
    <xf numFmtId="0" fontId="1" fillId="18" borderId="22" xfId="1" applyFont="1" applyFill="1" applyBorder="1" applyAlignment="1" applyProtection="1">
      <alignment horizontal="center"/>
      <protection locked="0"/>
    </xf>
    <xf numFmtId="0" fontId="1" fillId="18" borderId="23" xfId="1" applyFont="1" applyFill="1" applyBorder="1" applyAlignment="1" applyProtection="1">
      <alignment horizontal="center"/>
      <protection locked="0"/>
    </xf>
    <xf numFmtId="0" fontId="1" fillId="18" borderId="21" xfId="1" applyFont="1" applyFill="1" applyBorder="1" applyAlignment="1" applyProtection="1">
      <alignment horizontal="center"/>
      <protection locked="0"/>
    </xf>
    <xf numFmtId="0" fontId="1" fillId="18" borderId="22" xfId="1" applyFill="1" applyBorder="1" applyAlignment="1" applyProtection="1">
      <alignment horizontal="center"/>
      <protection locked="0"/>
    </xf>
    <xf numFmtId="0" fontId="1" fillId="18" borderId="23" xfId="1" applyFill="1" applyBorder="1" applyAlignment="1" applyProtection="1">
      <alignment horizontal="center"/>
      <protection locked="0"/>
    </xf>
    <xf numFmtId="0" fontId="1" fillId="18" borderId="24" xfId="1" applyFill="1" applyBorder="1" applyAlignment="1" applyProtection="1">
      <alignment horizontal="center"/>
      <protection locked="0"/>
    </xf>
    <xf numFmtId="0" fontId="1" fillId="6" borderId="24" xfId="1" applyFill="1" applyBorder="1" applyAlignment="1" applyProtection="1">
      <alignment horizontal="center"/>
      <protection locked="0"/>
    </xf>
    <xf numFmtId="0" fontId="1" fillId="19" borderId="58" xfId="1" applyFill="1" applyBorder="1" applyAlignment="1" applyProtection="1">
      <alignment horizontal="center"/>
      <protection locked="0"/>
    </xf>
    <xf numFmtId="0" fontId="1" fillId="19" borderId="26" xfId="1" applyFill="1" applyBorder="1" applyAlignment="1" applyProtection="1">
      <alignment horizontal="center"/>
      <protection locked="0"/>
    </xf>
    <xf numFmtId="0" fontId="1" fillId="19" borderId="59" xfId="1" applyFill="1" applyBorder="1" applyAlignment="1" applyProtection="1">
      <alignment horizontal="center"/>
      <protection locked="0"/>
    </xf>
    <xf numFmtId="0" fontId="1" fillId="20" borderId="22" xfId="1" applyFill="1" applyBorder="1" applyAlignment="1" applyProtection="1">
      <alignment horizontal="center"/>
      <protection locked="0"/>
    </xf>
    <xf numFmtId="0" fontId="1" fillId="20" borderId="23" xfId="1" applyFill="1" applyBorder="1" applyAlignment="1" applyProtection="1">
      <alignment horizontal="center"/>
      <protection locked="0"/>
    </xf>
    <xf numFmtId="0" fontId="1" fillId="20" borderId="24" xfId="1" applyFill="1" applyBorder="1" applyAlignment="1" applyProtection="1">
      <alignment horizontal="center"/>
      <protection locked="0"/>
    </xf>
    <xf numFmtId="0" fontId="1" fillId="23" borderId="22" xfId="1" applyFill="1" applyBorder="1" applyAlignment="1" applyProtection="1">
      <alignment horizontal="center"/>
      <protection locked="0"/>
    </xf>
    <xf numFmtId="0" fontId="1" fillId="23" borderId="23" xfId="1" applyFill="1" applyBorder="1" applyAlignment="1" applyProtection="1">
      <alignment horizontal="center"/>
      <protection locked="0"/>
    </xf>
    <xf numFmtId="0" fontId="1" fillId="23" borderId="21" xfId="1" applyFill="1" applyBorder="1" applyAlignment="1" applyProtection="1">
      <alignment horizontal="center"/>
      <protection locked="0"/>
    </xf>
    <xf numFmtId="0" fontId="1" fillId="21" borderId="38" xfId="1" applyFill="1" applyBorder="1" applyAlignment="1" applyProtection="1">
      <alignment horizontal="center"/>
      <protection locked="0"/>
    </xf>
    <xf numFmtId="0" fontId="1" fillId="13" borderId="60" xfId="1" applyFill="1" applyBorder="1" applyAlignment="1" applyProtection="1">
      <alignment horizontal="center"/>
      <protection locked="0"/>
    </xf>
    <xf numFmtId="0" fontId="1" fillId="22" borderId="19" xfId="1" applyFill="1" applyBorder="1" applyAlignment="1" applyProtection="1">
      <alignment horizontal="center"/>
      <protection locked="0"/>
    </xf>
    <xf numFmtId="0" fontId="1" fillId="24" borderId="26" xfId="1" applyFill="1" applyBorder="1" applyProtection="1"/>
    <xf numFmtId="0" fontId="15" fillId="0" borderId="0" xfId="1" applyFont="1" applyFill="1" applyBorder="1" applyProtection="1"/>
    <xf numFmtId="0" fontId="16" fillId="0" borderId="0" xfId="1" applyFont="1" applyBorder="1" applyProtection="1"/>
    <xf numFmtId="0" fontId="17" fillId="0" borderId="0" xfId="1" applyFont="1" applyBorder="1" applyProtection="1"/>
    <xf numFmtId="0" fontId="16" fillId="0" borderId="0" xfId="1" applyFont="1" applyBorder="1" applyAlignment="1" applyProtection="1">
      <alignment horizontal="right"/>
    </xf>
    <xf numFmtId="0" fontId="16" fillId="0" borderId="0" xfId="1" applyFont="1" applyFill="1" applyBorder="1" applyProtection="1"/>
    <xf numFmtId="0" fontId="0" fillId="0" borderId="0" xfId="0" applyProtection="1"/>
    <xf numFmtId="0" fontId="1" fillId="25" borderId="37" xfId="1" applyFill="1" applyBorder="1" applyProtection="1"/>
    <xf numFmtId="0" fontId="1" fillId="19" borderId="32" xfId="1" applyFill="1" applyBorder="1" applyAlignment="1" applyProtection="1">
      <alignment horizontal="center"/>
      <protection locked="0"/>
    </xf>
    <xf numFmtId="0" fontId="1" fillId="19" borderId="34" xfId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17" borderId="35" xfId="1" applyFont="1" applyFill="1" applyBorder="1" applyAlignment="1" applyProtection="1">
      <alignment horizontal="center"/>
      <protection locked="0"/>
    </xf>
    <xf numFmtId="0" fontId="1" fillId="26" borderId="37" xfId="1" applyFont="1" applyFill="1" applyBorder="1" applyAlignment="1" applyProtection="1">
      <alignment horizontal="center"/>
      <protection locked="0"/>
    </xf>
    <xf numFmtId="0" fontId="1" fillId="27" borderId="37" xfId="1" applyFill="1" applyBorder="1" applyAlignment="1" applyProtection="1">
      <alignment horizontal="center"/>
      <protection locked="0"/>
    </xf>
    <xf numFmtId="0" fontId="1" fillId="15" borderId="36" xfId="1" applyFill="1" applyBorder="1" applyAlignment="1" applyProtection="1">
      <alignment horizontal="center"/>
      <protection locked="0"/>
    </xf>
    <xf numFmtId="0" fontId="1" fillId="15" borderId="34" xfId="1" applyFill="1" applyBorder="1" applyAlignment="1" applyProtection="1">
      <alignment horizontal="center"/>
      <protection locked="0"/>
    </xf>
    <xf numFmtId="0" fontId="1" fillId="18" borderId="32" xfId="1" applyFont="1" applyFill="1" applyBorder="1" applyAlignment="1" applyProtection="1">
      <alignment horizontal="center"/>
      <protection locked="0"/>
    </xf>
    <xf numFmtId="0" fontId="1" fillId="18" borderId="33" xfId="1" applyFont="1" applyFill="1" applyBorder="1" applyAlignment="1" applyProtection="1">
      <alignment horizontal="center"/>
      <protection locked="0"/>
    </xf>
    <xf numFmtId="0" fontId="1" fillId="18" borderId="34" xfId="1" applyFont="1" applyFill="1" applyBorder="1" applyAlignment="1" applyProtection="1">
      <alignment horizontal="center"/>
      <protection locked="0"/>
    </xf>
    <xf numFmtId="0" fontId="1" fillId="18" borderId="32" xfId="1" applyFill="1" applyBorder="1" applyAlignment="1" applyProtection="1">
      <alignment horizontal="center"/>
      <protection locked="0"/>
    </xf>
    <xf numFmtId="0" fontId="1" fillId="18" borderId="33" xfId="1" applyFill="1" applyBorder="1" applyAlignment="1" applyProtection="1">
      <alignment horizontal="center"/>
      <protection locked="0"/>
    </xf>
    <xf numFmtId="0" fontId="1" fillId="18" borderId="35" xfId="1" applyFill="1" applyBorder="1" applyAlignment="1" applyProtection="1">
      <alignment horizontal="center"/>
      <protection locked="0"/>
    </xf>
    <xf numFmtId="0" fontId="1" fillId="6" borderId="35" xfId="1" applyFill="1" applyBorder="1" applyAlignment="1" applyProtection="1">
      <alignment horizontal="center"/>
      <protection locked="0"/>
    </xf>
    <xf numFmtId="0" fontId="1" fillId="19" borderId="33" xfId="1" applyFill="1" applyBorder="1" applyAlignment="1" applyProtection="1">
      <alignment horizontal="center"/>
      <protection locked="0"/>
    </xf>
    <xf numFmtId="0" fontId="1" fillId="19" borderId="35" xfId="1" applyFill="1" applyBorder="1" applyAlignment="1" applyProtection="1">
      <alignment horizontal="center"/>
      <protection locked="0"/>
    </xf>
    <xf numFmtId="0" fontId="1" fillId="20" borderId="32" xfId="1" applyFill="1" applyBorder="1" applyAlignment="1" applyProtection="1">
      <alignment horizontal="center"/>
      <protection locked="0"/>
    </xf>
    <xf numFmtId="0" fontId="1" fillId="20" borderId="33" xfId="1" applyFill="1" applyBorder="1" applyAlignment="1" applyProtection="1">
      <alignment horizontal="center"/>
      <protection locked="0"/>
    </xf>
    <xf numFmtId="0" fontId="1" fillId="20" borderId="35" xfId="1" applyFill="1" applyBorder="1" applyAlignment="1" applyProtection="1">
      <alignment horizontal="center"/>
      <protection locked="0"/>
    </xf>
    <xf numFmtId="0" fontId="1" fillId="23" borderId="32" xfId="1" applyFill="1" applyBorder="1" applyAlignment="1" applyProtection="1">
      <alignment horizontal="center"/>
      <protection locked="0"/>
    </xf>
    <xf numFmtId="0" fontId="1" fillId="23" borderId="33" xfId="1" applyFill="1" applyBorder="1" applyAlignment="1" applyProtection="1">
      <alignment horizontal="center"/>
      <protection locked="0"/>
    </xf>
    <xf numFmtId="0" fontId="1" fillId="23" borderId="34" xfId="1" applyFill="1" applyBorder="1" applyAlignment="1" applyProtection="1">
      <alignment horizontal="center"/>
      <protection locked="0"/>
    </xf>
    <xf numFmtId="0" fontId="1" fillId="24" borderId="58" xfId="1" applyFill="1" applyBorder="1" applyProtection="1"/>
    <xf numFmtId="0" fontId="1" fillId="24" borderId="27" xfId="1" applyFill="1" applyBorder="1" applyProtection="1"/>
    <xf numFmtId="11" fontId="1" fillId="14" borderId="32" xfId="1" applyNumberFormat="1" applyFill="1" applyBorder="1" applyAlignment="1" applyProtection="1">
      <alignment horizontal="center"/>
      <protection locked="0"/>
    </xf>
    <xf numFmtId="0" fontId="1" fillId="26" borderId="37" xfId="1" applyFill="1" applyBorder="1" applyAlignment="1" applyProtection="1">
      <alignment horizontal="center"/>
      <protection locked="0"/>
    </xf>
    <xf numFmtId="0" fontId="1" fillId="24" borderId="32" xfId="1" applyFill="1" applyBorder="1" applyProtection="1"/>
    <xf numFmtId="0" fontId="1" fillId="24" borderId="34" xfId="1" applyFill="1" applyBorder="1" applyProtection="1"/>
    <xf numFmtId="11" fontId="1" fillId="14" borderId="35" xfId="1" applyNumberFormat="1" applyFill="1" applyBorder="1" applyAlignment="1" applyProtection="1">
      <alignment horizontal="center"/>
      <protection locked="0"/>
    </xf>
    <xf numFmtId="0" fontId="1" fillId="22" borderId="37" xfId="1" applyFill="1" applyBorder="1" applyAlignment="1" applyProtection="1">
      <alignment horizontal="center"/>
      <protection locked="0"/>
    </xf>
    <xf numFmtId="0" fontId="1" fillId="14" borderId="35" xfId="1" applyFill="1" applyBorder="1" applyAlignment="1" applyProtection="1">
      <alignment horizontal="center"/>
      <protection locked="0"/>
    </xf>
    <xf numFmtId="0" fontId="1" fillId="13" borderId="61" xfId="1" applyFill="1" applyBorder="1" applyAlignment="1" applyProtection="1">
      <alignment horizontal="center"/>
      <protection locked="0"/>
    </xf>
    <xf numFmtId="0" fontId="1" fillId="25" borderId="46" xfId="1" applyFill="1" applyBorder="1" applyProtection="1"/>
    <xf numFmtId="0" fontId="1" fillId="21" borderId="62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5" borderId="47" xfId="1" applyFill="1" applyBorder="1" applyProtection="1"/>
    <xf numFmtId="0" fontId="1" fillId="19" borderId="50" xfId="1" applyFill="1" applyBorder="1" applyAlignment="1" applyProtection="1">
      <alignment horizontal="center"/>
      <protection locked="0"/>
    </xf>
    <xf numFmtId="0" fontId="1" fillId="19" borderId="49" xfId="1" applyFill="1" applyBorder="1" applyAlignment="1" applyProtection="1">
      <alignment horizontal="center"/>
      <protection locked="0"/>
    </xf>
    <xf numFmtId="0" fontId="1" fillId="17" borderId="50" xfId="1" applyFont="1" applyFill="1" applyBorder="1" applyAlignment="1" applyProtection="1">
      <alignment horizontal="center"/>
      <protection locked="0"/>
    </xf>
    <xf numFmtId="0" fontId="1" fillId="17" borderId="52" xfId="1" applyFont="1" applyFill="1" applyBorder="1" applyAlignment="1" applyProtection="1">
      <alignment horizontal="center"/>
      <protection locked="0"/>
    </xf>
    <xf numFmtId="0" fontId="1" fillId="14" borderId="50" xfId="1" applyFill="1" applyBorder="1" applyAlignment="1" applyProtection="1">
      <alignment horizontal="center"/>
      <protection locked="0"/>
    </xf>
    <xf numFmtId="0" fontId="1" fillId="14" borderId="51" xfId="1" applyFill="1" applyBorder="1" applyAlignment="1" applyProtection="1">
      <alignment horizontal="center"/>
      <protection locked="0"/>
    </xf>
    <xf numFmtId="0" fontId="1" fillId="14" borderId="52" xfId="1" applyFill="1" applyBorder="1" applyAlignment="1" applyProtection="1">
      <alignment horizontal="center"/>
      <protection locked="0"/>
    </xf>
    <xf numFmtId="0" fontId="1" fillId="26" borderId="47" xfId="1" applyFill="1" applyBorder="1" applyAlignment="1" applyProtection="1">
      <alignment horizontal="center"/>
      <protection locked="0"/>
    </xf>
    <xf numFmtId="0" fontId="1" fillId="27" borderId="47" xfId="1" applyFill="1" applyBorder="1" applyAlignment="1" applyProtection="1">
      <alignment horizontal="center"/>
      <protection locked="0"/>
    </xf>
    <xf numFmtId="0" fontId="1" fillId="15" borderId="48" xfId="1" applyFill="1" applyBorder="1" applyAlignment="1" applyProtection="1">
      <alignment horizontal="center"/>
      <protection locked="0"/>
    </xf>
    <xf numFmtId="0" fontId="1" fillId="15" borderId="49" xfId="1" applyFill="1" applyBorder="1" applyAlignment="1" applyProtection="1">
      <alignment horizontal="center"/>
      <protection locked="0"/>
    </xf>
    <xf numFmtId="0" fontId="1" fillId="15" borderId="50" xfId="1" applyFill="1" applyBorder="1" applyAlignment="1" applyProtection="1">
      <alignment horizontal="center"/>
      <protection locked="0"/>
    </xf>
    <xf numFmtId="0" fontId="1" fillId="15" borderId="52" xfId="1" applyFill="1" applyBorder="1" applyAlignment="1" applyProtection="1">
      <alignment horizontal="center"/>
      <protection locked="0"/>
    </xf>
    <xf numFmtId="0" fontId="1" fillId="18" borderId="50" xfId="1" applyFont="1" applyFill="1" applyBorder="1" applyAlignment="1" applyProtection="1">
      <alignment horizontal="center"/>
      <protection locked="0"/>
    </xf>
    <xf numFmtId="0" fontId="1" fillId="18" borderId="51" xfId="1" applyFont="1" applyFill="1" applyBorder="1" applyAlignment="1" applyProtection="1">
      <alignment horizontal="center"/>
      <protection locked="0"/>
    </xf>
    <xf numFmtId="0" fontId="1" fillId="18" borderId="49" xfId="1" applyFont="1" applyFill="1" applyBorder="1" applyAlignment="1" applyProtection="1">
      <alignment horizontal="center"/>
      <protection locked="0"/>
    </xf>
    <xf numFmtId="0" fontId="1" fillId="18" borderId="50" xfId="1" applyFill="1" applyBorder="1" applyAlignment="1" applyProtection="1">
      <alignment horizontal="center"/>
      <protection locked="0"/>
    </xf>
    <xf numFmtId="0" fontId="1" fillId="18" borderId="51" xfId="1" applyFill="1" applyBorder="1" applyAlignment="1" applyProtection="1">
      <alignment horizontal="center"/>
      <protection locked="0"/>
    </xf>
    <xf numFmtId="0" fontId="1" fillId="18" borderId="52" xfId="1" applyFill="1" applyBorder="1" applyAlignment="1" applyProtection="1">
      <alignment horizontal="center"/>
      <protection locked="0"/>
    </xf>
    <xf numFmtId="0" fontId="1" fillId="6" borderId="52" xfId="1" applyFill="1" applyBorder="1" applyAlignment="1" applyProtection="1">
      <alignment horizontal="center"/>
      <protection locked="0"/>
    </xf>
    <xf numFmtId="0" fontId="1" fillId="19" borderId="51" xfId="1" applyFill="1" applyBorder="1" applyAlignment="1" applyProtection="1">
      <alignment horizontal="center"/>
      <protection locked="0"/>
    </xf>
    <xf numFmtId="0" fontId="1" fillId="19" borderId="52" xfId="1" applyFill="1" applyBorder="1" applyAlignment="1" applyProtection="1">
      <alignment horizontal="center"/>
      <protection locked="0"/>
    </xf>
    <xf numFmtId="0" fontId="1" fillId="20" borderId="50" xfId="1" applyFill="1" applyBorder="1" applyAlignment="1" applyProtection="1">
      <alignment horizontal="center"/>
      <protection locked="0"/>
    </xf>
    <xf numFmtId="0" fontId="1" fillId="20" borderId="51" xfId="1" applyFill="1" applyBorder="1" applyAlignment="1" applyProtection="1">
      <alignment horizontal="center"/>
      <protection locked="0"/>
    </xf>
    <xf numFmtId="0" fontId="1" fillId="20" borderId="52" xfId="1" applyFill="1" applyBorder="1" applyAlignment="1" applyProtection="1">
      <alignment horizontal="center"/>
      <protection locked="0"/>
    </xf>
    <xf numFmtId="0" fontId="1" fillId="23" borderId="50" xfId="1" applyFill="1" applyBorder="1" applyAlignment="1" applyProtection="1">
      <alignment horizontal="center"/>
      <protection locked="0"/>
    </xf>
    <xf numFmtId="0" fontId="1" fillId="23" borderId="51" xfId="1" applyFill="1" applyBorder="1" applyAlignment="1" applyProtection="1">
      <alignment horizontal="center"/>
      <protection locked="0"/>
    </xf>
    <xf numFmtId="0" fontId="1" fillId="23" borderId="49" xfId="1" applyFill="1" applyBorder="1" applyAlignment="1" applyProtection="1">
      <alignment horizontal="center"/>
      <protection locked="0"/>
    </xf>
    <xf numFmtId="0" fontId="1" fillId="21" borderId="53" xfId="1" applyFill="1" applyBorder="1" applyAlignment="1" applyProtection="1">
      <alignment horizontal="center"/>
      <protection locked="0"/>
    </xf>
    <xf numFmtId="0" fontId="1" fillId="13" borderId="63" xfId="1" applyFill="1" applyBorder="1" applyAlignment="1" applyProtection="1">
      <alignment horizontal="center"/>
      <protection locked="0"/>
    </xf>
    <xf numFmtId="0" fontId="1" fillId="22" borderId="47" xfId="1" applyFill="1" applyBorder="1" applyAlignment="1" applyProtection="1">
      <alignment horizontal="center"/>
      <protection locked="0"/>
    </xf>
    <xf numFmtId="0" fontId="1" fillId="24" borderId="50" xfId="1" applyFill="1" applyBorder="1" applyProtection="1"/>
    <xf numFmtId="0" fontId="1" fillId="24" borderId="49" xfId="1" applyFill="1" applyBorder="1" applyProtection="1"/>
    <xf numFmtId="0" fontId="16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6" fillId="0" borderId="0" xfId="1" applyFont="1" applyBorder="1" applyAlignment="1" applyProtection="1">
      <alignment horizontal="center"/>
    </xf>
    <xf numFmtId="0" fontId="16" fillId="28" borderId="64" xfId="1" applyFont="1" applyFill="1" applyBorder="1" applyProtection="1"/>
    <xf numFmtId="0" fontId="16" fillId="28" borderId="65" xfId="1" applyFont="1" applyFill="1" applyBorder="1" applyProtection="1"/>
    <xf numFmtId="0" fontId="16" fillId="20" borderId="66" xfId="1" applyFont="1" applyFill="1" applyBorder="1" applyAlignment="1" applyProtection="1">
      <alignment horizontal="center"/>
    </xf>
    <xf numFmtId="0" fontId="16" fillId="20" borderId="67" xfId="1" applyFont="1" applyFill="1" applyBorder="1" applyAlignment="1" applyProtection="1">
      <alignment horizontal="center"/>
    </xf>
    <xf numFmtId="0" fontId="16" fillId="20" borderId="68" xfId="1" applyFont="1" applyFill="1" applyBorder="1" applyAlignment="1" applyProtection="1">
      <alignment horizontal="center"/>
    </xf>
    <xf numFmtId="0" fontId="15" fillId="20" borderId="69" xfId="1" applyFont="1" applyFill="1" applyBorder="1" applyAlignment="1" applyProtection="1">
      <alignment horizontal="center"/>
    </xf>
    <xf numFmtId="0" fontId="15" fillId="20" borderId="70" xfId="1" applyFont="1" applyFill="1" applyBorder="1" applyAlignment="1" applyProtection="1">
      <alignment horizontal="center"/>
    </xf>
    <xf numFmtId="0" fontId="16" fillId="20" borderId="71" xfId="1" applyFont="1" applyFill="1" applyBorder="1" applyAlignment="1" applyProtection="1">
      <alignment horizontal="center"/>
    </xf>
    <xf numFmtId="0" fontId="16" fillId="20" borderId="72" xfId="1" applyFont="1" applyFill="1" applyBorder="1" applyAlignment="1" applyProtection="1">
      <alignment horizontal="center"/>
    </xf>
    <xf numFmtId="0" fontId="1" fillId="20" borderId="33" xfId="1" applyFill="1" applyBorder="1" applyAlignment="1" applyProtection="1">
      <alignment horizontal="center"/>
    </xf>
    <xf numFmtId="0" fontId="16" fillId="28" borderId="73" xfId="1" applyFont="1" applyFill="1" applyBorder="1" applyProtection="1"/>
    <xf numFmtId="0" fontId="16" fillId="28" borderId="74" xfId="1" applyFont="1" applyFill="1" applyBorder="1" applyProtection="1"/>
    <xf numFmtId="0" fontId="16" fillId="28" borderId="75" xfId="1" applyFont="1" applyFill="1" applyBorder="1" applyProtection="1"/>
    <xf numFmtId="0" fontId="16" fillId="28" borderId="76" xfId="1" applyFont="1" applyFill="1" applyBorder="1" applyProtection="1"/>
    <xf numFmtId="0" fontId="15" fillId="0" borderId="77" xfId="1" applyFont="1" applyFill="1" applyBorder="1" applyProtection="1"/>
    <xf numFmtId="0" fontId="15" fillId="0" borderId="78" xfId="1" applyFont="1" applyFill="1" applyBorder="1" applyProtection="1"/>
    <xf numFmtId="0" fontId="16" fillId="28" borderId="79" xfId="1" applyFont="1" applyFill="1" applyBorder="1" applyProtection="1"/>
    <xf numFmtId="0" fontId="1" fillId="0" borderId="0" xfId="1" applyBorder="1"/>
    <xf numFmtId="0" fontId="1" fillId="0" borderId="0" xfId="1"/>
    <xf numFmtId="0" fontId="1" fillId="0" borderId="0" xfId="1" applyBorder="1" applyAlignment="1">
      <alignment horizontal="center"/>
    </xf>
    <xf numFmtId="0" fontId="18" fillId="0" borderId="0" xfId="1" applyFont="1" applyBorder="1"/>
    <xf numFmtId="0" fontId="1" fillId="20" borderId="13" xfId="1" applyFont="1" applyFill="1" applyBorder="1"/>
    <xf numFmtId="0" fontId="1" fillId="20" borderId="17" xfId="1" applyFill="1" applyBorder="1"/>
    <xf numFmtId="0" fontId="1" fillId="20" borderId="18" xfId="1" applyFont="1" applyFill="1" applyBorder="1" applyAlignment="1">
      <alignment horizontal="right"/>
    </xf>
    <xf numFmtId="0" fontId="19" fillId="0" borderId="0" xfId="1" applyFont="1"/>
    <xf numFmtId="0" fontId="2" fillId="0" borderId="0" xfId="1" applyFont="1"/>
    <xf numFmtId="0" fontId="1" fillId="0" borderId="0" xfId="1" applyAlignment="1">
      <alignment horizontal="center"/>
    </xf>
    <xf numFmtId="0" fontId="1" fillId="15" borderId="7" xfId="1" applyFont="1" applyFill="1" applyBorder="1" applyAlignment="1">
      <alignment horizontal="center" vertical="center"/>
    </xf>
    <xf numFmtId="0" fontId="1" fillId="19" borderId="18" xfId="1" applyFill="1" applyBorder="1" applyAlignment="1">
      <alignment horizontal="center" vertical="center"/>
    </xf>
    <xf numFmtId="0" fontId="1" fillId="19" borderId="14" xfId="1" applyFill="1" applyBorder="1" applyAlignment="1">
      <alignment horizontal="center" vertical="center"/>
    </xf>
    <xf numFmtId="0" fontId="1" fillId="19" borderId="17" xfId="1" applyFill="1" applyBorder="1" applyAlignment="1">
      <alignment horizontal="center" vertical="center"/>
    </xf>
    <xf numFmtId="0" fontId="1" fillId="29" borderId="7" xfId="1" applyFill="1" applyBorder="1" applyAlignment="1">
      <alignment horizontal="center" vertical="center"/>
    </xf>
    <xf numFmtId="0" fontId="1" fillId="0" borderId="22" xfId="1" applyFont="1" applyBorder="1" applyAlignment="1">
      <alignment horizontal="center"/>
    </xf>
    <xf numFmtId="0" fontId="1" fillId="0" borderId="21" xfId="1" applyFont="1" applyBorder="1"/>
    <xf numFmtId="0" fontId="1" fillId="15" borderId="19" xfId="1" applyFill="1" applyBorder="1"/>
    <xf numFmtId="0" fontId="1" fillId="19" borderId="25" xfId="1" applyFill="1" applyBorder="1" applyAlignment="1">
      <alignment horizontal="center"/>
    </xf>
    <xf numFmtId="0" fontId="1" fillId="19" borderId="26" xfId="1" applyFill="1" applyBorder="1" applyAlignment="1">
      <alignment horizontal="center"/>
    </xf>
    <xf numFmtId="0" fontId="1" fillId="19" borderId="27" xfId="1" applyFill="1" applyBorder="1" applyAlignment="1">
      <alignment horizontal="center"/>
    </xf>
    <xf numFmtId="0" fontId="1" fillId="29" borderId="19" xfId="1" applyFill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34" xfId="1" applyFont="1" applyBorder="1"/>
    <xf numFmtId="0" fontId="1" fillId="15" borderId="37" xfId="1" applyFill="1" applyBorder="1"/>
    <xf numFmtId="0" fontId="1" fillId="19" borderId="36" xfId="1" applyFill="1" applyBorder="1" applyAlignment="1">
      <alignment horizontal="center"/>
    </xf>
    <xf numFmtId="0" fontId="1" fillId="19" borderId="33" xfId="1" applyFill="1" applyBorder="1" applyAlignment="1">
      <alignment horizontal="center"/>
    </xf>
    <xf numFmtId="0" fontId="1" fillId="19" borderId="34" xfId="1" applyFill="1" applyBorder="1" applyAlignment="1">
      <alignment horizontal="center"/>
    </xf>
    <xf numFmtId="0" fontId="1" fillId="29" borderId="37" xfId="1" applyFill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49" xfId="1" applyFont="1" applyBorder="1"/>
    <xf numFmtId="0" fontId="1" fillId="0" borderId="0" xfId="1" applyFill="1" applyBorder="1"/>
    <xf numFmtId="0" fontId="1" fillId="19" borderId="22" xfId="1" applyFont="1" applyFill="1" applyBorder="1" applyAlignment="1">
      <alignment horizontal="center"/>
    </xf>
    <xf numFmtId="0" fontId="1" fillId="19" borderId="21" xfId="1" applyFont="1" applyFill="1" applyBorder="1"/>
    <xf numFmtId="0" fontId="1" fillId="19" borderId="50" xfId="1" applyFont="1" applyFill="1" applyBorder="1" applyAlignment="1">
      <alignment horizontal="center"/>
    </xf>
    <xf numFmtId="0" fontId="1" fillId="19" borderId="49" xfId="1" applyFont="1" applyFill="1" applyBorder="1"/>
    <xf numFmtId="0" fontId="1" fillId="15" borderId="47" xfId="1" applyFill="1" applyBorder="1"/>
    <xf numFmtId="0" fontId="1" fillId="19" borderId="48" xfId="1" applyFill="1" applyBorder="1" applyAlignment="1">
      <alignment horizontal="center"/>
    </xf>
    <xf numFmtId="0" fontId="1" fillId="19" borderId="51" xfId="1" applyFill="1" applyBorder="1" applyAlignment="1">
      <alignment horizontal="center"/>
    </xf>
    <xf numFmtId="0" fontId="1" fillId="19" borderId="49" xfId="1" applyFill="1" applyBorder="1" applyAlignment="1">
      <alignment horizontal="center"/>
    </xf>
    <xf numFmtId="0" fontId="1" fillId="29" borderId="47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19" borderId="9" xfId="1" applyFill="1" applyBorder="1" applyAlignment="1">
      <alignment horizontal="center" vertical="center"/>
    </xf>
    <xf numFmtId="0" fontId="1" fillId="19" borderId="12" xfId="1" applyFill="1" applyBorder="1" applyAlignment="1">
      <alignment horizontal="center" vertical="center"/>
    </xf>
    <xf numFmtId="0" fontId="1" fillId="19" borderId="10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2" xfId="1" applyFont="1" applyBorder="1" applyAlignment="1">
      <alignment horizontal="right"/>
    </xf>
    <xf numFmtId="0" fontId="1" fillId="15" borderId="80" xfId="1" applyFill="1" applyBorder="1"/>
    <xf numFmtId="0" fontId="1" fillId="19" borderId="22" xfId="1" applyFill="1" applyBorder="1" applyAlignment="1">
      <alignment horizontal="center"/>
    </xf>
    <xf numFmtId="0" fontId="1" fillId="19" borderId="23" xfId="1" applyFill="1" applyBorder="1" applyAlignment="1">
      <alignment horizontal="center"/>
    </xf>
    <xf numFmtId="0" fontId="1" fillId="19" borderId="21" xfId="1" applyFill="1" applyBorder="1" applyAlignment="1">
      <alignment horizontal="center"/>
    </xf>
    <xf numFmtId="0" fontId="1" fillId="29" borderId="28" xfId="1" applyFill="1" applyBorder="1" applyAlignment="1">
      <alignment horizontal="center"/>
    </xf>
    <xf numFmtId="0" fontId="1" fillId="0" borderId="32" xfId="1" applyFont="1" applyBorder="1" applyAlignment="1">
      <alignment horizontal="right"/>
    </xf>
    <xf numFmtId="0" fontId="1" fillId="15" borderId="39" xfId="1" applyFill="1" applyBorder="1"/>
    <xf numFmtId="0" fontId="1" fillId="19" borderId="32" xfId="1" applyFill="1" applyBorder="1" applyAlignment="1">
      <alignment horizontal="center"/>
    </xf>
    <xf numFmtId="0" fontId="1" fillId="0" borderId="32" xfId="1" applyFont="1" applyBorder="1"/>
    <xf numFmtId="0" fontId="1" fillId="0" borderId="50" xfId="1" applyFont="1" applyBorder="1"/>
    <xf numFmtId="0" fontId="1" fillId="19" borderId="21" xfId="1" applyFill="1" applyBorder="1"/>
    <xf numFmtId="0" fontId="1" fillId="19" borderId="50" xfId="1" applyFill="1" applyBorder="1" applyAlignment="1">
      <alignment horizontal="center"/>
    </xf>
    <xf numFmtId="0" fontId="1" fillId="19" borderId="49" xfId="1" applyFill="1" applyBorder="1"/>
    <xf numFmtId="0" fontId="2" fillId="0" borderId="0" xfId="1" applyFont="1" applyBorder="1"/>
    <xf numFmtId="0" fontId="1" fillId="0" borderId="13" xfId="1" applyBorder="1"/>
    <xf numFmtId="0" fontId="1" fillId="0" borderId="17" xfId="1" applyBorder="1"/>
    <xf numFmtId="0" fontId="1" fillId="0" borderId="18" xfId="1" applyFont="1" applyBorder="1" applyAlignment="1">
      <alignment horizontal="right"/>
    </xf>
    <xf numFmtId="0" fontId="1" fillId="0" borderId="0" xfId="1" applyBorder="1" applyAlignment="1">
      <alignment vertical="center"/>
    </xf>
    <xf numFmtId="0" fontId="1" fillId="15" borderId="8" xfId="1" applyFont="1" applyFill="1" applyBorder="1" applyAlignment="1">
      <alignment vertical="center"/>
    </xf>
    <xf numFmtId="0" fontId="1" fillId="19" borderId="20" xfId="1" applyFill="1" applyBorder="1" applyAlignment="1">
      <alignment horizontal="center" vertical="center"/>
    </xf>
    <xf numFmtId="0" fontId="1" fillId="19" borderId="23" xfId="1" applyFill="1" applyBorder="1" applyAlignment="1">
      <alignment horizontal="center" vertical="center"/>
    </xf>
    <xf numFmtId="0" fontId="1" fillId="19" borderId="21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19" borderId="20" xfId="1" applyFill="1" applyBorder="1" applyAlignment="1">
      <alignment horizontal="center"/>
    </xf>
    <xf numFmtId="11" fontId="1" fillId="0" borderId="0" xfId="1" applyNumberFormat="1" applyFill="1" applyBorder="1"/>
    <xf numFmtId="0" fontId="1" fillId="0" borderId="14" xfId="1" applyFill="1" applyBorder="1"/>
    <xf numFmtId="0" fontId="1" fillId="0" borderId="17" xfId="1" applyFill="1" applyBorder="1"/>
    <xf numFmtId="0" fontId="1" fillId="0" borderId="22" xfId="1" applyFill="1" applyBorder="1"/>
    <xf numFmtId="0" fontId="1" fillId="0" borderId="23" xfId="1" applyFill="1" applyBorder="1"/>
    <xf numFmtId="0" fontId="1" fillId="0" borderId="21" xfId="1" applyFill="1" applyBorder="1" applyAlignment="1">
      <alignment horizontal="right"/>
    </xf>
    <xf numFmtId="0" fontId="1" fillId="0" borderId="54" xfId="1" applyFill="1" applyBorder="1"/>
    <xf numFmtId="0" fontId="1" fillId="0" borderId="51" xfId="1" applyBorder="1"/>
    <xf numFmtId="0" fontId="1" fillId="0" borderId="49" xfId="1" applyBorder="1"/>
    <xf numFmtId="0" fontId="1" fillId="0" borderId="22" xfId="1" applyBorder="1"/>
    <xf numFmtId="0" fontId="1" fillId="0" borderId="21" xfId="1" applyBorder="1"/>
    <xf numFmtId="0" fontId="1" fillId="0" borderId="50" xfId="1" applyBorder="1"/>
    <xf numFmtId="0" fontId="1" fillId="19" borderId="24" xfId="1" applyFill="1" applyBorder="1" applyAlignment="1">
      <alignment horizontal="center" vertical="center"/>
    </xf>
    <xf numFmtId="0" fontId="1" fillId="15" borderId="7" xfId="1" applyFill="1" applyBorder="1" applyAlignment="1">
      <alignment horizontal="center" vertical="center"/>
    </xf>
    <xf numFmtId="0" fontId="1" fillId="29" borderId="2" xfId="1" applyFill="1" applyBorder="1" applyAlignment="1">
      <alignment horizontal="center" vertical="center"/>
    </xf>
    <xf numFmtId="0" fontId="1" fillId="0" borderId="81" xfId="1" applyFont="1" applyBorder="1" applyAlignment="1">
      <alignment horizontal="right"/>
    </xf>
    <xf numFmtId="0" fontId="1" fillId="0" borderId="82" xfId="1" applyFont="1" applyBorder="1"/>
    <xf numFmtId="0" fontId="1" fillId="19" borderId="24" xfId="1" applyFill="1" applyBorder="1" applyAlignment="1">
      <alignment horizontal="center"/>
    </xf>
    <xf numFmtId="0" fontId="1" fillId="15" borderId="28" xfId="1" applyFill="1" applyBorder="1" applyAlignment="1">
      <alignment horizontal="center"/>
    </xf>
    <xf numFmtId="0" fontId="1" fillId="29" borderId="83" xfId="1" applyFill="1" applyBorder="1" applyAlignment="1">
      <alignment horizontal="center"/>
    </xf>
    <xf numFmtId="0" fontId="1" fillId="0" borderId="84" xfId="1" applyFont="1" applyBorder="1" applyAlignment="1">
      <alignment horizontal="right"/>
    </xf>
    <xf numFmtId="0" fontId="1" fillId="0" borderId="85" xfId="1" applyFont="1" applyBorder="1"/>
    <xf numFmtId="0" fontId="1" fillId="19" borderId="35" xfId="1" applyFill="1" applyBorder="1" applyAlignment="1">
      <alignment horizontal="center"/>
    </xf>
    <xf numFmtId="0" fontId="1" fillId="15" borderId="37" xfId="1" applyFill="1" applyBorder="1" applyAlignment="1">
      <alignment horizontal="center"/>
    </xf>
    <xf numFmtId="0" fontId="1" fillId="29" borderId="38" xfId="1" applyFill="1" applyBorder="1" applyAlignment="1">
      <alignment horizontal="center"/>
    </xf>
    <xf numFmtId="0" fontId="1" fillId="0" borderId="84" xfId="1" applyFont="1" applyBorder="1"/>
    <xf numFmtId="0" fontId="1" fillId="0" borderId="86" xfId="1" applyFont="1" applyBorder="1"/>
    <xf numFmtId="0" fontId="1" fillId="0" borderId="87" xfId="1" applyFont="1" applyBorder="1"/>
    <xf numFmtId="0" fontId="1" fillId="19" borderId="52" xfId="1" applyFill="1" applyBorder="1" applyAlignment="1">
      <alignment horizontal="center"/>
    </xf>
    <xf numFmtId="0" fontId="1" fillId="15" borderId="47" xfId="1" applyFill="1" applyBorder="1" applyAlignment="1">
      <alignment horizontal="center"/>
    </xf>
    <xf numFmtId="0" fontId="1" fillId="29" borderId="53" xfId="1" applyFill="1" applyBorder="1" applyAlignment="1">
      <alignment horizontal="center"/>
    </xf>
    <xf numFmtId="0" fontId="1" fillId="0" borderId="0" xfId="1" applyFont="1"/>
    <xf numFmtId="0" fontId="1" fillId="22" borderId="0" xfId="1" applyFill="1"/>
    <xf numFmtId="0" fontId="1" fillId="0" borderId="0" xfId="0" applyFont="1"/>
    <xf numFmtId="0" fontId="1" fillId="0" borderId="33" xfId="0" applyFont="1" applyBorder="1"/>
    <xf numFmtId="0" fontId="0" fillId="0" borderId="33" xfId="0" applyBorder="1"/>
    <xf numFmtId="0" fontId="1" fillId="0" borderId="13" xfId="1" applyFont="1" applyBorder="1"/>
    <xf numFmtId="0" fontId="1" fillId="0" borderId="18" xfId="1" applyFont="1" applyBorder="1"/>
    <xf numFmtId="0" fontId="1" fillId="20" borderId="4" xfId="1" applyFill="1" applyBorder="1" applyAlignment="1">
      <alignment horizontal="center"/>
    </xf>
    <xf numFmtId="0" fontId="1" fillId="20" borderId="3" xfId="1" applyFill="1" applyBorder="1" applyAlignment="1">
      <alignment horizontal="center"/>
    </xf>
    <xf numFmtId="0" fontId="1" fillId="20" borderId="2" xfId="1" applyFill="1" applyBorder="1" applyAlignment="1">
      <alignment horizontal="center"/>
    </xf>
    <xf numFmtId="0" fontId="11" fillId="0" borderId="0" xfId="1" applyFont="1"/>
    <xf numFmtId="0" fontId="1" fillId="20" borderId="1" xfId="1" applyFont="1" applyFill="1" applyBorder="1" applyAlignment="1">
      <alignment horizontal="center"/>
    </xf>
    <xf numFmtId="0" fontId="1" fillId="20" borderId="3" xfId="1" applyFont="1" applyFill="1" applyBorder="1" applyAlignment="1">
      <alignment horizontal="center"/>
    </xf>
    <xf numFmtId="0" fontId="1" fillId="20" borderId="2" xfId="1" applyFont="1" applyFill="1" applyBorder="1" applyAlignment="1">
      <alignment horizontal="center"/>
    </xf>
    <xf numFmtId="0" fontId="1" fillId="20" borderId="5" xfId="1" applyFill="1" applyBorder="1"/>
    <xf numFmtId="0" fontId="1" fillId="7" borderId="8" xfId="1" applyFont="1" applyFill="1" applyBorder="1" applyAlignment="1">
      <alignment horizontal="center"/>
    </xf>
    <xf numFmtId="0" fontId="1" fillId="7" borderId="13" xfId="1" applyFill="1" applyBorder="1"/>
    <xf numFmtId="0" fontId="1" fillId="7" borderId="14" xfId="1" applyFill="1" applyBorder="1"/>
    <xf numFmtId="0" fontId="1" fillId="0" borderId="88" xfId="1" applyFont="1" applyBorder="1"/>
    <xf numFmtId="0" fontId="1" fillId="0" borderId="7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0" xfId="1" applyBorder="1"/>
    <xf numFmtId="0" fontId="1" fillId="0" borderId="89" xfId="1" applyFill="1" applyBorder="1" applyAlignment="1">
      <alignment horizontal="center"/>
    </xf>
    <xf numFmtId="0" fontId="1" fillId="20" borderId="22" xfId="1" applyFont="1" applyFill="1" applyBorder="1"/>
    <xf numFmtId="0" fontId="1" fillId="20" borderId="23" xfId="1" applyFill="1" applyBorder="1"/>
    <xf numFmtId="0" fontId="1" fillId="20" borderId="21" xfId="1" applyFill="1" applyBorder="1"/>
    <xf numFmtId="0" fontId="1" fillId="20" borderId="0" xfId="1" applyFill="1" applyBorder="1"/>
    <xf numFmtId="0" fontId="1" fillId="21" borderId="28" xfId="1" applyFill="1" applyBorder="1" applyAlignment="1">
      <alignment horizontal="center"/>
    </xf>
    <xf numFmtId="0" fontId="1" fillId="0" borderId="23" xfId="1" applyBorder="1"/>
    <xf numFmtId="0" fontId="1" fillId="0" borderId="21" xfId="1" applyFill="1" applyBorder="1"/>
    <xf numFmtId="0" fontId="1" fillId="0" borderId="28" xfId="1" applyBorder="1"/>
    <xf numFmtId="0" fontId="1" fillId="0" borderId="90" xfId="1" applyBorder="1"/>
    <xf numFmtId="0" fontId="1" fillId="20" borderId="32" xfId="1" applyFont="1" applyFill="1" applyBorder="1"/>
    <xf numFmtId="0" fontId="1" fillId="20" borderId="33" xfId="1" applyFill="1" applyBorder="1"/>
    <xf numFmtId="0" fontId="1" fillId="20" borderId="34" xfId="1" applyFill="1" applyBorder="1"/>
    <xf numFmtId="0" fontId="1" fillId="21" borderId="37" xfId="1" applyFill="1" applyBorder="1" applyAlignment="1">
      <alignment horizontal="center"/>
    </xf>
    <xf numFmtId="0" fontId="1" fillId="0" borderId="32" xfId="1" applyBorder="1"/>
    <xf numFmtId="0" fontId="1" fillId="0" borderId="33" xfId="1" applyBorder="1"/>
    <xf numFmtId="0" fontId="1" fillId="0" borderId="34" xfId="1" applyBorder="1"/>
    <xf numFmtId="0" fontId="1" fillId="0" borderId="37" xfId="1" applyBorder="1"/>
    <xf numFmtId="0" fontId="1" fillId="0" borderId="39" xfId="1" applyBorder="1"/>
    <xf numFmtId="0" fontId="1" fillId="20" borderId="91" xfId="1" applyFill="1" applyBorder="1"/>
    <xf numFmtId="0" fontId="1" fillId="20" borderId="50" xfId="1" applyFont="1" applyFill="1" applyBorder="1"/>
    <xf numFmtId="0" fontId="1" fillId="20" borderId="51" xfId="1" applyFill="1" applyBorder="1"/>
    <xf numFmtId="0" fontId="1" fillId="20" borderId="49" xfId="1" applyFill="1" applyBorder="1"/>
    <xf numFmtId="0" fontId="1" fillId="20" borderId="92" xfId="1" applyFill="1" applyBorder="1"/>
    <xf numFmtId="0" fontId="1" fillId="21" borderId="46" xfId="1" applyFill="1" applyBorder="1" applyAlignment="1">
      <alignment horizontal="center"/>
    </xf>
    <xf numFmtId="0" fontId="1" fillId="0" borderId="93" xfId="1" applyBorder="1"/>
    <xf numFmtId="0" fontId="1" fillId="0" borderId="94" xfId="1" applyBorder="1"/>
    <xf numFmtId="0" fontId="1" fillId="0" borderId="31" xfId="1" applyBorder="1"/>
    <xf numFmtId="0" fontId="1" fillId="0" borderId="95" xfId="1" applyBorder="1"/>
    <xf numFmtId="0" fontId="1" fillId="0" borderId="39" xfId="1" applyFill="1" applyBorder="1"/>
    <xf numFmtId="0" fontId="1" fillId="0" borderId="32" xfId="1" applyFill="1" applyBorder="1"/>
    <xf numFmtId="0" fontId="1" fillId="0" borderId="33" xfId="1" applyFill="1" applyBorder="1"/>
    <xf numFmtId="0" fontId="1" fillId="0" borderId="34" xfId="1" applyFill="1" applyBorder="1"/>
    <xf numFmtId="0" fontId="1" fillId="22" borderId="0" xfId="1" applyFill="1" applyBorder="1"/>
    <xf numFmtId="0" fontId="1" fillId="0" borderId="32" xfId="1" applyFont="1" applyFill="1" applyBorder="1"/>
    <xf numFmtId="0" fontId="1" fillId="0" borderId="33" xfId="1" applyFont="1" applyFill="1" applyBorder="1"/>
    <xf numFmtId="0" fontId="1" fillId="21" borderId="47" xfId="1" applyFill="1" applyBorder="1" applyAlignment="1">
      <alignment horizontal="center"/>
    </xf>
    <xf numFmtId="0" fontId="1" fillId="0" borderId="50" xfId="1" applyFill="1" applyBorder="1"/>
    <xf numFmtId="0" fontId="1" fillId="0" borderId="51" xfId="1" applyFill="1" applyBorder="1"/>
    <xf numFmtId="0" fontId="1" fillId="0" borderId="49" xfId="1" applyFill="1" applyBorder="1"/>
    <xf numFmtId="0" fontId="1" fillId="0" borderId="47" xfId="1" applyBorder="1"/>
    <xf numFmtId="0" fontId="1" fillId="0" borderId="96" xfId="1" applyFill="1" applyBorder="1"/>
    <xf numFmtId="0" fontId="1" fillId="0" borderId="0" xfId="1" applyFont="1" applyFill="1" applyBorder="1" applyAlignment="1">
      <alignment horizontal="right"/>
    </xf>
    <xf numFmtId="0" fontId="1" fillId="30" borderId="0" xfId="1" applyFill="1" applyBorder="1"/>
    <xf numFmtId="0" fontId="1" fillId="0" borderId="0" xfId="1" applyFont="1" applyFill="1" applyBorder="1"/>
    <xf numFmtId="0" fontId="1" fillId="31" borderId="0" xfId="1" applyFill="1"/>
    <xf numFmtId="0" fontId="1" fillId="0" borderId="11" xfId="1" applyFont="1" applyBorder="1"/>
    <xf numFmtId="0" fontId="1" fillId="0" borderId="16" xfId="1" applyBorder="1"/>
    <xf numFmtId="0" fontId="1" fillId="0" borderId="91" xfId="1" applyBorder="1"/>
    <xf numFmtId="0" fontId="1" fillId="0" borderId="18" xfId="1" applyBorder="1"/>
    <xf numFmtId="0" fontId="1" fillId="0" borderId="18" xfId="1" applyFill="1" applyBorder="1"/>
    <xf numFmtId="0" fontId="1" fillId="0" borderId="22" xfId="1" applyFont="1" applyFill="1" applyBorder="1"/>
    <xf numFmtId="0" fontId="1" fillId="0" borderId="58" xfId="1" applyBorder="1"/>
    <xf numFmtId="0" fontId="1" fillId="0" borderId="26" xfId="1" applyBorder="1"/>
    <xf numFmtId="0" fontId="1" fillId="0" borderId="27" xfId="1" applyBorder="1"/>
    <xf numFmtId="0" fontId="1" fillId="0" borderId="25" xfId="1" applyBorder="1"/>
    <xf numFmtId="0" fontId="1" fillId="0" borderId="36" xfId="1" applyBorder="1"/>
    <xf numFmtId="0" fontId="1" fillId="0" borderId="46" xfId="1" applyBorder="1"/>
    <xf numFmtId="0" fontId="1" fillId="0" borderId="37" xfId="1" applyFill="1" applyBorder="1"/>
    <xf numFmtId="0" fontId="1" fillId="0" borderId="47" xfId="1" applyFill="1" applyBorder="1"/>
    <xf numFmtId="0" fontId="1" fillId="0" borderId="48" xfId="1" applyBorder="1"/>
    <xf numFmtId="0" fontId="1" fillId="31" borderId="0" xfId="1" applyFill="1" applyBorder="1"/>
    <xf numFmtId="0" fontId="1" fillId="0" borderId="7" xfId="1" applyFont="1" applyBorder="1"/>
    <xf numFmtId="0" fontId="1" fillId="0" borderId="4" xfId="1" applyFont="1" applyBorder="1"/>
    <xf numFmtId="0" fontId="1" fillId="0" borderId="13" xfId="1" applyFill="1" applyBorder="1"/>
    <xf numFmtId="0" fontId="1" fillId="0" borderId="27" xfId="1" applyFont="1" applyBorder="1"/>
    <xf numFmtId="0" fontId="20" fillId="0" borderId="0" xfId="1" applyFont="1" applyAlignment="1">
      <alignment horizontal="center"/>
    </xf>
    <xf numFmtId="0" fontId="1" fillId="28" borderId="0" xfId="1" applyFill="1"/>
    <xf numFmtId="0" fontId="1" fillId="7" borderId="17" xfId="1" applyFill="1" applyBorder="1"/>
    <xf numFmtId="0" fontId="1" fillId="0" borderId="9" xfId="1" applyBorder="1"/>
    <xf numFmtId="0" fontId="1" fillId="0" borderId="8" xfId="1" applyFont="1" applyBorder="1"/>
    <xf numFmtId="0" fontId="1" fillId="0" borderId="11" xfId="1" applyFill="1" applyBorder="1"/>
    <xf numFmtId="0" fontId="1" fillId="0" borderId="12" xfId="1" applyFill="1" applyBorder="1"/>
    <xf numFmtId="0" fontId="1" fillId="0" borderId="10" xfId="1" applyFill="1" applyBorder="1"/>
    <xf numFmtId="0" fontId="1" fillId="0" borderId="93" xfId="1" applyFill="1" applyBorder="1"/>
    <xf numFmtId="0" fontId="1" fillId="0" borderId="94" xfId="1" applyFill="1" applyBorder="1"/>
    <xf numFmtId="0" fontId="1" fillId="0" borderId="31" xfId="1" applyFill="1" applyBorder="1"/>
    <xf numFmtId="0" fontId="1" fillId="0" borderId="20" xfId="1" applyBorder="1"/>
    <xf numFmtId="0" fontId="0" fillId="0" borderId="14" xfId="0" applyFill="1" applyBorder="1"/>
    <xf numFmtId="0" fontId="0" fillId="0" borderId="17" xfId="0" applyFill="1" applyBorder="1"/>
    <xf numFmtId="0" fontId="1" fillId="0" borderId="0" xfId="1" applyFill="1" applyBorder="1" applyAlignment="1">
      <alignment horizontal="right"/>
    </xf>
    <xf numFmtId="0" fontId="0" fillId="0" borderId="23" xfId="0" applyFill="1" applyBorder="1"/>
    <xf numFmtId="0" fontId="0" fillId="0" borderId="21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51" xfId="0" applyFill="1" applyBorder="1"/>
    <xf numFmtId="0" fontId="0" fillId="0" borderId="49" xfId="0" applyFill="1" applyBorder="1"/>
  </cellXfs>
  <cellStyles count="2">
    <cellStyle name="Standard" xfId="0" builtinId="0"/>
    <cellStyle name="Standard 2" xfId="1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-9.6121780796064158</c:v>
                </c:pt>
                <c:pt idx="1">
                  <c:v>24.912178270341279</c:v>
                </c:pt>
                <c:pt idx="2">
                  <c:v>24.912178270341279</c:v>
                </c:pt>
                <c:pt idx="3">
                  <c:v>-9.6121780796064158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18.012178174973847</c:v>
                </c:pt>
                <c:pt idx="1">
                  <c:v>18.012178174973847</c:v>
                </c:pt>
                <c:pt idx="2">
                  <c:v>-16.512178174973847</c:v>
                </c:pt>
                <c:pt idx="3">
                  <c:v>-16.512178174973847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12-419F-BA38-72C786937E16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12-419F-BA38-72C786937E16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12-419F-BA38-72C786937E16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8.6999998092651367</c:v>
                </c:pt>
                <c:pt idx="1">
                  <c:v>8.6999998092651367</c:v>
                </c:pt>
                <c:pt idx="2">
                  <c:v>8.6999998092651367</c:v>
                </c:pt>
                <c:pt idx="3">
                  <c:v>8.6999998092651367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212-419F-BA38-72C786937E16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12-419F-BA38-72C786937E16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212-419F-BA38-72C786937E16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3.2999999523162842</c:v>
                </c:pt>
                <c:pt idx="1">
                  <c:v>4.1631088610649769</c:v>
                </c:pt>
                <c:pt idx="2">
                  <c:v>2.4368910435675919</c:v>
                </c:pt>
                <c:pt idx="3">
                  <c:v>3.2999999523162842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5.0949045345853037</c:v>
                </c:pt>
                <c:pt idx="2">
                  <c:v>5.0949045345853037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212-419F-BA38-72C786937E16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4.5</c:v>
                </c:pt>
                <c:pt idx="1">
                  <c:v>5.3631089087486927</c:v>
                </c:pt>
                <c:pt idx="2">
                  <c:v>3.6368910912513077</c:v>
                </c:pt>
                <c:pt idx="3">
                  <c:v>4.5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5.0949045345853037</c:v>
                </c:pt>
                <c:pt idx="2">
                  <c:v>5.0949045345853037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212-419F-BA38-72C786937E16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212-419F-BA38-72C786937E16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212-419F-BA38-72C786937E16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212-419F-BA38-72C786937E16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212-419F-BA38-72C786937E16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-6.4499998092651367</c:v>
                </c:pt>
                <c:pt idx="1">
                  <c:v>-5.586890900516444</c:v>
                </c:pt>
                <c:pt idx="2">
                  <c:v>-7.3131087180138294</c:v>
                </c:pt>
                <c:pt idx="3">
                  <c:v>-6.4499998092651367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2.3949046061108774</c:v>
                </c:pt>
                <c:pt idx="2">
                  <c:v>2.3949046061108774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212-419F-BA38-72C786937E16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212-419F-BA38-72C786937E16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212-419F-BA38-72C786937E16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-5.5500001907348633</c:v>
                </c:pt>
                <c:pt idx="1">
                  <c:v>-4.6868912819861706</c:v>
                </c:pt>
                <c:pt idx="2">
                  <c:v>-6.413109099483556</c:v>
                </c:pt>
                <c:pt idx="3">
                  <c:v>-5.5500001907348633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4.3449045345853037</c:v>
                </c:pt>
                <c:pt idx="2">
                  <c:v>4.3449045345853037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212-419F-BA38-72C786937E16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-4.6500000953674316</c:v>
                </c:pt>
                <c:pt idx="1">
                  <c:v>-3.7868911866187394</c:v>
                </c:pt>
                <c:pt idx="2">
                  <c:v>-5.5131090041161244</c:v>
                </c:pt>
                <c:pt idx="3">
                  <c:v>-4.6500000953674316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4.3449045345853037</c:v>
                </c:pt>
                <c:pt idx="2">
                  <c:v>4.3449045345853037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212-419F-BA38-72C786937E16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212-419F-BA38-72C786937E16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212-419F-BA38-72C786937E16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212-419F-BA38-72C786937E16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212-419F-BA38-72C786937E16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212-419F-BA38-72C786937E16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212-419F-BA38-72C786937E16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8.6999998092651367</c:v>
                </c:pt>
                <c:pt idx="1">
                  <c:v>8.6999998092651367</c:v>
                </c:pt>
                <c:pt idx="2">
                  <c:v>8.6999998092651367</c:v>
                </c:pt>
                <c:pt idx="3">
                  <c:v>8.6999998092651367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212-419F-BA38-72C786937E16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212-419F-BA38-72C786937E16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212-419F-BA38-72C786937E16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3.2999999523162842</c:v>
                </c:pt>
                <c:pt idx="1">
                  <c:v>4.7949045822690195</c:v>
                </c:pt>
                <c:pt idx="2">
                  <c:v>4.7949045822690195</c:v>
                </c:pt>
                <c:pt idx="3">
                  <c:v>3.2999999523162842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4.4631088133812611</c:v>
                </c:pt>
                <c:pt idx="2">
                  <c:v>2.7368909958838761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212-419F-BA38-72C786937E16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4.5</c:v>
                </c:pt>
                <c:pt idx="1">
                  <c:v>5.9949046299527353</c:v>
                </c:pt>
                <c:pt idx="2">
                  <c:v>5.9949046299527353</c:v>
                </c:pt>
                <c:pt idx="3">
                  <c:v>4.5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4.4631088133812611</c:v>
                </c:pt>
                <c:pt idx="2">
                  <c:v>2.7368909958838761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D212-419F-BA38-72C786937E16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D212-419F-BA38-72C786937E16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D212-419F-BA38-72C786937E16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D212-419F-BA38-72C786937E16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212-419F-BA38-72C786937E16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-6.4499998092651367</c:v>
                </c:pt>
                <c:pt idx="1">
                  <c:v>-4.9550951793124014</c:v>
                </c:pt>
                <c:pt idx="2">
                  <c:v>-4.9550951793124014</c:v>
                </c:pt>
                <c:pt idx="3">
                  <c:v>-6.4499998092651367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1.7631088849068344</c:v>
                </c:pt>
                <c:pt idx="2">
                  <c:v>3.6891067409449696E-2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D212-419F-BA38-72C786937E16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D212-419F-BA38-72C786937E16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D212-419F-BA38-72C786937E16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-5.5500001907348633</c:v>
                </c:pt>
                <c:pt idx="1">
                  <c:v>-4.055095560782128</c:v>
                </c:pt>
                <c:pt idx="2">
                  <c:v>-4.055095560782128</c:v>
                </c:pt>
                <c:pt idx="3">
                  <c:v>-5.5500001907348633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3.7131088133812606</c:v>
                </c:pt>
                <c:pt idx="2">
                  <c:v>1.9868909958838761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D212-419F-BA38-72C786937E16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-4.6500000953674316</c:v>
                </c:pt>
                <c:pt idx="1">
                  <c:v>-3.1550954654146963</c:v>
                </c:pt>
                <c:pt idx="2">
                  <c:v>-3.1550954654146963</c:v>
                </c:pt>
                <c:pt idx="3">
                  <c:v>-4.6500000953674316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3.7131088133812606</c:v>
                </c:pt>
                <c:pt idx="2">
                  <c:v>1.9868909958838761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D212-419F-BA38-72C786937E16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D212-419F-BA38-72C786937E16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D212-419F-BA38-72C786937E16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D212-419F-BA38-72C786937E16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D212-419F-BA38-72C786937E16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D212-419F-BA38-72C786937E16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D212-419F-BA38-72C786937E16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8.6999998092651367</c:v>
                </c:pt>
                <c:pt idx="1">
                  <c:v>8.6999998092651367</c:v>
                </c:pt>
                <c:pt idx="2">
                  <c:v>8.6999998092651367</c:v>
                </c:pt>
                <c:pt idx="3">
                  <c:v>8.6999998092651367</c:v>
                </c:pt>
                <c:pt idx="4">
                  <c:v>8.6999998092651367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D212-419F-BA38-72C786937E16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D212-419F-BA38-72C786937E16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D212-419F-BA38-72C786937E16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D212-419F-BA38-72C786937E16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212-419F-BA38-72C786937E16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  <c:pt idx="4">
                  <c:v>2.5508170127868652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D212-419F-BA38-72C786937E16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  <c:pt idx="4">
                  <c:v>5.2717561721801758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D212-419F-BA38-72C786937E16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  <c:pt idx="4">
                  <c:v>3.3856499195098877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  <c:pt idx="4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D212-419F-BA38-72C786937E16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  <c:pt idx="4">
                  <c:v>4.4060029983520508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  <c:pt idx="4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D212-419F-BA38-72C786937E16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D212-419F-BA38-72C786937E16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D212-419F-BA38-72C786937E16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D212-419F-BA38-72C786937E16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D212-419F-BA38-72C786937E16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D212-419F-BA38-72C786937E16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  <c:pt idx="4">
                  <c:v>12.149999618530273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D212-419F-BA38-72C786937E16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  <c:pt idx="4">
                  <c:v>21.75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D212-419F-BA38-72C786937E16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D212-419F-BA38-72C786937E16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D212-419F-BA38-72C786937E16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D212-419F-BA38-72C786937E16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D212-419F-BA38-72C786937E16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212-419F-BA38-72C786937E16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D212-419F-BA38-72C786937E16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D212-419F-BA38-72C786937E16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D212-419F-BA38-72C786937E16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D212-419F-BA38-72C786937E16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D212-419F-BA38-72C786937E16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D212-419F-BA38-72C786937E16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D212-419F-BA38-72C786937E16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D212-419F-BA38-72C786937E16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D212-419F-BA38-72C786937E16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D212-419F-BA38-72C786937E16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D212-419F-BA38-72C786937E16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D212-419F-BA38-72C786937E16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D212-419F-BA38-72C786937E16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D212-419F-BA38-72C786937E16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D212-419F-BA38-72C786937E16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D212-419F-BA38-72C786937E16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D212-419F-BA38-72C786937E16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System!$C$122:$D$122</c:f>
              <c:numCache>
                <c:formatCode>General</c:formatCode>
                <c:ptCount val="2"/>
                <c:pt idx="0">
                  <c:v>-3.75</c:v>
                </c:pt>
                <c:pt idx="1">
                  <c:v>-0.89999997615814209</c:v>
                </c:pt>
              </c:numCache>
            </c:numRef>
          </c:xVal>
          <c:yVal>
            <c:numRef>
              <c:f>System!$E$122:$F$122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D212-419F-BA38-72C786937E16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System!$C$123:$D$123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2.5508170127868652</c:v>
                </c:pt>
              </c:numCache>
            </c:numRef>
          </c:xVal>
          <c:yVal>
            <c:numRef>
              <c:f>System!$E$123:$F$123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D212-419F-BA38-72C786937E16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System!$C$124:$D$124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3.9000000953674316</c:v>
                </c:pt>
              </c:numCache>
            </c:numRef>
          </c:xVal>
          <c:yVal>
            <c:numRef>
              <c:f>System!$E$124:$F$124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D212-419F-BA38-72C786937E16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System!$C$125:$D$125</c:f>
              <c:numCache>
                <c:formatCode>General</c:formatCode>
                <c:ptCount val="2"/>
                <c:pt idx="0">
                  <c:v>8.6999998092651367</c:v>
                </c:pt>
                <c:pt idx="1">
                  <c:v>3.9000000953674316</c:v>
                </c:pt>
              </c:numCache>
            </c:numRef>
          </c:xVal>
          <c:yVal>
            <c:numRef>
              <c:f>System!$E$125:$F$125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D212-419F-BA38-72C786937E16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System!$C$126:$D$126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5.2717561721801758</c:v>
                </c:pt>
              </c:numCache>
            </c:numRef>
          </c:xVal>
          <c:yVal>
            <c:numRef>
              <c:f>System!$E$126:$F$126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D212-419F-BA38-72C786937E16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System!$C$127:$D$127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3.3856499195098877</c:v>
                </c:pt>
              </c:numCache>
            </c:numRef>
          </c:xVal>
          <c:yVal>
            <c:numRef>
              <c:f>System!$E$127:$F$127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D212-419F-BA38-72C786937E16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System!$C$128:$D$128</c:f>
              <c:numCache>
                <c:formatCode>General</c:formatCode>
                <c:ptCount val="2"/>
                <c:pt idx="0">
                  <c:v>4.5</c:v>
                </c:pt>
                <c:pt idx="1">
                  <c:v>4.4060029983520508</c:v>
                </c:pt>
              </c:numCache>
            </c:numRef>
          </c:xVal>
          <c:yVal>
            <c:numRef>
              <c:f>System!$E$128:$F$128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D212-419F-BA38-72C786937E16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System!$C$129:$D$129</c:f>
              <c:numCache>
                <c:formatCode>General</c:formatCode>
                <c:ptCount val="2"/>
                <c:pt idx="0">
                  <c:v>2.5508170127868652</c:v>
                </c:pt>
                <c:pt idx="1">
                  <c:v>3.9000000953674316</c:v>
                </c:pt>
              </c:numCache>
            </c:numRef>
          </c:xVal>
          <c:yVal>
            <c:numRef>
              <c:f>System!$E$129:$F$129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D212-419F-BA38-72C786937E16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System!$C$130:$D$130</c:f>
              <c:numCache>
                <c:formatCode>General</c:formatCode>
                <c:ptCount val="2"/>
                <c:pt idx="0">
                  <c:v>5.2717561721801758</c:v>
                </c:pt>
                <c:pt idx="1">
                  <c:v>8.6999998092651367</c:v>
                </c:pt>
              </c:numCache>
            </c:numRef>
          </c:xVal>
          <c:yVal>
            <c:numRef>
              <c:f>System!$E$130:$F$130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D212-419F-BA38-72C786937E16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System!$C$131:$D$131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3.9000000953674316</c:v>
                </c:pt>
              </c:numCache>
            </c:numRef>
          </c:xVal>
          <c:yVal>
            <c:numRef>
              <c:f>System!$E$131:$F$131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D212-419F-BA38-72C786937E16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System!$C$132:$D$132</c:f>
              <c:numCache>
                <c:formatCode>General</c:formatCode>
                <c:ptCount val="2"/>
                <c:pt idx="0">
                  <c:v>4.4060029983520508</c:v>
                </c:pt>
                <c:pt idx="1">
                  <c:v>3.9000000953674316</c:v>
                </c:pt>
              </c:numCache>
            </c:numRef>
          </c:xVal>
          <c:yVal>
            <c:numRef>
              <c:f>System!$E$132:$F$132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D212-419F-BA38-72C786937E16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System!$C$133:$D$133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2.5508170127868652</c:v>
                </c:pt>
              </c:numCache>
            </c:numRef>
          </c:xVal>
          <c:yVal>
            <c:numRef>
              <c:f>System!$E$133:$F$133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D212-419F-BA38-72C786937E16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System!$C$134:$D$134</c:f>
              <c:numCache>
                <c:formatCode>General</c:formatCode>
                <c:ptCount val="2"/>
                <c:pt idx="0">
                  <c:v>4.4060029983520508</c:v>
                </c:pt>
                <c:pt idx="1">
                  <c:v>5.2717561721801758</c:v>
                </c:pt>
              </c:numCache>
            </c:numRef>
          </c:xVal>
          <c:yVal>
            <c:numRef>
              <c:f>System!$E$134:$F$134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D212-419F-BA38-72C786937E16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System!$C$135:$D$135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-5.8499999046325684</c:v>
                </c:pt>
              </c:numCache>
            </c:numRef>
          </c:xVal>
          <c:yVal>
            <c:numRef>
              <c:f>System!$E$135:$F$135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D212-419F-BA38-72C786937E16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System!$C$136:$D$136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System!$E$136:$F$136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D212-419F-BA38-72C786937E16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System!$C$137:$D$137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-3.75</c:v>
                </c:pt>
              </c:numCache>
            </c:numRef>
          </c:xVal>
          <c:yVal>
            <c:numRef>
              <c:f>System!$E$137:$F$137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D212-419F-BA38-72C786937E16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System!$C$138:$D$138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-5.8499999046325684</c:v>
                </c:pt>
              </c:numCache>
            </c:numRef>
          </c:xVal>
          <c:yVal>
            <c:numRef>
              <c:f>System!$E$138:$F$138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D212-419F-BA38-72C786937E16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System!$C$139:$D$139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-4.3499999046325684</c:v>
                </c:pt>
              </c:numCache>
            </c:numRef>
          </c:xVal>
          <c:yVal>
            <c:numRef>
              <c:f>System!$E$139:$F$139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D212-419F-BA38-72C786937E16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System!$C$140:$D$140</c:f>
              <c:numCache>
                <c:formatCode>General</c:formatCode>
                <c:ptCount val="2"/>
                <c:pt idx="0">
                  <c:v>8.6999998092651367</c:v>
                </c:pt>
                <c:pt idx="1">
                  <c:v>12.149999618530273</c:v>
                </c:pt>
              </c:numCache>
            </c:numRef>
          </c:xVal>
          <c:yVal>
            <c:numRef>
              <c:f>System!$E$140:$F$140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D212-419F-BA38-72C786937E16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System!$C$141:$D$141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4.4060029983520508</c:v>
                </c:pt>
              </c:numCache>
            </c:numRef>
          </c:xVal>
          <c:yVal>
            <c:numRef>
              <c:f>System!$E$141:$F$141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D212-419F-BA38-72C786937E16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System!$C$142:$D$142</c:f>
              <c:numCache>
                <c:formatCode>General</c:formatCode>
                <c:ptCount val="2"/>
                <c:pt idx="0">
                  <c:v>12.149999618530273</c:v>
                </c:pt>
                <c:pt idx="1">
                  <c:v>15.60081672668457</c:v>
                </c:pt>
              </c:numCache>
            </c:numRef>
          </c:xVal>
          <c:yVal>
            <c:numRef>
              <c:f>System!$E$142:$F$142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D212-419F-BA38-72C786937E16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System!$C$143:$D$143</c:f>
              <c:numCache>
                <c:formatCode>General</c:formatCode>
                <c:ptCount val="2"/>
                <c:pt idx="0">
                  <c:v>12.149999618530273</c:v>
                </c:pt>
                <c:pt idx="1">
                  <c:v>16.950000762939453</c:v>
                </c:pt>
              </c:numCache>
            </c:numRef>
          </c:xVal>
          <c:yVal>
            <c:numRef>
              <c:f>System!$E$143:$F$143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D212-419F-BA38-72C786937E16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System!$C$144:$D$144</c:f>
              <c:numCache>
                <c:formatCode>General</c:formatCode>
                <c:ptCount val="2"/>
                <c:pt idx="0">
                  <c:v>21.75</c:v>
                </c:pt>
                <c:pt idx="1">
                  <c:v>16.950000762939453</c:v>
                </c:pt>
              </c:numCache>
            </c:numRef>
          </c:xVal>
          <c:yVal>
            <c:numRef>
              <c:f>System!$E$144:$F$144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D212-419F-BA38-72C786937E16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System!$C$145:$D$145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18.321756362915039</c:v>
                </c:pt>
              </c:numCache>
            </c:numRef>
          </c:xVal>
          <c:yVal>
            <c:numRef>
              <c:f>System!$E$145:$F$145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D212-419F-BA38-72C786937E16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System!$C$146:$D$146</c:f>
              <c:numCache>
                <c:formatCode>General</c:formatCode>
                <c:ptCount val="2"/>
                <c:pt idx="0">
                  <c:v>16.350000381469727</c:v>
                </c:pt>
                <c:pt idx="1">
                  <c:v>16.435649871826172</c:v>
                </c:pt>
              </c:numCache>
            </c:numRef>
          </c:xVal>
          <c:yVal>
            <c:numRef>
              <c:f>System!$E$146:$F$146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D212-419F-BA38-72C786937E16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System!$C$147:$D$147</c:f>
              <c:numCache>
                <c:formatCode>General</c:formatCode>
                <c:ptCount val="2"/>
                <c:pt idx="0">
                  <c:v>17.549999237060547</c:v>
                </c:pt>
                <c:pt idx="1">
                  <c:v>17.456003189086914</c:v>
                </c:pt>
              </c:numCache>
            </c:numRef>
          </c:xVal>
          <c:yVal>
            <c:numRef>
              <c:f>System!$E$147:$F$147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D212-419F-BA38-72C786937E16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System!$C$148:$D$148</c:f>
              <c:numCache>
                <c:formatCode>General</c:formatCode>
                <c:ptCount val="2"/>
                <c:pt idx="0">
                  <c:v>15.60081672668457</c:v>
                </c:pt>
                <c:pt idx="1">
                  <c:v>16.950000762939453</c:v>
                </c:pt>
              </c:numCache>
            </c:numRef>
          </c:xVal>
          <c:yVal>
            <c:numRef>
              <c:f>System!$E$148:$F$148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D212-419F-BA38-72C786937E16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System!$C$149:$D$149</c:f>
              <c:numCache>
                <c:formatCode>General</c:formatCode>
                <c:ptCount val="2"/>
                <c:pt idx="0">
                  <c:v>18.321756362915039</c:v>
                </c:pt>
                <c:pt idx="1">
                  <c:v>21.75</c:v>
                </c:pt>
              </c:numCache>
            </c:numRef>
          </c:xVal>
          <c:yVal>
            <c:numRef>
              <c:f>System!$E$149:$F$149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D212-419F-BA38-72C786937E16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System!$C$150:$D$150</c:f>
              <c:numCache>
                <c:formatCode>General</c:formatCode>
                <c:ptCount val="2"/>
                <c:pt idx="0">
                  <c:v>16.435649871826172</c:v>
                </c:pt>
                <c:pt idx="1">
                  <c:v>16.950000762939453</c:v>
                </c:pt>
              </c:numCache>
            </c:numRef>
          </c:xVal>
          <c:yVal>
            <c:numRef>
              <c:f>System!$E$150:$F$150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D212-419F-BA38-72C786937E16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System!$C$151:$D$151</c:f>
              <c:numCache>
                <c:formatCode>General</c:formatCode>
                <c:ptCount val="2"/>
                <c:pt idx="0">
                  <c:v>17.456003189086914</c:v>
                </c:pt>
                <c:pt idx="1">
                  <c:v>16.950000762939453</c:v>
                </c:pt>
              </c:numCache>
            </c:numRef>
          </c:xVal>
          <c:yVal>
            <c:numRef>
              <c:f>System!$E$151:$F$151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D212-419F-BA38-72C786937E16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System!$C$153:$D$153</c:f>
              <c:numCache>
                <c:formatCode>General</c:formatCode>
                <c:ptCount val="2"/>
                <c:pt idx="0">
                  <c:v>17.456003189086914</c:v>
                </c:pt>
                <c:pt idx="1">
                  <c:v>18.321756362915039</c:v>
                </c:pt>
              </c:numCache>
            </c:numRef>
          </c:xVal>
          <c:yVal>
            <c:numRef>
              <c:f>System!$E$153:$F$153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D212-419F-BA38-72C786937E16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System!$C$154:$D$154</c:f>
              <c:numCache>
                <c:formatCode>General</c:formatCode>
                <c:ptCount val="2"/>
                <c:pt idx="0">
                  <c:v>16.435649871826172</c:v>
                </c:pt>
                <c:pt idx="1">
                  <c:v>17.456003189086914</c:v>
                </c:pt>
              </c:numCache>
            </c:numRef>
          </c:xVal>
          <c:yVal>
            <c:numRef>
              <c:f>System!$E$154:$F$154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D212-419F-BA38-72C786937E16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System!$C$155:$D$155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System!$E$155:$F$155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D212-419F-BA38-72C786937E16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System!$C$156:$D$156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System!$E$156:$F$156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D212-419F-BA38-72C786937E16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System!$C$157:$D$157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System!$E$157:$F$157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D212-419F-BA38-72C786937E16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System!$C$158:$D$158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System!$E$158:$F$158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D212-419F-BA38-72C786937E16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System!$C$159:$D$159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System!$E$159:$F$159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D212-419F-BA38-72C786937E16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System!$C$160:$D$160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System!$E$160:$F$160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D212-419F-BA38-72C786937E16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System!$C$161:$D$161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System!$E$161:$F$161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D212-419F-BA38-72C786937E16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D212-419F-BA38-72C786937E16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D212-419F-BA38-72C786937E16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D212-419F-BA38-72C786937E16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D212-419F-BA38-72C786937E16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D212-419F-BA38-72C786937E16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D212-419F-BA38-72C786937E16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D212-419F-BA38-72C786937E16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D212-419F-BA38-72C786937E16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D212-419F-BA38-72C786937E16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D212-419F-BA38-72C786937E16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D212-419F-BA38-72C786937E16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D212-419F-BA38-72C786937E16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D212-419F-BA38-72C786937E16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D212-419F-BA38-72C786937E16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D212-419F-BA38-72C786937E16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D212-419F-BA38-72C786937E16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D212-419F-BA38-72C786937E16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D212-419F-BA38-72C786937E16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D212-419F-BA38-72C786937E16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D212-419F-BA38-72C786937E16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D212-419F-BA38-72C786937E16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D212-419F-BA38-72C786937E16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D212-419F-BA38-72C786937E16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D212-419F-BA38-72C786937E16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D212-419F-BA38-72C786937E16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D212-419F-BA38-72C786937E16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D212-419F-BA38-72C786937E16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D212-419F-BA38-72C786937E16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D212-419F-BA38-72C786937E16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D212-419F-BA38-72C786937E16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D212-419F-BA38-72C786937E16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D212-419F-BA38-72C786937E16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D212-419F-BA38-72C786937E16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D212-419F-BA38-72C786937E16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D212-419F-BA38-72C786937E16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D212-419F-BA38-72C786937E16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D212-419F-BA38-72C786937E16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D212-419F-BA38-72C786937E16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D212-419F-BA38-72C786937E16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D212-419F-BA38-72C786937E16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D212-419F-BA38-72C786937E16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D212-419F-BA38-72C786937E16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8.6999998092651367</c:v>
                </c:pt>
                <c:pt idx="1">
                  <c:v>8.6999998092651367</c:v>
                </c:pt>
                <c:pt idx="2">
                  <c:v>8.3547562457656603</c:v>
                </c:pt>
                <c:pt idx="3">
                  <c:v>9.0452433727646149</c:v>
                </c:pt>
                <c:pt idx="4">
                  <c:v>8.6999998092651367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-3.2429227858355816</c:v>
                </c:pt>
                <c:pt idx="1">
                  <c:v>0.209512849159188</c:v>
                </c:pt>
                <c:pt idx="2">
                  <c:v>-0.99883962308898133</c:v>
                </c:pt>
                <c:pt idx="3">
                  <c:v>-0.99883962308898133</c:v>
                </c:pt>
                <c:pt idx="4">
                  <c:v>0.209512849159188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D212-419F-BA38-72C786937E16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D212-419F-BA38-72C786937E16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D212-419F-BA38-72C786937E16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D212-419F-BA38-72C786937E16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D212-419F-BA38-72C786937E16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  <c:pt idx="4">
                  <c:v>2.5508170127868652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D212-419F-BA38-72C786937E16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  <c:pt idx="4">
                  <c:v>5.2717561721801758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D212-419F-BA38-72C786937E16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  <c:pt idx="4">
                  <c:v>3.3856499195098877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  <c:pt idx="4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D212-419F-BA38-72C786937E16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  <c:pt idx="4">
                  <c:v>4.4060029983520508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  <c:pt idx="4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D212-419F-BA38-72C786937E16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D212-419F-BA38-72C786937E16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D212-419F-BA38-72C786937E16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D212-419F-BA38-72C786937E16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D212-419F-BA38-72C786937E16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D212-419F-BA38-72C786937E16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  <c:pt idx="4">
                  <c:v>12.149999618530273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D212-419F-BA38-72C786937E16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  <c:pt idx="4">
                  <c:v>21.75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D212-419F-BA38-72C786937E16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D212-419F-BA38-72C786937E16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D212-419F-BA38-72C786937E16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D212-419F-BA38-72C786937E16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-0.89999997615814209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D212-419F-BA38-72C786937E16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8.6999998092651367</c:v>
                </c:pt>
                <c:pt idx="1">
                  <c:v>8.6999998092651367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D212-419F-BA38-72C786937E16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3.9000000953674316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-2.0999999046325684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D212-419F-BA38-72C786937E16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3.9000000953674316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D212-419F-BA38-72C786937E16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3.2999999523162842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D212-419F-BA38-72C786937E16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D212-419F-BA38-72C786937E16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2.5508170127868652</c:v>
                </c:pt>
                <c:pt idx="1">
                  <c:v>2.5508170127868652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D212-419F-BA38-72C786937E16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5.2717561721801758</c:v>
                </c:pt>
                <c:pt idx="1">
                  <c:v>5.2717561721801758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D212-419F-BA38-72C786937E16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3.3856499195098877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D212-419F-BA38-72C786937E16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4.4060029983520508</c:v>
                </c:pt>
                <c:pt idx="1">
                  <c:v>4.4060029983520508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D212-419F-BA38-72C786937E16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-6.4499998092651367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D212-419F-BA38-72C786937E16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-5.8499999046325684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D212-419F-BA38-72C786937E16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D212-419F-BA38-72C786937E16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-5.5500001907348633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D212-419F-BA38-72C786937E16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-4.6500000953674316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D212-419F-BA38-72C786937E16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12.149999618530273</c:v>
                </c:pt>
                <c:pt idx="1">
                  <c:v>12.149999618530273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D212-419F-BA38-72C786937E16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21.75</c:v>
                </c:pt>
                <c:pt idx="1">
                  <c:v>21.75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D212-419F-BA38-72C786937E16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16.950000762939453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-2.0999999046325684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D212-419F-BA38-72C786937E16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16.950000762939453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D212-419F-BA38-72C786937E16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D212-419F-BA38-72C786937E16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-0.89999997615814209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D212-419F-BA38-72C786937E16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8.6999998092651367</c:v>
                </c:pt>
                <c:pt idx="1">
                  <c:v>8.6999998092651367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D212-419F-BA38-72C786937E16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3.9000000953674316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-2.0999999046325684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D212-419F-BA38-72C786937E16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3.9000000953674316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D212-419F-BA38-72C786937E16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3.2999999523162842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D212-419F-BA38-72C786937E16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D212-419F-BA38-72C786937E16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2.5508170127868652</c:v>
                </c:pt>
                <c:pt idx="1">
                  <c:v>2.5508170127868652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D212-419F-BA38-72C786937E16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5.2717561721801758</c:v>
                </c:pt>
                <c:pt idx="1">
                  <c:v>5.2717561721801758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D212-419F-BA38-72C786937E16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3.3856499195098877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D212-419F-BA38-72C786937E16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4.4060029983520508</c:v>
                </c:pt>
                <c:pt idx="1">
                  <c:v>4.4060029983520508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D212-419F-BA38-72C786937E16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-6.4499998092651367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D212-419F-BA38-72C786937E16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-5.8499999046325684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D212-419F-BA38-72C786937E16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D212-419F-BA38-72C786937E16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-5.5500001907348633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D212-419F-BA38-72C786937E16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-4.6500000953674316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D212-419F-BA38-72C786937E16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12.149999618530273</c:v>
                </c:pt>
                <c:pt idx="1">
                  <c:v>12.149999618530273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D212-419F-BA38-72C786937E16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21.75</c:v>
                </c:pt>
                <c:pt idx="1">
                  <c:v>21.75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D212-419F-BA38-72C786937E16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16.950000762939453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-2.0999999046325684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D212-419F-BA38-72C786937E16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16.950000762939453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D212-419F-BA38-72C786937E16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7.6500000953674316</c:v>
                </c:pt>
                <c:pt idx="1">
                  <c:v>7.6500000953674316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7.6500000953674316</c:v>
                </c:pt>
                <c:pt idx="1">
                  <c:v>7.6500000953674316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D212-419F-BA38-72C786937E16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7.6500000953674316</c:v>
                </c:pt>
                <c:pt idx="1">
                  <c:v>7.6500000953674316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7.6500000953674316</c:v>
                </c:pt>
                <c:pt idx="1">
                  <c:v>7.6500000953674316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995904"/>
        <c:axId val="756992376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D212-419F-BA38-72C786937E16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D212-419F-BA38-72C786937E16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8.6999998092651367</c:v>
                </c:pt>
                <c:pt idx="1">
                  <c:v>8.6999998092651367</c:v>
                </c:pt>
                <c:pt idx="2">
                  <c:v>8.6999998092651367</c:v>
                </c:pt>
                <c:pt idx="3">
                  <c:v>8.6999998092651367</c:v>
                </c:pt>
                <c:pt idx="4">
                  <c:v>8.6999998092651367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D212-419F-BA38-72C786937E16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D212-419F-BA38-72C786937E16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D212-419F-BA38-72C786937E16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D212-419F-BA38-72C786937E16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D212-419F-BA38-72C786937E16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  <c:pt idx="4">
                  <c:v>2.5508170127868652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D212-419F-BA38-72C786937E16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  <c:pt idx="4">
                  <c:v>5.2717561721801758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D212-419F-BA38-72C786937E16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  <c:pt idx="4">
                  <c:v>3.3856499195098877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  <c:pt idx="4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D212-419F-BA38-72C786937E16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  <c:pt idx="4">
                  <c:v>4.4060029983520508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  <c:pt idx="4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D212-419F-BA38-72C786937E16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D212-419F-BA38-72C786937E16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D212-419F-BA38-72C786937E16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D212-419F-BA38-72C786937E16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D212-419F-BA38-72C786937E16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D212-419F-BA38-72C786937E16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  <c:pt idx="4">
                  <c:v>12.149999618530273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D212-419F-BA38-72C786937E16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D212-419F-BA38-72C786937E16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D212-419F-BA38-72C786937E16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  <c:pt idx="4">
                  <c:v>21.75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995904"/>
        <c:axId val="756992376"/>
      </c:scatterChart>
      <c:valAx>
        <c:axId val="7569959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756992376"/>
        <c:crosses val="autoZero"/>
        <c:crossBetween val="midCat"/>
        <c:majorUnit val="1.0000000000000004E-6"/>
      </c:valAx>
      <c:valAx>
        <c:axId val="7569923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56995904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-6.8143881842007907</c:v>
                </c:pt>
                <c:pt idx="1">
                  <c:v>22.114265818371251</c:v>
                </c:pt>
                <c:pt idx="2">
                  <c:v>22.114265818371251</c:v>
                </c:pt>
                <c:pt idx="3">
                  <c:v>-6.8143881842007907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15.590544888734133</c:v>
                </c:pt>
                <c:pt idx="1">
                  <c:v>15.590544888734133</c:v>
                </c:pt>
                <c:pt idx="2">
                  <c:v>-13.338109113837909</c:v>
                </c:pt>
                <c:pt idx="3">
                  <c:v>-13.338109113837909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12-44AB-9946-BD3AA8BEC172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12-44AB-9946-BD3AA8BEC172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0.95586188224648228</c:v>
                </c:pt>
                <c:pt idx="1">
                  <c:v>0.95586188224648228</c:v>
                </c:pt>
                <c:pt idx="2">
                  <c:v>0.95586188224648228</c:v>
                </c:pt>
                <c:pt idx="3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12-44AB-9946-BD3AA8BEC172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8.6998774435266721</c:v>
                </c:pt>
                <c:pt idx="1">
                  <c:v>8.6998774435266721</c:v>
                </c:pt>
                <c:pt idx="2">
                  <c:v>8.6998774435266721</c:v>
                </c:pt>
                <c:pt idx="3">
                  <c:v>8.6998774435266721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4.3524356111529094</c:v>
                </c:pt>
                <c:pt idx="1">
                  <c:v>4.3524356111529094</c:v>
                </c:pt>
                <c:pt idx="2">
                  <c:v>4.3524356111529094</c:v>
                </c:pt>
                <c:pt idx="3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12-44AB-9946-BD3AA8BEC172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3.899595284019405</c:v>
                </c:pt>
                <c:pt idx="1">
                  <c:v>3.899595284019405</c:v>
                </c:pt>
                <c:pt idx="2">
                  <c:v>3.899595284019405</c:v>
                </c:pt>
                <c:pt idx="3">
                  <c:v>3.899595284019405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-2.0997801137178165</c:v>
                </c:pt>
                <c:pt idx="1">
                  <c:v>-2.0997801137178165</c:v>
                </c:pt>
                <c:pt idx="2">
                  <c:v>-2.0997801137178165</c:v>
                </c:pt>
                <c:pt idx="3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412-44AB-9946-BD3AA8BEC172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3.9000172623814056</c:v>
                </c:pt>
                <c:pt idx="1">
                  <c:v>3.9000172623814056</c:v>
                </c:pt>
                <c:pt idx="2">
                  <c:v>3.9000172623814056</c:v>
                </c:pt>
                <c:pt idx="3">
                  <c:v>3.9000172623814056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0.71199134690652988</c:v>
                </c:pt>
                <c:pt idx="1">
                  <c:v>0.71199134690652988</c:v>
                </c:pt>
                <c:pt idx="2">
                  <c:v>0.71199134690652988</c:v>
                </c:pt>
                <c:pt idx="3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412-44AB-9946-BD3AA8BEC172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3.2999999523162842</c:v>
                </c:pt>
                <c:pt idx="1">
                  <c:v>4.1631088610649769</c:v>
                </c:pt>
                <c:pt idx="2">
                  <c:v>2.4368910435675919</c:v>
                </c:pt>
                <c:pt idx="3">
                  <c:v>3.2999999523162842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5.0949045345853037</c:v>
                </c:pt>
                <c:pt idx="2">
                  <c:v>5.0949045345853037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412-44AB-9946-BD3AA8BEC172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4.5</c:v>
                </c:pt>
                <c:pt idx="1">
                  <c:v>5.3631089087486927</c:v>
                </c:pt>
                <c:pt idx="2">
                  <c:v>3.6368910912513077</c:v>
                </c:pt>
                <c:pt idx="3">
                  <c:v>4.5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5.0949045345853037</c:v>
                </c:pt>
                <c:pt idx="2">
                  <c:v>5.0949045345853037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412-44AB-9946-BD3AA8BEC172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2.5508135058442862</c:v>
                </c:pt>
                <c:pt idx="1">
                  <c:v>2.5508135058442862</c:v>
                </c:pt>
                <c:pt idx="2">
                  <c:v>2.5508135058442862</c:v>
                </c:pt>
                <c:pt idx="3">
                  <c:v>2.5508135058442862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0.8819063423581377</c:v>
                </c:pt>
                <c:pt idx="1">
                  <c:v>0.8819063423581377</c:v>
                </c:pt>
                <c:pt idx="2">
                  <c:v>0.8819063423581377</c:v>
                </c:pt>
                <c:pt idx="3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12-44AB-9946-BD3AA8BEC172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5.2717980643062301</c:v>
                </c:pt>
                <c:pt idx="1">
                  <c:v>5.2717980643062301</c:v>
                </c:pt>
                <c:pt idx="2">
                  <c:v>5.2717980643062301</c:v>
                </c:pt>
                <c:pt idx="3">
                  <c:v>5.2717980643062301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0.91863725774052185</c:v>
                </c:pt>
                <c:pt idx="1">
                  <c:v>0.91863725774052185</c:v>
                </c:pt>
                <c:pt idx="2">
                  <c:v>0.91863725774052185</c:v>
                </c:pt>
                <c:pt idx="3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412-44AB-9946-BD3AA8BEC172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3.3533233680977133</c:v>
                </c:pt>
                <c:pt idx="1">
                  <c:v>3.3533233680977133</c:v>
                </c:pt>
                <c:pt idx="2">
                  <c:v>3.3533233680977133</c:v>
                </c:pt>
                <c:pt idx="3">
                  <c:v>3.3533233680977133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2.7261509686366132</c:v>
                </c:pt>
                <c:pt idx="1">
                  <c:v>2.7261509686366132</c:v>
                </c:pt>
                <c:pt idx="2">
                  <c:v>2.7261509686366132</c:v>
                </c:pt>
                <c:pt idx="3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412-44AB-9946-BD3AA8BEC172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4.3735740188221861</c:v>
                </c:pt>
                <c:pt idx="1">
                  <c:v>4.3735740188221861</c:v>
                </c:pt>
                <c:pt idx="2">
                  <c:v>4.3735740188221861</c:v>
                </c:pt>
                <c:pt idx="3">
                  <c:v>4.3735740188221861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2.7483914883909044</c:v>
                </c:pt>
                <c:pt idx="1">
                  <c:v>2.7483914883909044</c:v>
                </c:pt>
                <c:pt idx="2">
                  <c:v>2.7483914883909044</c:v>
                </c:pt>
                <c:pt idx="3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412-44AB-9946-BD3AA8BEC172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-6.4499998092651367</c:v>
                </c:pt>
                <c:pt idx="1">
                  <c:v>-5.586890900516444</c:v>
                </c:pt>
                <c:pt idx="2">
                  <c:v>-7.3131087180138294</c:v>
                </c:pt>
                <c:pt idx="3">
                  <c:v>-6.4499998092651367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2.3949046061108774</c:v>
                </c:pt>
                <c:pt idx="2">
                  <c:v>2.3949046061108774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412-44AB-9946-BD3AA8BEC172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412-44AB-9946-BD3AA8BEC172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412-44AB-9946-BD3AA8BEC172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-5.5500001907348633</c:v>
                </c:pt>
                <c:pt idx="1">
                  <c:v>-4.6868912819861706</c:v>
                </c:pt>
                <c:pt idx="2">
                  <c:v>-6.413109099483556</c:v>
                </c:pt>
                <c:pt idx="3">
                  <c:v>-5.5500001907348633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4.3449045345853037</c:v>
                </c:pt>
                <c:pt idx="2">
                  <c:v>4.3449045345853037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412-44AB-9946-BD3AA8BEC172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-4.6500000953674316</c:v>
                </c:pt>
                <c:pt idx="1">
                  <c:v>-3.7868911866187394</c:v>
                </c:pt>
                <c:pt idx="2">
                  <c:v>-5.5131090041161244</c:v>
                </c:pt>
                <c:pt idx="3">
                  <c:v>-4.6500000953674316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4.3449045345853037</c:v>
                </c:pt>
                <c:pt idx="2">
                  <c:v>4.3449045345853037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412-44AB-9946-BD3AA8BEC172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12.149877252791809</c:v>
                </c:pt>
                <c:pt idx="1">
                  <c:v>12.149877252791809</c:v>
                </c:pt>
                <c:pt idx="2">
                  <c:v>12.149877252791809</c:v>
                </c:pt>
                <c:pt idx="3">
                  <c:v>12.149877252791809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0.89983854892481308</c:v>
                </c:pt>
                <c:pt idx="1">
                  <c:v>0.89983854892481308</c:v>
                </c:pt>
                <c:pt idx="2">
                  <c:v>0.89983854892481308</c:v>
                </c:pt>
                <c:pt idx="3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412-44AB-9946-BD3AA8BEC172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21.749877634170446</c:v>
                </c:pt>
                <c:pt idx="1">
                  <c:v>21.749877634170446</c:v>
                </c:pt>
                <c:pt idx="2">
                  <c:v>21.749877634170446</c:v>
                </c:pt>
                <c:pt idx="3">
                  <c:v>21.749877634170446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0.9001611964406423</c:v>
                </c:pt>
                <c:pt idx="1">
                  <c:v>0.9001611964406423</c:v>
                </c:pt>
                <c:pt idx="2">
                  <c:v>0.9001611964406423</c:v>
                </c:pt>
                <c:pt idx="3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412-44AB-9946-BD3AA8BEC172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16.950000505139531</c:v>
                </c:pt>
                <c:pt idx="1">
                  <c:v>16.950000505139531</c:v>
                </c:pt>
                <c:pt idx="2">
                  <c:v>16.950000505139531</c:v>
                </c:pt>
                <c:pt idx="3">
                  <c:v>16.950000505139531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-2.099999764731113</c:v>
                </c:pt>
                <c:pt idx="1">
                  <c:v>-2.099999764731113</c:v>
                </c:pt>
                <c:pt idx="2">
                  <c:v>-2.099999764731113</c:v>
                </c:pt>
                <c:pt idx="3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412-44AB-9946-BD3AA8BEC172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16.949878412407752</c:v>
                </c:pt>
                <c:pt idx="1">
                  <c:v>16.949878412407752</c:v>
                </c:pt>
                <c:pt idx="2">
                  <c:v>16.949878412407752</c:v>
                </c:pt>
                <c:pt idx="3">
                  <c:v>16.949878412407752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0.89999977405212539</c:v>
                </c:pt>
                <c:pt idx="1">
                  <c:v>0.89999977405212539</c:v>
                </c:pt>
                <c:pt idx="2">
                  <c:v>0.89999977405212539</c:v>
                </c:pt>
                <c:pt idx="3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6412-44AB-9946-BD3AA8BEC172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6412-44AB-9946-BD3AA8BEC172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6412-44AB-9946-BD3AA8BEC172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412-44AB-9946-BD3AA8BEC172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412-44AB-9946-BD3AA8BEC172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6412-44AB-9946-BD3AA8BEC172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3.2999999523162842</c:v>
                </c:pt>
                <c:pt idx="1">
                  <c:v>4.7949045822690195</c:v>
                </c:pt>
                <c:pt idx="2">
                  <c:v>4.7949045822690195</c:v>
                </c:pt>
                <c:pt idx="3">
                  <c:v>3.2999999523162842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4.4631088133812611</c:v>
                </c:pt>
                <c:pt idx="2">
                  <c:v>2.7368909958838761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6412-44AB-9946-BD3AA8BEC172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4.5</c:v>
                </c:pt>
                <c:pt idx="1">
                  <c:v>5.9949046299527353</c:v>
                </c:pt>
                <c:pt idx="2">
                  <c:v>5.9949046299527353</c:v>
                </c:pt>
                <c:pt idx="3">
                  <c:v>4.5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4.4631088133812611</c:v>
                </c:pt>
                <c:pt idx="2">
                  <c:v>2.7368909958838761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6412-44AB-9946-BD3AA8BEC172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6412-44AB-9946-BD3AA8BEC172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6412-44AB-9946-BD3AA8BEC172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6412-44AB-9946-BD3AA8BEC172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6412-44AB-9946-BD3AA8BEC172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-6.4499998092651367</c:v>
                </c:pt>
                <c:pt idx="1">
                  <c:v>-4.9550951793124014</c:v>
                </c:pt>
                <c:pt idx="2">
                  <c:v>-4.9550951793124014</c:v>
                </c:pt>
                <c:pt idx="3">
                  <c:v>-6.4499998092651367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1.7631088849068344</c:v>
                </c:pt>
                <c:pt idx="2">
                  <c:v>3.6891067409449696E-2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6412-44AB-9946-BD3AA8BEC172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6412-44AB-9946-BD3AA8BEC172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6412-44AB-9946-BD3AA8BEC172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-5.5500001907348633</c:v>
                </c:pt>
                <c:pt idx="1">
                  <c:v>-4.055095560782128</c:v>
                </c:pt>
                <c:pt idx="2">
                  <c:v>-4.055095560782128</c:v>
                </c:pt>
                <c:pt idx="3">
                  <c:v>-5.5500001907348633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3.7131088133812606</c:v>
                </c:pt>
                <c:pt idx="2">
                  <c:v>1.9868909958838761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6412-44AB-9946-BD3AA8BEC172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-4.6500000953674316</c:v>
                </c:pt>
                <c:pt idx="1">
                  <c:v>-3.1550954654146963</c:v>
                </c:pt>
                <c:pt idx="2">
                  <c:v>-3.1550954654146963</c:v>
                </c:pt>
                <c:pt idx="3">
                  <c:v>-4.6500000953674316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3.7131088133812606</c:v>
                </c:pt>
                <c:pt idx="2">
                  <c:v>1.9868909958838761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6412-44AB-9946-BD3AA8BEC172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6412-44AB-9946-BD3AA8BEC172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6412-44AB-9946-BD3AA8BEC172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6412-44AB-9946-BD3AA8BEC172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6412-44AB-9946-BD3AA8BEC172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6412-44AB-9946-BD3AA8BEC172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0.95586188224648228</c:v>
                </c:pt>
                <c:pt idx="1">
                  <c:v>0.95586188224648228</c:v>
                </c:pt>
                <c:pt idx="2">
                  <c:v>0.95586188224648228</c:v>
                </c:pt>
                <c:pt idx="3">
                  <c:v>0.95586188224648228</c:v>
                </c:pt>
                <c:pt idx="4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6412-44AB-9946-BD3AA8BEC172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8.6998774435266721</c:v>
                </c:pt>
                <c:pt idx="1">
                  <c:v>8.6998774435266721</c:v>
                </c:pt>
                <c:pt idx="2">
                  <c:v>8.6998774435266721</c:v>
                </c:pt>
                <c:pt idx="3">
                  <c:v>8.6998774435266721</c:v>
                </c:pt>
                <c:pt idx="4">
                  <c:v>8.6998774435266721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4.3524356111529094</c:v>
                </c:pt>
                <c:pt idx="1">
                  <c:v>4.3524356111529094</c:v>
                </c:pt>
                <c:pt idx="2">
                  <c:v>4.3524356111529094</c:v>
                </c:pt>
                <c:pt idx="3">
                  <c:v>4.3524356111529094</c:v>
                </c:pt>
                <c:pt idx="4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6412-44AB-9946-BD3AA8BEC172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3.899595284019405</c:v>
                </c:pt>
                <c:pt idx="1">
                  <c:v>3.899595284019405</c:v>
                </c:pt>
                <c:pt idx="2">
                  <c:v>3.899595284019405</c:v>
                </c:pt>
                <c:pt idx="3">
                  <c:v>3.899595284019405</c:v>
                </c:pt>
                <c:pt idx="4">
                  <c:v>3.899595284019405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-2.0997801137178165</c:v>
                </c:pt>
                <c:pt idx="1">
                  <c:v>-2.0997801137178165</c:v>
                </c:pt>
                <c:pt idx="2">
                  <c:v>-2.0997801137178165</c:v>
                </c:pt>
                <c:pt idx="3">
                  <c:v>-2.0997801137178165</c:v>
                </c:pt>
                <c:pt idx="4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6412-44AB-9946-BD3AA8BEC172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3.9000172623814056</c:v>
                </c:pt>
                <c:pt idx="1">
                  <c:v>3.9000172623814056</c:v>
                </c:pt>
                <c:pt idx="2">
                  <c:v>3.9000172623814056</c:v>
                </c:pt>
                <c:pt idx="3">
                  <c:v>3.9000172623814056</c:v>
                </c:pt>
                <c:pt idx="4">
                  <c:v>3.9000172623814056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0.71199134690652988</c:v>
                </c:pt>
                <c:pt idx="1">
                  <c:v>0.71199134690652988</c:v>
                </c:pt>
                <c:pt idx="2">
                  <c:v>0.71199134690652988</c:v>
                </c:pt>
                <c:pt idx="3">
                  <c:v>0.71199134690652988</c:v>
                </c:pt>
                <c:pt idx="4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6412-44AB-9946-BD3AA8BEC172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6412-44AB-9946-BD3AA8BEC172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6412-44AB-9946-BD3AA8BEC172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2.5508135058442862</c:v>
                </c:pt>
                <c:pt idx="1">
                  <c:v>2.5508135058442862</c:v>
                </c:pt>
                <c:pt idx="2">
                  <c:v>2.5508135058442862</c:v>
                </c:pt>
                <c:pt idx="3">
                  <c:v>2.5508135058442862</c:v>
                </c:pt>
                <c:pt idx="4">
                  <c:v>2.5508135058442862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0.8819063423581377</c:v>
                </c:pt>
                <c:pt idx="1">
                  <c:v>0.8819063423581377</c:v>
                </c:pt>
                <c:pt idx="2">
                  <c:v>0.8819063423581377</c:v>
                </c:pt>
                <c:pt idx="3">
                  <c:v>0.8819063423581377</c:v>
                </c:pt>
                <c:pt idx="4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6412-44AB-9946-BD3AA8BEC172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5.2717980643062301</c:v>
                </c:pt>
                <c:pt idx="1">
                  <c:v>5.2717980643062301</c:v>
                </c:pt>
                <c:pt idx="2">
                  <c:v>5.2717980643062301</c:v>
                </c:pt>
                <c:pt idx="3">
                  <c:v>5.2717980643062301</c:v>
                </c:pt>
                <c:pt idx="4">
                  <c:v>5.2717980643062301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0.91863725774052185</c:v>
                </c:pt>
                <c:pt idx="1">
                  <c:v>0.91863725774052185</c:v>
                </c:pt>
                <c:pt idx="2">
                  <c:v>0.91863725774052185</c:v>
                </c:pt>
                <c:pt idx="3">
                  <c:v>0.91863725774052185</c:v>
                </c:pt>
                <c:pt idx="4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6412-44AB-9946-BD3AA8BEC172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3.3533233680977133</c:v>
                </c:pt>
                <c:pt idx="1">
                  <c:v>3.3533233680977133</c:v>
                </c:pt>
                <c:pt idx="2">
                  <c:v>3.3533233680977133</c:v>
                </c:pt>
                <c:pt idx="3">
                  <c:v>3.3533233680977133</c:v>
                </c:pt>
                <c:pt idx="4">
                  <c:v>3.3533233680977133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2.7261509686366132</c:v>
                </c:pt>
                <c:pt idx="1">
                  <c:v>2.7261509686366132</c:v>
                </c:pt>
                <c:pt idx="2">
                  <c:v>2.7261509686366132</c:v>
                </c:pt>
                <c:pt idx="3">
                  <c:v>2.7261509686366132</c:v>
                </c:pt>
                <c:pt idx="4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6412-44AB-9946-BD3AA8BEC172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4.3735740188221861</c:v>
                </c:pt>
                <c:pt idx="1">
                  <c:v>4.3735740188221861</c:v>
                </c:pt>
                <c:pt idx="2">
                  <c:v>4.3735740188221861</c:v>
                </c:pt>
                <c:pt idx="3">
                  <c:v>4.3735740188221861</c:v>
                </c:pt>
                <c:pt idx="4">
                  <c:v>4.3735740188221861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2.7483914883909044</c:v>
                </c:pt>
                <c:pt idx="1">
                  <c:v>2.7483914883909044</c:v>
                </c:pt>
                <c:pt idx="2">
                  <c:v>2.7483914883909044</c:v>
                </c:pt>
                <c:pt idx="3">
                  <c:v>2.7483914883909044</c:v>
                </c:pt>
                <c:pt idx="4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6412-44AB-9946-BD3AA8BEC172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6412-44AB-9946-BD3AA8BEC172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6412-44AB-9946-BD3AA8BEC172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6412-44AB-9946-BD3AA8BEC172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6412-44AB-9946-BD3AA8BEC172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6412-44AB-9946-BD3AA8BEC172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12.149877252791809</c:v>
                </c:pt>
                <c:pt idx="1">
                  <c:v>12.149877252791809</c:v>
                </c:pt>
                <c:pt idx="2">
                  <c:v>12.149877252791809</c:v>
                </c:pt>
                <c:pt idx="3">
                  <c:v>12.149877252791809</c:v>
                </c:pt>
                <c:pt idx="4">
                  <c:v>12.149877252791809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0.89983854892481308</c:v>
                </c:pt>
                <c:pt idx="1">
                  <c:v>0.89983854892481308</c:v>
                </c:pt>
                <c:pt idx="2">
                  <c:v>0.89983854892481308</c:v>
                </c:pt>
                <c:pt idx="3">
                  <c:v>0.89983854892481308</c:v>
                </c:pt>
                <c:pt idx="4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6412-44AB-9946-BD3AA8BEC172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21.749877634170446</c:v>
                </c:pt>
                <c:pt idx="1">
                  <c:v>21.749877634170446</c:v>
                </c:pt>
                <c:pt idx="2">
                  <c:v>21.749877634170446</c:v>
                </c:pt>
                <c:pt idx="3">
                  <c:v>21.749877634170446</c:v>
                </c:pt>
                <c:pt idx="4">
                  <c:v>21.749877634170446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0.9001611964406423</c:v>
                </c:pt>
                <c:pt idx="1">
                  <c:v>0.9001611964406423</c:v>
                </c:pt>
                <c:pt idx="2">
                  <c:v>0.9001611964406423</c:v>
                </c:pt>
                <c:pt idx="3">
                  <c:v>0.9001611964406423</c:v>
                </c:pt>
                <c:pt idx="4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6412-44AB-9946-BD3AA8BEC172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16.950000505139531</c:v>
                </c:pt>
                <c:pt idx="1">
                  <c:v>16.950000505139531</c:v>
                </c:pt>
                <c:pt idx="2">
                  <c:v>16.950000505139531</c:v>
                </c:pt>
                <c:pt idx="3">
                  <c:v>16.950000505139531</c:v>
                </c:pt>
                <c:pt idx="4">
                  <c:v>16.950000505139531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-2.099999764731113</c:v>
                </c:pt>
                <c:pt idx="1">
                  <c:v>-2.099999764731113</c:v>
                </c:pt>
                <c:pt idx="2">
                  <c:v>-2.099999764731113</c:v>
                </c:pt>
                <c:pt idx="3">
                  <c:v>-2.099999764731113</c:v>
                </c:pt>
                <c:pt idx="4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6412-44AB-9946-BD3AA8BEC172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16.949878412407752</c:v>
                </c:pt>
                <c:pt idx="1">
                  <c:v>16.949878412407752</c:v>
                </c:pt>
                <c:pt idx="2">
                  <c:v>16.949878412407752</c:v>
                </c:pt>
                <c:pt idx="3">
                  <c:v>16.949878412407752</c:v>
                </c:pt>
                <c:pt idx="4">
                  <c:v>16.949878412407752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0.89999977405212539</c:v>
                </c:pt>
                <c:pt idx="1">
                  <c:v>0.89999977405212539</c:v>
                </c:pt>
                <c:pt idx="2">
                  <c:v>0.89999977405212539</c:v>
                </c:pt>
                <c:pt idx="3">
                  <c:v>0.89999977405212539</c:v>
                </c:pt>
                <c:pt idx="4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6412-44AB-9946-BD3AA8BEC172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-3.75</c:v>
                </c:pt>
                <c:pt idx="1">
                  <c:v>-3.4649999999999999</c:v>
                </c:pt>
                <c:pt idx="2">
                  <c:v>-3.1799999999999997</c:v>
                </c:pt>
                <c:pt idx="3">
                  <c:v>-2.8949999999999996</c:v>
                </c:pt>
                <c:pt idx="4">
                  <c:v>-2.6099999999999994</c:v>
                </c:pt>
                <c:pt idx="5">
                  <c:v>-2.3249999999999993</c:v>
                </c:pt>
                <c:pt idx="6">
                  <c:v>-2.0399999999999991</c:v>
                </c:pt>
                <c:pt idx="7">
                  <c:v>-1.754999999999999</c:v>
                </c:pt>
                <c:pt idx="8">
                  <c:v>-1.4699999999999989</c:v>
                </c:pt>
                <c:pt idx="9">
                  <c:v>-1.1849999999999987</c:v>
                </c:pt>
                <c:pt idx="10">
                  <c:v>-0.89999999999999869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0.9</c:v>
                </c:pt>
                <c:pt idx="1">
                  <c:v>0.90156413337047359</c:v>
                </c:pt>
                <c:pt idx="2">
                  <c:v>0.90580963823318739</c:v>
                </c:pt>
                <c:pt idx="3">
                  <c:v>0.91206617171508153</c:v>
                </c:pt>
                <c:pt idx="4">
                  <c:v>0.91966339094309579</c:v>
                </c:pt>
                <c:pt idx="5">
                  <c:v>0.92793095304417017</c:v>
                </c:pt>
                <c:pt idx="6">
                  <c:v>0.93619851514524444</c:v>
                </c:pt>
                <c:pt idx="7">
                  <c:v>0.9437957343732587</c:v>
                </c:pt>
                <c:pt idx="8">
                  <c:v>0.95005226785515284</c:v>
                </c:pt>
                <c:pt idx="9">
                  <c:v>0.95429777271786664</c:v>
                </c:pt>
                <c:pt idx="10">
                  <c:v>0.95586190608834021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6412-44AB-9946-BD3AA8BEC172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-0.9</c:v>
                </c:pt>
                <c:pt idx="1">
                  <c:v>-0.55491777509842843</c:v>
                </c:pt>
                <c:pt idx="2">
                  <c:v>-0.20983560326327083</c:v>
                </c:pt>
                <c:pt idx="3">
                  <c:v>0.135246462439059</c:v>
                </c:pt>
                <c:pt idx="4">
                  <c:v>0.48032836894214709</c:v>
                </c:pt>
                <c:pt idx="5">
                  <c:v>0.82541006317957955</c:v>
                </c:pt>
                <c:pt idx="6">
                  <c:v>1.1704914920849425</c:v>
                </c:pt>
                <c:pt idx="7">
                  <c:v>1.5155726025918219</c:v>
                </c:pt>
                <c:pt idx="8">
                  <c:v>1.860653341633804</c:v>
                </c:pt>
                <c:pt idx="9">
                  <c:v>2.2057336561444747</c:v>
                </c:pt>
                <c:pt idx="10">
                  <c:v>2.5508134930574209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0.95586190608834021</c:v>
                </c:pt>
                <c:pt idx="1">
                  <c:v>0.96689025771153614</c:v>
                </c:pt>
                <c:pt idx="2">
                  <c:v>0.97680200882720158</c:v>
                </c:pt>
                <c:pt idx="3">
                  <c:v>0.98448055892780606</c:v>
                </c:pt>
                <c:pt idx="4">
                  <c:v>0.98880930750581908</c:v>
                </c:pt>
                <c:pt idx="5">
                  <c:v>0.98867165405371049</c:v>
                </c:pt>
                <c:pt idx="6">
                  <c:v>0.98295099806394926</c:v>
                </c:pt>
                <c:pt idx="7">
                  <c:v>0.97053073902900544</c:v>
                </c:pt>
                <c:pt idx="8">
                  <c:v>0.95029427644134834</c:v>
                </c:pt>
                <c:pt idx="9">
                  <c:v>0.92112500979344758</c:v>
                </c:pt>
                <c:pt idx="10">
                  <c:v>0.88190633857777256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6412-44AB-9946-BD3AA8BEC172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-0.9</c:v>
                </c:pt>
                <c:pt idx="1">
                  <c:v>-0.41823174009967479</c:v>
                </c:pt>
                <c:pt idx="2">
                  <c:v>6.2330692443898564E-2</c:v>
                </c:pt>
                <c:pt idx="3">
                  <c:v>0.54198875446990791</c:v>
                </c:pt>
                <c:pt idx="4">
                  <c:v>1.0210439028175413</c:v>
                </c:pt>
                <c:pt idx="5">
                  <c:v>1.4997975943259867</c:v>
                </c:pt>
                <c:pt idx="6">
                  <c:v>1.9785512858344321</c:v>
                </c:pt>
                <c:pt idx="7">
                  <c:v>2.4576064341820656</c:v>
                </c:pt>
                <c:pt idx="8">
                  <c:v>2.9372644962080749</c:v>
                </c:pt>
                <c:pt idx="9">
                  <c:v>3.4178269287516478</c:v>
                </c:pt>
                <c:pt idx="10">
                  <c:v>3.8995951886519733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0.95586190608834021</c:v>
                </c:pt>
                <c:pt idx="1">
                  <c:v>0.65319168022718588</c:v>
                </c:pt>
                <c:pt idx="2">
                  <c:v>0.34859213059522864</c:v>
                </c:pt>
                <c:pt idx="3">
                  <c:v>4.2545588135169024E-2</c:v>
                </c:pt>
                <c:pt idx="4">
                  <c:v>-0.26446561621029213</c:v>
                </c:pt>
                <c:pt idx="5">
                  <c:v>-0.57195915149845411</c:v>
                </c:pt>
                <c:pt idx="6">
                  <c:v>-0.87945268678661614</c:v>
                </c:pt>
                <c:pt idx="7">
                  <c:v>-1.1864638911320771</c:v>
                </c:pt>
                <c:pt idx="8">
                  <c:v>-1.4925104335921369</c:v>
                </c:pt>
                <c:pt idx="9">
                  <c:v>-1.7971099832240942</c:v>
                </c:pt>
                <c:pt idx="10">
                  <c:v>-2.0997802090852487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6412-44AB-9946-BD3AA8BEC172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8.6998776342615347</c:v>
                </c:pt>
                <c:pt idx="1">
                  <c:v>8.1081429489269468</c:v>
                </c:pt>
                <c:pt idx="2">
                  <c:v>7.5908792241081127</c:v>
                </c:pt>
                <c:pt idx="3">
                  <c:v>7.129468719676094</c:v>
                </c:pt>
                <c:pt idx="4">
                  <c:v>6.705293695501954</c:v>
                </c:pt>
                <c:pt idx="5">
                  <c:v>6.2997364114567516</c:v>
                </c:pt>
                <c:pt idx="6">
                  <c:v>5.8941791274115491</c:v>
                </c:pt>
                <c:pt idx="7">
                  <c:v>5.4700041032374092</c:v>
                </c:pt>
                <c:pt idx="8">
                  <c:v>5.0085935988053905</c:v>
                </c:pt>
                <c:pt idx="9">
                  <c:v>4.4913298739865573</c:v>
                </c:pt>
                <c:pt idx="10">
                  <c:v>3.8995951886519689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4.3524356349947695</c:v>
                </c:pt>
                <c:pt idx="1">
                  <c:v>3.8859443558245732</c:v>
                </c:pt>
                <c:pt idx="2">
                  <c:v>3.3002995398291781</c:v>
                </c:pt>
                <c:pt idx="3">
                  <c:v>2.6252895712148794</c:v>
                </c:pt>
                <c:pt idx="4">
                  <c:v>1.8907028341879712</c:v>
                </c:pt>
                <c:pt idx="5">
                  <c:v>1.1263277129547582</c:v>
                </c:pt>
                <c:pt idx="6">
                  <c:v>0.36195259172155569</c:v>
                </c:pt>
                <c:pt idx="7">
                  <c:v>-0.37263414530535666</c:v>
                </c:pt>
                <c:pt idx="8">
                  <c:v>-1.0476441139196595</c:v>
                </c:pt>
                <c:pt idx="9">
                  <c:v>-1.6332889299150575</c:v>
                </c:pt>
                <c:pt idx="10">
                  <c:v>-2.0997802090852487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6412-44AB-9946-BD3AA8BEC172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3.9000171670139738</c:v>
                </c:pt>
                <c:pt idx="1">
                  <c:v>4.0371920795169878</c:v>
                </c:pt>
                <c:pt idx="2">
                  <c:v>4.1743675135185816</c:v>
                </c:pt>
                <c:pt idx="3">
                  <c:v>4.3115435367908033</c:v>
                </c:pt>
                <c:pt idx="4">
                  <c:v>4.448720217105703</c:v>
                </c:pt>
                <c:pt idx="5">
                  <c:v>4.5858976222353292</c:v>
                </c:pt>
                <c:pt idx="6">
                  <c:v>4.7230758199517293</c:v>
                </c:pt>
                <c:pt idx="7">
                  <c:v>4.8602548780269537</c:v>
                </c:pt>
                <c:pt idx="8">
                  <c:v>4.9974348642330497</c:v>
                </c:pt>
                <c:pt idx="9">
                  <c:v>5.1346158463420668</c:v>
                </c:pt>
                <c:pt idx="10">
                  <c:v>5.2717978921260542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0.71199137074838759</c:v>
                </c:pt>
                <c:pt idx="1">
                  <c:v>0.70622449443178548</c:v>
                </c:pt>
                <c:pt idx="2">
                  <c:v>0.70481962303002677</c:v>
                </c:pt>
                <c:pt idx="3">
                  <c:v>0.70834362675319484</c:v>
                </c:pt>
                <c:pt idx="4">
                  <c:v>0.71736337581137066</c:v>
                </c:pt>
                <c:pt idx="5">
                  <c:v>0.73244574041463606</c:v>
                </c:pt>
                <c:pt idx="6">
                  <c:v>0.7541575907730711</c:v>
                </c:pt>
                <c:pt idx="7">
                  <c:v>0.78306579709675994</c:v>
                </c:pt>
                <c:pt idx="8">
                  <c:v>0.81973722959578277</c:v>
                </c:pt>
                <c:pt idx="9">
                  <c:v>0.86473875848022108</c:v>
                </c:pt>
                <c:pt idx="10">
                  <c:v>0.9186372539601565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6412-44AB-9946-BD3AA8BEC172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3.3</c:v>
                </c:pt>
                <c:pt idx="1">
                  <c:v>3.3039464379678809</c:v>
                </c:pt>
                <c:pt idx="2">
                  <c:v>3.3079768702927868</c:v>
                </c:pt>
                <c:pt idx="3">
                  <c:v>3.3121752913317408</c:v>
                </c:pt>
                <c:pt idx="4">
                  <c:v>3.3166256954417679</c:v>
                </c:pt>
                <c:pt idx="5">
                  <c:v>3.3214120769798923</c:v>
                </c:pt>
                <c:pt idx="6">
                  <c:v>3.3266184303031383</c:v>
                </c:pt>
                <c:pt idx="7">
                  <c:v>3.3323287497685303</c:v>
                </c:pt>
                <c:pt idx="8">
                  <c:v>3.3386270297330927</c:v>
                </c:pt>
                <c:pt idx="9">
                  <c:v>3.3455972645538492</c:v>
                </c:pt>
                <c:pt idx="10">
                  <c:v>3.3533234485878247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3.6</c:v>
                </c:pt>
                <c:pt idx="1">
                  <c:v>3.512478759902844</c:v>
                </c:pt>
                <c:pt idx="2">
                  <c:v>3.4249657825515523</c:v>
                </c:pt>
                <c:pt idx="3">
                  <c:v>3.3374693306919894</c:v>
                </c:pt>
                <c:pt idx="4">
                  <c:v>3.2499976670700206</c:v>
                </c:pt>
                <c:pt idx="5">
                  <c:v>3.1625590544315094</c:v>
                </c:pt>
                <c:pt idx="6">
                  <c:v>3.0751617555223216</c:v>
                </c:pt>
                <c:pt idx="7">
                  <c:v>2.9878140330883203</c:v>
                </c:pt>
                <c:pt idx="8">
                  <c:v>2.9005241498753715</c:v>
                </c:pt>
                <c:pt idx="9">
                  <c:v>2.8133003686293385</c:v>
                </c:pt>
                <c:pt idx="10">
                  <c:v>2.7261509520960865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6412-44AB-9946-BD3AA8BEC172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4.5</c:v>
                </c:pt>
                <c:pt idx="1">
                  <c:v>4.4859910410662014</c:v>
                </c:pt>
                <c:pt idx="2">
                  <c:v>4.4720648918888166</c:v>
                </c:pt>
                <c:pt idx="3">
                  <c:v>4.4583043622242569</c:v>
                </c:pt>
                <c:pt idx="4">
                  <c:v>4.4447922618289351</c:v>
                </c:pt>
                <c:pt idx="5">
                  <c:v>4.431611400459265</c:v>
                </c:pt>
                <c:pt idx="6">
                  <c:v>4.4188445878716589</c:v>
                </c:pt>
                <c:pt idx="7">
                  <c:v>4.4065746338225305</c:v>
                </c:pt>
                <c:pt idx="8">
                  <c:v>4.3948843480682909</c:v>
                </c:pt>
                <c:pt idx="9">
                  <c:v>4.3838565403653531</c:v>
                </c:pt>
                <c:pt idx="10">
                  <c:v>4.3735740204701319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3.6</c:v>
                </c:pt>
                <c:pt idx="1">
                  <c:v>3.5149893302514235</c:v>
                </c:pt>
                <c:pt idx="2">
                  <c:v>3.4299695584045882</c:v>
                </c:pt>
                <c:pt idx="3">
                  <c:v>3.3449315823612373</c:v>
                </c:pt>
                <c:pt idx="4">
                  <c:v>3.2598663000231123</c:v>
                </c:pt>
                <c:pt idx="5">
                  <c:v>3.1747646092919557</c:v>
                </c:pt>
                <c:pt idx="6">
                  <c:v>3.0896174080695098</c:v>
                </c:pt>
                <c:pt idx="7">
                  <c:v>3.0044155942575159</c:v>
                </c:pt>
                <c:pt idx="8">
                  <c:v>2.9191500657577163</c:v>
                </c:pt>
                <c:pt idx="9">
                  <c:v>2.8338117204718536</c:v>
                </c:pt>
                <c:pt idx="10">
                  <c:v>2.7483914563016691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6412-44AB-9946-BD3AA8BEC172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2.5508134930574209</c:v>
                </c:pt>
                <c:pt idx="1">
                  <c:v>2.6857340054747252</c:v>
                </c:pt>
                <c:pt idx="2">
                  <c:v>2.8206546599947555</c:v>
                </c:pt>
                <c:pt idx="3">
                  <c:v>2.9555753912438525</c:v>
                </c:pt>
                <c:pt idx="4">
                  <c:v>3.0904961338483559</c:v>
                </c:pt>
                <c:pt idx="5">
                  <c:v>3.2254168224346063</c:v>
                </c:pt>
                <c:pt idx="6">
                  <c:v>3.3603373916289443</c:v>
                </c:pt>
                <c:pt idx="7">
                  <c:v>3.4952577760577093</c:v>
                </c:pt>
                <c:pt idx="8">
                  <c:v>3.6301779103472422</c:v>
                </c:pt>
                <c:pt idx="9">
                  <c:v>3.765097729123883</c:v>
                </c:pt>
                <c:pt idx="10">
                  <c:v>3.9000171670139721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0.88190633857777279</c:v>
                </c:pt>
                <c:pt idx="1">
                  <c:v>0.86372178847950132</c:v>
                </c:pt>
                <c:pt idx="2">
                  <c:v>0.84436819824464926</c:v>
                </c:pt>
                <c:pt idx="3">
                  <c:v>0.82438337903404524</c:v>
                </c:pt>
                <c:pt idx="4">
                  <c:v>0.80430514200851844</c:v>
                </c:pt>
                <c:pt idx="5">
                  <c:v>0.78467129832889715</c:v>
                </c:pt>
                <c:pt idx="6">
                  <c:v>0.76601965915601122</c:v>
                </c:pt>
                <c:pt idx="7">
                  <c:v>0.7488880356506884</c:v>
                </c:pt>
                <c:pt idx="8">
                  <c:v>0.73381423897375742</c:v>
                </c:pt>
                <c:pt idx="9">
                  <c:v>0.72133608028604757</c:v>
                </c:pt>
                <c:pt idx="10">
                  <c:v>0.71199137074838781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6412-44AB-9946-BD3AA8BEC172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5.2717978921260542</c:v>
                </c:pt>
                <c:pt idx="1">
                  <c:v>5.6146139252056262</c:v>
                </c:pt>
                <c:pt idx="2">
                  <c:v>5.9574274133801373</c:v>
                </c:pt>
                <c:pt idx="3">
                  <c:v>6.3002386394168175</c:v>
                </c:pt>
                <c:pt idx="4">
                  <c:v>6.6430478860828952</c:v>
                </c:pt>
                <c:pt idx="5">
                  <c:v>6.9858554361455996</c:v>
                </c:pt>
                <c:pt idx="6">
                  <c:v>7.3286615723721598</c:v>
                </c:pt>
                <c:pt idx="7">
                  <c:v>7.6714665775298041</c:v>
                </c:pt>
                <c:pt idx="8">
                  <c:v>8.0142707343857609</c:v>
                </c:pt>
                <c:pt idx="9">
                  <c:v>8.3570743257072611</c:v>
                </c:pt>
                <c:pt idx="10">
                  <c:v>8.6998776342615312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0.91863725396015683</c:v>
                </c:pt>
                <c:pt idx="1">
                  <c:v>1.0935551463674138</c:v>
                </c:pt>
                <c:pt idx="2">
                  <c:v>1.3216715479418923</c:v>
                </c:pt>
                <c:pt idx="3">
                  <c:v>1.5970755132205698</c:v>
                </c:pt>
                <c:pt idx="4">
                  <c:v>1.9138560967404201</c:v>
                </c:pt>
                <c:pt idx="5">
                  <c:v>2.2661023530384181</c:v>
                </c:pt>
                <c:pt idx="6">
                  <c:v>2.6479033366515399</c:v>
                </c:pt>
                <c:pt idx="7">
                  <c:v>3.0533481021167619</c:v>
                </c:pt>
                <c:pt idx="8">
                  <c:v>3.4765257039710544</c:v>
                </c:pt>
                <c:pt idx="9">
                  <c:v>3.9115251967513966</c:v>
                </c:pt>
                <c:pt idx="10">
                  <c:v>4.3524356349947695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6412-44AB-9946-BD3AA8BEC172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3.3533234485878256</c:v>
                </c:pt>
                <c:pt idx="1">
                  <c:v>3.403161302749965</c:v>
                </c:pt>
                <c:pt idx="2">
                  <c:v>3.4544979378399585</c:v>
                </c:pt>
                <c:pt idx="3">
                  <c:v>3.5071704209968844</c:v>
                </c:pt>
                <c:pt idx="4">
                  <c:v>3.5610158193598194</c:v>
                </c:pt>
                <c:pt idx="5">
                  <c:v>3.6158712000678421</c:v>
                </c:pt>
                <c:pt idx="6">
                  <c:v>3.671573630260029</c:v>
                </c:pt>
                <c:pt idx="7">
                  <c:v>3.7279601770754582</c:v>
                </c:pt>
                <c:pt idx="8">
                  <c:v>3.784867907653207</c:v>
                </c:pt>
                <c:pt idx="9">
                  <c:v>3.8421338891323535</c:v>
                </c:pt>
                <c:pt idx="10">
                  <c:v>3.8995951886519746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2.726150952096086</c:v>
                </c:pt>
                <c:pt idx="1">
                  <c:v>2.2430477473835069</c:v>
                </c:pt>
                <c:pt idx="2">
                  <c:v>1.7601041709859557</c:v>
                </c:pt>
                <c:pt idx="3">
                  <c:v>1.2773028696681672</c:v>
                </c:pt>
                <c:pt idx="4">
                  <c:v>0.79462649019487674</c:v>
                </c:pt>
                <c:pt idx="5">
                  <c:v>0.31205767933081924</c:v>
                </c:pt>
                <c:pt idx="6">
                  <c:v>-0.17042091615927032</c:v>
                </c:pt>
                <c:pt idx="7">
                  <c:v>-0.65282664951065683</c:v>
                </c:pt>
                <c:pt idx="8">
                  <c:v>-1.1351768739586054</c:v>
                </c:pt>
                <c:pt idx="9">
                  <c:v>-1.617488942738381</c:v>
                </c:pt>
                <c:pt idx="10">
                  <c:v>-2.0997802090852487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6412-44AB-9946-BD3AA8BEC172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4.3735740204701354</c:v>
                </c:pt>
                <c:pt idx="1">
                  <c:v>4.321107894365718</c:v>
                </c:pt>
                <c:pt idx="2">
                  <c:v>4.2702559865856093</c:v>
                </c:pt>
                <c:pt idx="3">
                  <c:v>4.2208353188350776</c:v>
                </c:pt>
                <c:pt idx="4">
                  <c:v>4.1726629128193888</c:v>
                </c:pt>
                <c:pt idx="5">
                  <c:v>4.1255557902438129</c:v>
                </c:pt>
                <c:pt idx="6">
                  <c:v>4.0793309728136151</c:v>
                </c:pt>
                <c:pt idx="7">
                  <c:v>4.0338054822340643</c:v>
                </c:pt>
                <c:pt idx="8">
                  <c:v>3.9887963402104289</c:v>
                </c:pt>
                <c:pt idx="9">
                  <c:v>3.9441205684479756</c:v>
                </c:pt>
                <c:pt idx="10">
                  <c:v>3.899595188651972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2.7483914563016709</c:v>
                </c:pt>
                <c:pt idx="1">
                  <c:v>2.2641036267493284</c:v>
                </c:pt>
                <c:pt idx="2">
                  <c:v>1.779647205147207</c:v>
                </c:pt>
                <c:pt idx="3">
                  <c:v>1.2950413020984444</c:v>
                </c:pt>
                <c:pt idx="4">
                  <c:v>0.81030502820617867</c:v>
                </c:pt>
                <c:pt idx="5">
                  <c:v>0.32545749407354807</c:v>
                </c:pt>
                <c:pt idx="6">
                  <c:v>-0.15948218969630951</c:v>
                </c:pt>
                <c:pt idx="7">
                  <c:v>-0.64449491250025603</c:v>
                </c:pt>
                <c:pt idx="8">
                  <c:v>-1.1295615637351533</c:v>
                </c:pt>
                <c:pt idx="9">
                  <c:v>-1.6146630327978635</c:v>
                </c:pt>
                <c:pt idx="10">
                  <c:v>-2.0997802090852487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6412-44AB-9946-BD3AA8BEC172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3.3533234485878256</c:v>
                </c:pt>
                <c:pt idx="1">
                  <c:v>3.2700084885170302</c:v>
                </c:pt>
                <c:pt idx="2">
                  <c:v>3.188554268910925</c:v>
                </c:pt>
                <c:pt idx="3">
                  <c:v>3.1085183424717302</c:v>
                </c:pt>
                <c:pt idx="4">
                  <c:v>3.0294582619016666</c:v>
                </c:pt>
                <c:pt idx="5">
                  <c:v>2.9509315799029561</c:v>
                </c:pt>
                <c:pt idx="6">
                  <c:v>2.8724958491778185</c:v>
                </c:pt>
                <c:pt idx="7">
                  <c:v>2.7937086224284755</c:v>
                </c:pt>
                <c:pt idx="8">
                  <c:v>2.7141274523571473</c:v>
                </c:pt>
                <c:pt idx="9">
                  <c:v>2.6333098916660549</c:v>
                </c:pt>
                <c:pt idx="10">
                  <c:v>2.5508134930574196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2.726150952096086</c:v>
                </c:pt>
                <c:pt idx="1">
                  <c:v>2.5431246354181956</c:v>
                </c:pt>
                <c:pt idx="2">
                  <c:v>2.3592492278467203</c:v>
                </c:pt>
                <c:pt idx="3">
                  <c:v>2.1747266264105929</c:v>
                </c:pt>
                <c:pt idx="4">
                  <c:v>1.9897587281387459</c:v>
                </c:pt>
                <c:pt idx="5">
                  <c:v>1.8045474300601116</c:v>
                </c:pt>
                <c:pt idx="6">
                  <c:v>1.619294629203623</c:v>
                </c:pt>
                <c:pt idx="7">
                  <c:v>1.4342022225982123</c:v>
                </c:pt>
                <c:pt idx="8">
                  <c:v>1.2494721072728121</c:v>
                </c:pt>
                <c:pt idx="9">
                  <c:v>1.0653061802563546</c:v>
                </c:pt>
                <c:pt idx="10">
                  <c:v>0.88190633857777267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6412-44AB-9946-BD3AA8BEC172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4.3735740204701354</c:v>
                </c:pt>
                <c:pt idx="1">
                  <c:v>4.4602151932750109</c:v>
                </c:pt>
                <c:pt idx="2">
                  <c:v>4.5487689505669096</c:v>
                </c:pt>
                <c:pt idx="3">
                  <c:v>4.6387831743599239</c:v>
                </c:pt>
                <c:pt idx="4">
                  <c:v>4.7298057466681467</c:v>
                </c:pt>
                <c:pt idx="5">
                  <c:v>4.8213845495056704</c:v>
                </c:pt>
                <c:pt idx="6">
                  <c:v>4.9130674648865886</c:v>
                </c:pt>
                <c:pt idx="7">
                  <c:v>5.0044023748249931</c:v>
                </c:pt>
                <c:pt idx="8">
                  <c:v>5.0949371613349763</c:v>
                </c:pt>
                <c:pt idx="9">
                  <c:v>5.1842197064306319</c:v>
                </c:pt>
                <c:pt idx="10">
                  <c:v>5.2717978921260524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2.7483914563016709</c:v>
                </c:pt>
                <c:pt idx="1">
                  <c:v>2.5639232667930711</c:v>
                </c:pt>
                <c:pt idx="2">
                  <c:v>2.3803525481975516</c:v>
                </c:pt>
                <c:pt idx="3">
                  <c:v>2.1974671463622437</c:v>
                </c:pt>
                <c:pt idx="4">
                  <c:v>2.0150549071342807</c:v>
                </c:pt>
                <c:pt idx="5">
                  <c:v>1.8329036763607947</c:v>
                </c:pt>
                <c:pt idx="6">
                  <c:v>1.6508012998889181</c:v>
                </c:pt>
                <c:pt idx="7">
                  <c:v>1.4685356235657836</c:v>
                </c:pt>
                <c:pt idx="8">
                  <c:v>1.2858944932385235</c:v>
                </c:pt>
                <c:pt idx="9">
                  <c:v>1.1026657547542704</c:v>
                </c:pt>
                <c:pt idx="10">
                  <c:v>0.9186372539601565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6412-44AB-9946-BD3AA8BEC172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-6.45</c:v>
                </c:pt>
                <c:pt idx="1">
                  <c:v>-6.3900000000000006</c:v>
                </c:pt>
                <c:pt idx="2">
                  <c:v>-6.33</c:v>
                </c:pt>
                <c:pt idx="3">
                  <c:v>-6.27</c:v>
                </c:pt>
                <c:pt idx="4">
                  <c:v>-6.2099999999999991</c:v>
                </c:pt>
                <c:pt idx="5">
                  <c:v>-6.1499999999999986</c:v>
                </c:pt>
                <c:pt idx="6">
                  <c:v>-6.0899999999999981</c:v>
                </c:pt>
                <c:pt idx="7">
                  <c:v>-6.0299999999999976</c:v>
                </c:pt>
                <c:pt idx="8">
                  <c:v>-5.9699999999999971</c:v>
                </c:pt>
                <c:pt idx="9">
                  <c:v>-5.9099999999999966</c:v>
                </c:pt>
                <c:pt idx="10">
                  <c:v>-5.8499999999999961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6412-44AB-9946-BD3AA8BEC172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-5.85</c:v>
                </c:pt>
                <c:pt idx="1">
                  <c:v>-5.6999999999999993</c:v>
                </c:pt>
                <c:pt idx="2">
                  <c:v>-5.5499999999999989</c:v>
                </c:pt>
                <c:pt idx="3">
                  <c:v>-5.3999999999999986</c:v>
                </c:pt>
                <c:pt idx="4">
                  <c:v>-5.2499999999999982</c:v>
                </c:pt>
                <c:pt idx="5">
                  <c:v>-5.0999999999999979</c:v>
                </c:pt>
                <c:pt idx="6">
                  <c:v>-4.9499999999999975</c:v>
                </c:pt>
                <c:pt idx="7">
                  <c:v>-4.7999999999999972</c:v>
                </c:pt>
                <c:pt idx="8">
                  <c:v>-4.6499999999999968</c:v>
                </c:pt>
                <c:pt idx="9">
                  <c:v>-4.4999999999999964</c:v>
                </c:pt>
                <c:pt idx="10">
                  <c:v>-4.3499999999999961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6412-44AB-9946-BD3AA8BEC172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-4.3499999999999996</c:v>
                </c:pt>
                <c:pt idx="1">
                  <c:v>-4.29</c:v>
                </c:pt>
                <c:pt idx="2">
                  <c:v>-4.2300000000000004</c:v>
                </c:pt>
                <c:pt idx="3">
                  <c:v>-4.1700000000000008</c:v>
                </c:pt>
                <c:pt idx="4">
                  <c:v>-4.1100000000000012</c:v>
                </c:pt>
                <c:pt idx="5">
                  <c:v>-4.0500000000000016</c:v>
                </c:pt>
                <c:pt idx="6">
                  <c:v>-3.9900000000000015</c:v>
                </c:pt>
                <c:pt idx="7">
                  <c:v>-3.9300000000000015</c:v>
                </c:pt>
                <c:pt idx="8">
                  <c:v>-3.8700000000000014</c:v>
                </c:pt>
                <c:pt idx="9">
                  <c:v>-3.8100000000000014</c:v>
                </c:pt>
                <c:pt idx="10">
                  <c:v>-3.7500000000000013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6412-44AB-9946-BD3AA8BEC172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-5.55</c:v>
                </c:pt>
                <c:pt idx="1">
                  <c:v>-5.58</c:v>
                </c:pt>
                <c:pt idx="2">
                  <c:v>-5.61</c:v>
                </c:pt>
                <c:pt idx="3">
                  <c:v>-5.6400000000000006</c:v>
                </c:pt>
                <c:pt idx="4">
                  <c:v>-5.6700000000000008</c:v>
                </c:pt>
                <c:pt idx="5">
                  <c:v>-5.7000000000000011</c:v>
                </c:pt>
                <c:pt idx="6">
                  <c:v>-5.7300000000000013</c:v>
                </c:pt>
                <c:pt idx="7">
                  <c:v>-5.7600000000000016</c:v>
                </c:pt>
                <c:pt idx="8">
                  <c:v>-5.7900000000000018</c:v>
                </c:pt>
                <c:pt idx="9">
                  <c:v>-5.8200000000000021</c:v>
                </c:pt>
                <c:pt idx="10">
                  <c:v>-5.8500000000000023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6412-44AB-9946-BD3AA8BEC172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-4.6500000000000004</c:v>
                </c:pt>
                <c:pt idx="1">
                  <c:v>-4.62</c:v>
                </c:pt>
                <c:pt idx="2">
                  <c:v>-4.59</c:v>
                </c:pt>
                <c:pt idx="3">
                  <c:v>-4.5599999999999996</c:v>
                </c:pt>
                <c:pt idx="4">
                  <c:v>-4.5299999999999994</c:v>
                </c:pt>
                <c:pt idx="5">
                  <c:v>-4.4999999999999991</c:v>
                </c:pt>
                <c:pt idx="6">
                  <c:v>-4.4699999999999989</c:v>
                </c:pt>
                <c:pt idx="7">
                  <c:v>-4.4399999999999986</c:v>
                </c:pt>
                <c:pt idx="8">
                  <c:v>-4.4099999999999984</c:v>
                </c:pt>
                <c:pt idx="9">
                  <c:v>-4.3799999999999981</c:v>
                </c:pt>
                <c:pt idx="10">
                  <c:v>-4.3499999999999979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6412-44AB-9946-BD3AA8BEC172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8.6998776342615347</c:v>
                </c:pt>
                <c:pt idx="1">
                  <c:v>9.0448776342615353</c:v>
                </c:pt>
                <c:pt idx="2">
                  <c:v>9.389877634261536</c:v>
                </c:pt>
                <c:pt idx="3">
                  <c:v>9.7348776342615366</c:v>
                </c:pt>
                <c:pt idx="4">
                  <c:v>10.079877634261537</c:v>
                </c:pt>
                <c:pt idx="5">
                  <c:v>10.424877634261538</c:v>
                </c:pt>
                <c:pt idx="6">
                  <c:v>10.769877634261539</c:v>
                </c:pt>
                <c:pt idx="7">
                  <c:v>11.114877634261539</c:v>
                </c:pt>
                <c:pt idx="8">
                  <c:v>11.45987763426154</c:v>
                </c:pt>
                <c:pt idx="9">
                  <c:v>11.80487763426154</c:v>
                </c:pt>
                <c:pt idx="10">
                  <c:v>12.149877634261541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4.3524356349947695</c:v>
                </c:pt>
                <c:pt idx="1">
                  <c:v>4.2557629172523805</c:v>
                </c:pt>
                <c:pt idx="2">
                  <c:v>3.9933655405230497</c:v>
                </c:pt>
                <c:pt idx="3">
                  <c:v>3.6066746695534939</c:v>
                </c:pt>
                <c:pt idx="4">
                  <c:v>3.1371214690904723</c:v>
                </c:pt>
                <c:pt idx="5">
                  <c:v>2.6261371038807235</c:v>
                </c:pt>
                <c:pt idx="6">
                  <c:v>2.1151527386709641</c:v>
                </c:pt>
                <c:pt idx="7">
                  <c:v>1.6455995382079396</c:v>
                </c:pt>
                <c:pt idx="8">
                  <c:v>1.2589086672383933</c:v>
                </c:pt>
                <c:pt idx="9">
                  <c:v>0.99651129050905785</c:v>
                </c:pt>
                <c:pt idx="10">
                  <c:v>0.89983857276667101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6412-44AB-9946-BD3AA8BEC172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3.3533234485878256</c:v>
                </c:pt>
                <c:pt idx="1">
                  <c:v>3.4553613335728781</c:v>
                </c:pt>
                <c:pt idx="2">
                  <c:v>3.5573904585520486</c:v>
                </c:pt>
                <c:pt idx="3">
                  <c:v>3.6594130395444751</c:v>
                </c:pt>
                <c:pt idx="4">
                  <c:v>3.7614312925692936</c:v>
                </c:pt>
                <c:pt idx="5">
                  <c:v>3.8634474336456419</c:v>
                </c:pt>
                <c:pt idx="6">
                  <c:v>3.9654636787926578</c:v>
                </c:pt>
                <c:pt idx="7">
                  <c:v>4.0674822440294776</c:v>
                </c:pt>
                <c:pt idx="8">
                  <c:v>4.1695053453752386</c:v>
                </c:pt>
                <c:pt idx="9">
                  <c:v>4.2715351988490777</c:v>
                </c:pt>
                <c:pt idx="10">
                  <c:v>4.3735740204701337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2.726150952096086</c:v>
                </c:pt>
                <c:pt idx="1">
                  <c:v>2.7275303406058069</c:v>
                </c:pt>
                <c:pt idx="2">
                  <c:v>2.7294865423758199</c:v>
                </c:pt>
                <c:pt idx="3">
                  <c:v>2.7318736409260844</c:v>
                </c:pt>
                <c:pt idx="4">
                  <c:v>2.7345457197765617</c:v>
                </c:pt>
                <c:pt idx="5">
                  <c:v>2.737356862447212</c:v>
                </c:pt>
                <c:pt idx="6">
                  <c:v>2.7401611524579956</c:v>
                </c:pt>
                <c:pt idx="7">
                  <c:v>2.7428126733288729</c:v>
                </c:pt>
                <c:pt idx="8">
                  <c:v>2.7451655085798046</c:v>
                </c:pt>
                <c:pt idx="9">
                  <c:v>2.7470737417307514</c:v>
                </c:pt>
                <c:pt idx="10">
                  <c:v>2.7483914563016727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6412-44AB-9946-BD3AA8BEC172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12.149877634261536</c:v>
                </c:pt>
                <c:pt idx="1">
                  <c:v>12.494959335780639</c:v>
                </c:pt>
                <c:pt idx="2">
                  <c:v>12.840041037266962</c:v>
                </c:pt>
                <c:pt idx="3">
                  <c:v>13.185122738687735</c:v>
                </c:pt>
                <c:pt idx="4">
                  <c:v>13.530204440010175</c:v>
                </c:pt>
                <c:pt idx="5">
                  <c:v>13.875286141201508</c:v>
                </c:pt>
                <c:pt idx="6">
                  <c:v>14.220367842228958</c:v>
                </c:pt>
                <c:pt idx="7">
                  <c:v>14.565449543059746</c:v>
                </c:pt>
                <c:pt idx="8">
                  <c:v>14.910531243661096</c:v>
                </c:pt>
                <c:pt idx="9">
                  <c:v>15.25561294400023</c:v>
                </c:pt>
                <c:pt idx="10">
                  <c:v>15.600694644044372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0.89983857276667101</c:v>
                </c:pt>
                <c:pt idx="1">
                  <c:v>0.89985413706054029</c:v>
                </c:pt>
                <c:pt idx="2">
                  <c:v>0.89986901167774602</c:v>
                </c:pt>
                <c:pt idx="3">
                  <c:v>0.89988250694162475</c:v>
                </c:pt>
                <c:pt idx="4">
                  <c:v>0.89989393317551303</c:v>
                </c:pt>
                <c:pt idx="5">
                  <c:v>0.8999026007027473</c:v>
                </c:pt>
                <c:pt idx="6">
                  <c:v>0.89990781984666413</c:v>
                </c:pt>
                <c:pt idx="7">
                  <c:v>0.89990890093060005</c:v>
                </c:pt>
                <c:pt idx="8">
                  <c:v>0.89990515427789153</c:v>
                </c:pt>
                <c:pt idx="9">
                  <c:v>0.8998958902118751</c:v>
                </c:pt>
                <c:pt idx="10">
                  <c:v>0.89988041905588723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6412-44AB-9946-BD3AA8BEC172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12.149877634261536</c:v>
                </c:pt>
                <c:pt idx="1">
                  <c:v>12.629882247217983</c:v>
                </c:pt>
                <c:pt idx="2">
                  <c:v>13.109891992066036</c:v>
                </c:pt>
                <c:pt idx="3">
                  <c:v>13.58990558583279</c:v>
                </c:pt>
                <c:pt idx="4">
                  <c:v>14.069921745545349</c:v>
                </c:pt>
                <c:pt idx="5">
                  <c:v>14.549939188230807</c:v>
                </c:pt>
                <c:pt idx="6">
                  <c:v>15.029956630916265</c:v>
                </c:pt>
                <c:pt idx="7">
                  <c:v>15.509972790628824</c:v>
                </c:pt>
                <c:pt idx="8">
                  <c:v>15.989986384395579</c:v>
                </c:pt>
                <c:pt idx="9">
                  <c:v>16.469996129243629</c:v>
                </c:pt>
                <c:pt idx="10">
                  <c:v>16.950000742200078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0.89983857276667101</c:v>
                </c:pt>
                <c:pt idx="1">
                  <c:v>0.59984241293773233</c:v>
                </c:pt>
                <c:pt idx="2">
                  <c:v>0.29985446413707167</c:v>
                </c:pt>
                <c:pt idx="3">
                  <c:v>-1.2732639238040663E-4</c:v>
                </c:pt>
                <c:pt idx="4">
                  <c:v>-0.30010501140769341</c:v>
                </c:pt>
                <c:pt idx="5">
                  <c:v>-0.60008064366593694</c:v>
                </c:pt>
                <c:pt idx="6">
                  <c:v>-0.90005627592418047</c:v>
                </c:pt>
                <c:pt idx="7">
                  <c:v>-1.2000339609394934</c:v>
                </c:pt>
                <c:pt idx="8">
                  <c:v>-1.5000157514689454</c:v>
                </c:pt>
                <c:pt idx="9">
                  <c:v>-1.8000037002696061</c:v>
                </c:pt>
                <c:pt idx="10">
                  <c:v>-2.0999998600985452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6412-44AB-9946-BD3AA8BEC172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21.749877634170446</c:v>
                </c:pt>
                <c:pt idx="1">
                  <c:v>21.269882262882859</c:v>
                </c:pt>
                <c:pt idx="2">
                  <c:v>20.789892012988975</c:v>
                </c:pt>
                <c:pt idx="3">
                  <c:v>20.309905604140365</c:v>
                </c:pt>
                <c:pt idx="4">
                  <c:v>19.829921755988604</c:v>
                </c:pt>
                <c:pt idx="5">
                  <c:v>19.349939188185267</c:v>
                </c:pt>
                <c:pt idx="6">
                  <c:v>18.869956620381931</c:v>
                </c:pt>
                <c:pt idx="7">
                  <c:v>18.38997277223017</c:v>
                </c:pt>
                <c:pt idx="8">
                  <c:v>17.909986363381559</c:v>
                </c:pt>
                <c:pt idx="9">
                  <c:v>17.429996113487672</c:v>
                </c:pt>
                <c:pt idx="10">
                  <c:v>16.950000742200086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0.90016122028250023</c:v>
                </c:pt>
                <c:pt idx="1">
                  <c:v>0.6001574035867151</c:v>
                </c:pt>
                <c:pt idx="2">
                  <c:v>0.30014539266271706</c:v>
                </c:pt>
                <c:pt idx="3">
                  <c:v>1.2723606755933494E-4</c:v>
                </c:pt>
                <c:pt idx="4">
                  <c:v>-0.2998950176417049</c:v>
                </c:pt>
                <c:pt idx="5">
                  <c:v>-0.59991931990802227</c:v>
                </c:pt>
                <c:pt idx="6">
                  <c:v>-0.89994362217433976</c:v>
                </c:pt>
                <c:pt idx="7">
                  <c:v>-1.1999658758836038</c:v>
                </c:pt>
                <c:pt idx="8">
                  <c:v>-1.4999840324787617</c:v>
                </c:pt>
                <c:pt idx="9">
                  <c:v>-1.7999960434027598</c:v>
                </c:pt>
                <c:pt idx="10">
                  <c:v>-2.0999998600985452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6412-44AB-9946-BD3AA8BEC172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16.9498786494683</c:v>
                </c:pt>
                <c:pt idx="1">
                  <c:v>17.087054148712333</c:v>
                </c:pt>
                <c:pt idx="2">
                  <c:v>17.224229647968972</c:v>
                </c:pt>
                <c:pt idx="3">
                  <c:v>17.361405147251396</c:v>
                </c:pt>
                <c:pt idx="4">
                  <c:v>17.498580646572783</c:v>
                </c:pt>
                <c:pt idx="5">
                  <c:v>17.635756145946321</c:v>
                </c:pt>
                <c:pt idx="6">
                  <c:v>17.772931645385189</c:v>
                </c:pt>
                <c:pt idx="7">
                  <c:v>17.910107144902565</c:v>
                </c:pt>
                <c:pt idx="8">
                  <c:v>18.047282644511636</c:v>
                </c:pt>
                <c:pt idx="9">
                  <c:v>18.18445814422558</c:v>
                </c:pt>
                <c:pt idx="10">
                  <c:v>18.321633644057584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0.89999979789398332</c:v>
                </c:pt>
                <c:pt idx="1">
                  <c:v>0.89997707472302801</c:v>
                </c:pt>
                <c:pt idx="2">
                  <c:v>0.8999544569651311</c:v>
                </c:pt>
                <c:pt idx="3">
                  <c:v>0.89993205487722638</c:v>
                </c:pt>
                <c:pt idx="4">
                  <c:v>0.89990997871624778</c:v>
                </c:pt>
                <c:pt idx="5">
                  <c:v>0.89988833873912921</c:v>
                </c:pt>
                <c:pt idx="6">
                  <c:v>0.89986724520280448</c:v>
                </c:pt>
                <c:pt idx="7">
                  <c:v>0.8998468083642075</c:v>
                </c:pt>
                <c:pt idx="8">
                  <c:v>0.89982713848027218</c:v>
                </c:pt>
                <c:pt idx="9">
                  <c:v>0.89980834580793223</c:v>
                </c:pt>
                <c:pt idx="10">
                  <c:v>0.89979054060412178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6412-44AB-9946-BD3AA8BEC172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16.350000000000001</c:v>
                </c:pt>
                <c:pt idx="1">
                  <c:v>16.358562438822148</c:v>
                </c:pt>
                <c:pt idx="2">
                  <c:v>16.367124908153912</c:v>
                </c:pt>
                <c:pt idx="3">
                  <c:v>16.375687438504915</c:v>
                </c:pt>
                <c:pt idx="4">
                  <c:v>16.38425006038478</c:v>
                </c:pt>
                <c:pt idx="5">
                  <c:v>16.392812804303126</c:v>
                </c:pt>
                <c:pt idx="6">
                  <c:v>16.40137570076957</c:v>
                </c:pt>
                <c:pt idx="7">
                  <c:v>16.409938780293732</c:v>
                </c:pt>
                <c:pt idx="8">
                  <c:v>16.418502073385234</c:v>
                </c:pt>
                <c:pt idx="9">
                  <c:v>16.427065610553694</c:v>
                </c:pt>
                <c:pt idx="10">
                  <c:v>16.435629422308736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3.6</c:v>
                </c:pt>
                <c:pt idx="1">
                  <c:v>3.5129328480501969</c:v>
                </c:pt>
                <c:pt idx="2">
                  <c:v>3.4258656991017049</c:v>
                </c:pt>
                <c:pt idx="3">
                  <c:v>3.3387985561558366</c:v>
                </c:pt>
                <c:pt idx="4">
                  <c:v>3.2517314222139024</c:v>
                </c:pt>
                <c:pt idx="5">
                  <c:v>3.1646643002772148</c:v>
                </c:pt>
                <c:pt idx="6">
                  <c:v>3.0775971933470854</c:v>
                </c:pt>
                <c:pt idx="7">
                  <c:v>2.9905301044248249</c:v>
                </c:pt>
                <c:pt idx="8">
                  <c:v>2.9034630365117455</c:v>
                </c:pt>
                <c:pt idx="9">
                  <c:v>2.8163959926091588</c:v>
                </c:pt>
                <c:pt idx="10">
                  <c:v>2.7293289757183761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6412-44AB-9946-BD3AA8BEC172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17.549999</c:v>
                </c:pt>
                <c:pt idx="1">
                  <c:v>17.540596824617861</c:v>
                </c:pt>
                <c:pt idx="2">
                  <c:v>17.531194680211048</c:v>
                </c:pt>
                <c:pt idx="3">
                  <c:v>17.521792597754892</c:v>
                </c:pt>
                <c:pt idx="4">
                  <c:v>17.51239060822472</c:v>
                </c:pt>
                <c:pt idx="5">
                  <c:v>17.502988742595861</c:v>
                </c:pt>
                <c:pt idx="6">
                  <c:v>17.493587031843642</c:v>
                </c:pt>
                <c:pt idx="7">
                  <c:v>17.484185506943394</c:v>
                </c:pt>
                <c:pt idx="8">
                  <c:v>17.474784198870442</c:v>
                </c:pt>
                <c:pt idx="9">
                  <c:v>17.465383138600117</c:v>
                </c:pt>
                <c:pt idx="10">
                  <c:v>17.455982357107743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3.6</c:v>
                </c:pt>
                <c:pt idx="1">
                  <c:v>3.5144829830721034</c:v>
                </c:pt>
                <c:pt idx="2">
                  <c:v>3.4289659627395652</c:v>
                </c:pt>
                <c:pt idx="3">
                  <c:v>3.343448935597745</c:v>
                </c:pt>
                <c:pt idx="4">
                  <c:v>3.2579318982420027</c:v>
                </c:pt>
                <c:pt idx="5">
                  <c:v>3.1724148472676967</c:v>
                </c:pt>
                <c:pt idx="6">
                  <c:v>3.0868977792701862</c:v>
                </c:pt>
                <c:pt idx="7">
                  <c:v>3.0013806908448308</c:v>
                </c:pt>
                <c:pt idx="8">
                  <c:v>2.9158635785869893</c:v>
                </c:pt>
                <c:pt idx="9">
                  <c:v>2.8303464390920205</c:v>
                </c:pt>
                <c:pt idx="10">
                  <c:v>2.7448292689552845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6412-44AB-9946-BD3AA8BEC172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15.600694644044374</c:v>
                </c:pt>
                <c:pt idx="1">
                  <c:v>15.735613044220601</c:v>
                </c:pt>
                <c:pt idx="2">
                  <c:v>15.870531444512221</c:v>
                </c:pt>
                <c:pt idx="3">
                  <c:v>16.005449844906472</c:v>
                </c:pt>
                <c:pt idx="4">
                  <c:v>16.140368245390597</c:v>
                </c:pt>
                <c:pt idx="5">
                  <c:v>16.275286645951844</c:v>
                </c:pt>
                <c:pt idx="6">
                  <c:v>16.410205046577449</c:v>
                </c:pt>
                <c:pt idx="7">
                  <c:v>16.545123447254653</c:v>
                </c:pt>
                <c:pt idx="8">
                  <c:v>16.680041847970703</c:v>
                </c:pt>
                <c:pt idx="9">
                  <c:v>16.814960248712836</c:v>
                </c:pt>
                <c:pt idx="10">
                  <c:v>16.9498786494683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0.89988041905588745</c:v>
                </c:pt>
                <c:pt idx="1">
                  <c:v>0.89989536928672087</c:v>
                </c:pt>
                <c:pt idx="2">
                  <c:v>0.89990937022303463</c:v>
                </c:pt>
                <c:pt idx="3">
                  <c:v>0.89992252682135487</c:v>
                </c:pt>
                <c:pt idx="4">
                  <c:v>0.89993494403820795</c:v>
                </c:pt>
                <c:pt idx="5">
                  <c:v>0.89994672683012011</c:v>
                </c:pt>
                <c:pt idx="6">
                  <c:v>0.89995798015361739</c:v>
                </c:pt>
                <c:pt idx="7">
                  <c:v>0.89996880896522624</c:v>
                </c:pt>
                <c:pt idx="8">
                  <c:v>0.8999793182214727</c:v>
                </c:pt>
                <c:pt idx="9">
                  <c:v>0.89998961287888302</c:v>
                </c:pt>
                <c:pt idx="10">
                  <c:v>0.89999979789398354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6412-44AB-9946-BD3AA8BEC172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18.32163364405757</c:v>
                </c:pt>
                <c:pt idx="1">
                  <c:v>18.66445804400362</c:v>
                </c:pt>
                <c:pt idx="2">
                  <c:v>19.007282443654486</c:v>
                </c:pt>
                <c:pt idx="3">
                  <c:v>19.350106843042958</c:v>
                </c:pt>
                <c:pt idx="4">
                  <c:v>19.692931242201841</c:v>
                </c:pt>
                <c:pt idx="5">
                  <c:v>20.035755641163931</c:v>
                </c:pt>
                <c:pt idx="6">
                  <c:v>20.378580039962031</c:v>
                </c:pt>
                <c:pt idx="7">
                  <c:v>20.721404438628934</c:v>
                </c:pt>
                <c:pt idx="8">
                  <c:v>21.06422883719744</c:v>
                </c:pt>
                <c:pt idx="9">
                  <c:v>21.407053235700349</c:v>
                </c:pt>
                <c:pt idx="10">
                  <c:v>21.74987763417046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0.899790540604122</c:v>
                </c:pt>
                <c:pt idx="1">
                  <c:v>0.89980806837480787</c:v>
                </c:pt>
                <c:pt idx="2">
                  <c:v>0.89983176673406817</c:v>
                </c:pt>
                <c:pt idx="3">
                  <c:v>0.8998609500609499</c:v>
                </c:pt>
                <c:pt idx="4">
                  <c:v>0.89989493273450061</c:v>
                </c:pt>
                <c:pt idx="5">
                  <c:v>0.8999330291337676</c:v>
                </c:pt>
                <c:pt idx="6">
                  <c:v>0.89997455363779799</c:v>
                </c:pt>
                <c:pt idx="7">
                  <c:v>0.90001882062563909</c:v>
                </c:pt>
                <c:pt idx="8">
                  <c:v>0.90006514447633845</c:v>
                </c:pt>
                <c:pt idx="9">
                  <c:v>0.90011283956894306</c:v>
                </c:pt>
                <c:pt idx="10">
                  <c:v>0.90016122028250045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6412-44AB-9946-BD3AA8BEC172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16.435629422308725</c:v>
                </c:pt>
                <c:pt idx="1">
                  <c:v>16.487059879914984</c:v>
                </c:pt>
                <c:pt idx="2">
                  <c:v>16.538492442960816</c:v>
                </c:pt>
                <c:pt idx="3">
                  <c:v>16.589926878104958</c:v>
                </c:pt>
                <c:pt idx="4">
                  <c:v>16.641362952006137</c:v>
                </c:pt>
                <c:pt idx="5">
                  <c:v>16.692800431323089</c:v>
                </c:pt>
                <c:pt idx="6">
                  <c:v>16.744239082714543</c:v>
                </c:pt>
                <c:pt idx="7">
                  <c:v>16.795678672839237</c:v>
                </c:pt>
                <c:pt idx="8">
                  <c:v>16.8471189683559</c:v>
                </c:pt>
                <c:pt idx="9">
                  <c:v>16.898559735923268</c:v>
                </c:pt>
                <c:pt idx="10">
                  <c:v>16.950000742200068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2.7293289757183756</c:v>
                </c:pt>
                <c:pt idx="1">
                  <c:v>2.246395381277249</c:v>
                </c:pt>
                <c:pt idx="2">
                  <c:v>1.7634620110773158</c:v>
                </c:pt>
                <c:pt idx="3">
                  <c:v>1.2805288402664154</c:v>
                </c:pt>
                <c:pt idx="4">
                  <c:v>0.79759584399238603</c:v>
                </c:pt>
                <c:pt idx="5">
                  <c:v>0.31466299740306619</c:v>
                </c:pt>
                <c:pt idx="6">
                  <c:v>-0.16826972435370577</c:v>
                </c:pt>
                <c:pt idx="7">
                  <c:v>-0.6512023461300912</c:v>
                </c:pt>
                <c:pt idx="8">
                  <c:v>-1.134134892778252</c:v>
                </c:pt>
                <c:pt idx="9">
                  <c:v>-1.6170673891503493</c:v>
                </c:pt>
                <c:pt idx="10">
                  <c:v>-2.0999998600985452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6412-44AB-9946-BD3AA8BEC172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17.455982357107761</c:v>
                </c:pt>
                <c:pt idx="1">
                  <c:v>17.405377456130886</c:v>
                </c:pt>
                <c:pt idx="2">
                  <c:v>17.354774685687108</c:v>
                </c:pt>
                <c:pt idx="3">
                  <c:v>17.304173808450351</c:v>
                </c:pt>
                <c:pt idx="4">
                  <c:v>17.253574587094551</c:v>
                </c:pt>
                <c:pt idx="5">
                  <c:v>17.202976784293639</c:v>
                </c:pt>
                <c:pt idx="6">
                  <c:v>17.152380162721553</c:v>
                </c:pt>
                <c:pt idx="7">
                  <c:v>17.101784485052221</c:v>
                </c:pt>
                <c:pt idx="8">
                  <c:v>17.051189513959578</c:v>
                </c:pt>
                <c:pt idx="9">
                  <c:v>17.000595012117557</c:v>
                </c:pt>
                <c:pt idx="10">
                  <c:v>16.950000742200093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2.7448292689552862</c:v>
                </c:pt>
                <c:pt idx="1">
                  <c:v>2.2603470599333328</c:v>
                </c:pt>
                <c:pt idx="2">
                  <c:v>1.7758646283948682</c:v>
                </c:pt>
                <c:pt idx="3">
                  <c:v>1.2913819991266311</c:v>
                </c:pt>
                <c:pt idx="4">
                  <c:v>0.80689919691536083</c:v>
                </c:pt>
                <c:pt idx="5">
                  <c:v>0.32241624654779705</c:v>
                </c:pt>
                <c:pt idx="6">
                  <c:v>-0.16206682718932081</c:v>
                </c:pt>
                <c:pt idx="7">
                  <c:v>-0.6465499995092534</c:v>
                </c:pt>
                <c:pt idx="8">
                  <c:v>-1.1310332456252612</c:v>
                </c:pt>
                <c:pt idx="9">
                  <c:v>-1.6155165407506049</c:v>
                </c:pt>
                <c:pt idx="10">
                  <c:v>-2.0999998600985452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6412-44AB-9946-BD3AA8BEC172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16.435629422308725</c:v>
                </c:pt>
                <c:pt idx="1">
                  <c:v>16.352141501091985</c:v>
                </c:pt>
                <c:pt idx="2">
                  <c:v>16.268649438079809</c:v>
                </c:pt>
                <c:pt idx="3">
                  <c:v>16.185154323394677</c:v>
                </c:pt>
                <c:pt idx="4">
                  <c:v>16.101657247159068</c:v>
                </c:pt>
                <c:pt idx="5">
                  <c:v>16.018159299495469</c:v>
                </c:pt>
                <c:pt idx="6">
                  <c:v>15.934661570526355</c:v>
                </c:pt>
                <c:pt idx="7">
                  <c:v>15.851165150374207</c:v>
                </c:pt>
                <c:pt idx="8">
                  <c:v>15.767671129161508</c:v>
                </c:pt>
                <c:pt idx="9">
                  <c:v>15.684180597010737</c:v>
                </c:pt>
                <c:pt idx="10">
                  <c:v>15.600694644044372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2.7293289757183756</c:v>
                </c:pt>
                <c:pt idx="1">
                  <c:v>2.5463815844665461</c:v>
                </c:pt>
                <c:pt idx="2">
                  <c:v>2.3634360831939238</c:v>
                </c:pt>
                <c:pt idx="3">
                  <c:v>2.1804919744571039</c:v>
                </c:pt>
                <c:pt idx="4">
                  <c:v>1.9975487608126827</c:v>
                </c:pt>
                <c:pt idx="5">
                  <c:v>1.8146059448172556</c:v>
                </c:pt>
                <c:pt idx="6">
                  <c:v>1.6316630290274186</c:v>
                </c:pt>
                <c:pt idx="7">
                  <c:v>1.4487195159997674</c:v>
                </c:pt>
                <c:pt idx="8">
                  <c:v>1.265774908290898</c:v>
                </c:pt>
                <c:pt idx="9">
                  <c:v>1.082828708457406</c:v>
                </c:pt>
                <c:pt idx="10">
                  <c:v>0.89988041905588734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6412-44AB-9946-BD3AA8BEC172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17.455982357107761</c:v>
                </c:pt>
                <c:pt idx="1">
                  <c:v>17.542553006076147</c:v>
                </c:pt>
                <c:pt idx="2">
                  <c:v>17.629119529660731</c:v>
                </c:pt>
                <c:pt idx="3">
                  <c:v>17.715683014857653</c:v>
                </c:pt>
                <c:pt idx="4">
                  <c:v>17.802244548663058</c:v>
                </c:pt>
                <c:pt idx="5">
                  <c:v>17.888805218073085</c:v>
                </c:pt>
                <c:pt idx="6">
                  <c:v>17.975366110083879</c:v>
                </c:pt>
                <c:pt idx="7">
                  <c:v>18.061928311691581</c:v>
                </c:pt>
                <c:pt idx="8">
                  <c:v>18.148492909892333</c:v>
                </c:pt>
                <c:pt idx="9">
                  <c:v>18.235060991682282</c:v>
                </c:pt>
                <c:pt idx="10">
                  <c:v>18.321633644057567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2.7448292689552862</c:v>
                </c:pt>
                <c:pt idx="1">
                  <c:v>2.5603279864814574</c:v>
                </c:pt>
                <c:pt idx="2">
                  <c:v>2.375824768191463</c:v>
                </c:pt>
                <c:pt idx="3">
                  <c:v>2.1913201241529237</c:v>
                </c:pt>
                <c:pt idx="4">
                  <c:v>2.0068145644334612</c:v>
                </c:pt>
                <c:pt idx="5">
                  <c:v>1.822308599100698</c:v>
                </c:pt>
                <c:pt idx="6">
                  <c:v>1.6378027382222551</c:v>
                </c:pt>
                <c:pt idx="7">
                  <c:v>1.4532974918657542</c:v>
                </c:pt>
                <c:pt idx="8">
                  <c:v>1.2687933700988172</c:v>
                </c:pt>
                <c:pt idx="9">
                  <c:v>1.0842908829890658</c:v>
                </c:pt>
                <c:pt idx="10">
                  <c:v>0.89979054060412167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6412-44AB-9946-BD3AA8BEC172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16.435629422308725</c:v>
                </c:pt>
                <c:pt idx="1">
                  <c:v>16.53766473380459</c:v>
                </c:pt>
                <c:pt idx="2">
                  <c:v>16.639700033255313</c:v>
                </c:pt>
                <c:pt idx="3">
                  <c:v>16.74173532367649</c:v>
                </c:pt>
                <c:pt idx="4">
                  <c:v>16.843770608083727</c:v>
                </c:pt>
                <c:pt idx="5">
                  <c:v>16.945805889492611</c:v>
                </c:pt>
                <c:pt idx="6">
                  <c:v>17.047841170918748</c:v>
                </c:pt>
                <c:pt idx="7">
                  <c:v>17.149876455377733</c:v>
                </c:pt>
                <c:pt idx="8">
                  <c:v>17.251911745885167</c:v>
                </c:pt>
                <c:pt idx="9">
                  <c:v>17.353947045456646</c:v>
                </c:pt>
                <c:pt idx="10">
                  <c:v>17.455982357107768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2.7293289757183756</c:v>
                </c:pt>
                <c:pt idx="1">
                  <c:v>2.7308778187591707</c:v>
                </c:pt>
                <c:pt idx="2">
                  <c:v>2.7324274549270244</c:v>
                </c:pt>
                <c:pt idx="3">
                  <c:v>2.733977685656197</c:v>
                </c:pt>
                <c:pt idx="4">
                  <c:v>2.7355283123809508</c:v>
                </c:pt>
                <c:pt idx="5">
                  <c:v>2.737079136535546</c:v>
                </c:pt>
                <c:pt idx="6">
                  <c:v>2.738629959554244</c:v>
                </c:pt>
                <c:pt idx="7">
                  <c:v>2.7401805828713059</c:v>
                </c:pt>
                <c:pt idx="8">
                  <c:v>2.7417308079209932</c:v>
                </c:pt>
                <c:pt idx="9">
                  <c:v>2.7432804361375669</c:v>
                </c:pt>
                <c:pt idx="10">
                  <c:v>2.744829268955288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6412-44AB-9946-BD3AA8BEC172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6412-44AB-9946-BD3AA8BEC172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6412-44AB-9946-BD3AA8BEC172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6412-44AB-9946-BD3AA8BEC172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6412-44AB-9946-BD3AA8BEC172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6412-44AB-9946-BD3AA8BEC172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6412-44AB-9946-BD3AA8BEC172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6412-44AB-9946-BD3AA8BEC172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6412-44AB-9946-BD3AA8BEC172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-0.89999997615814209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0.95586188224648228</c:v>
                </c:pt>
                <c:pt idx="1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6412-44AB-9946-BD3AA8BEC172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8.6998774435266721</c:v>
                </c:pt>
                <c:pt idx="1">
                  <c:v>8.6998774435266721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4.3524356111529094</c:v>
                </c:pt>
                <c:pt idx="1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6412-44AB-9946-BD3AA8BEC172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3.899595284019405</c:v>
                </c:pt>
                <c:pt idx="1">
                  <c:v>3.899595284019405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-2.0997801137178165</c:v>
                </c:pt>
                <c:pt idx="1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6412-44AB-9946-BD3AA8BEC172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3.9000172623814056</c:v>
                </c:pt>
                <c:pt idx="1">
                  <c:v>3.9000172623814056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0.71199134690652988</c:v>
                </c:pt>
                <c:pt idx="1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6412-44AB-9946-BD3AA8BEC172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3.2999999523162842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6412-44AB-9946-BD3AA8BEC172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6412-44AB-9946-BD3AA8BEC172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2.5508135058442862</c:v>
                </c:pt>
                <c:pt idx="1">
                  <c:v>2.5508135058442862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0.8819063423581377</c:v>
                </c:pt>
                <c:pt idx="1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6412-44AB-9946-BD3AA8BEC172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5.2717980643062301</c:v>
                </c:pt>
                <c:pt idx="1">
                  <c:v>5.2717980643062301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0.91863725774052185</c:v>
                </c:pt>
                <c:pt idx="1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6412-44AB-9946-BD3AA8BEC172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3.3533233680977133</c:v>
                </c:pt>
                <c:pt idx="1">
                  <c:v>3.3533233680977133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2.7261509686366132</c:v>
                </c:pt>
                <c:pt idx="1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6412-44AB-9946-BD3AA8BEC172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4.3735740188221861</c:v>
                </c:pt>
                <c:pt idx="1">
                  <c:v>4.3735740188221861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2.7483914883909044</c:v>
                </c:pt>
                <c:pt idx="1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6412-44AB-9946-BD3AA8BEC172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-6.4499998092651367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6412-44AB-9946-BD3AA8BEC172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-5.8499999046325684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6412-44AB-9946-BD3AA8BEC172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6412-44AB-9946-BD3AA8BEC172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-5.5500001907348633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6412-44AB-9946-BD3AA8BEC172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-4.6500000953674316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6412-44AB-9946-BD3AA8BEC172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12.149877252791809</c:v>
                </c:pt>
                <c:pt idx="1">
                  <c:v>12.149877252791809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0.89983854892481308</c:v>
                </c:pt>
                <c:pt idx="1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6412-44AB-9946-BD3AA8BEC172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21.749877634170446</c:v>
                </c:pt>
                <c:pt idx="1">
                  <c:v>21.749877634170446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0.9001611964406423</c:v>
                </c:pt>
                <c:pt idx="1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6412-44AB-9946-BD3AA8BEC172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16.950000505139531</c:v>
                </c:pt>
                <c:pt idx="1">
                  <c:v>16.950000505139531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-2.099999764731113</c:v>
                </c:pt>
                <c:pt idx="1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6412-44AB-9946-BD3AA8BEC172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16.949878412407752</c:v>
                </c:pt>
                <c:pt idx="1">
                  <c:v>16.949878412407752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0.89999977405212539</c:v>
                </c:pt>
                <c:pt idx="1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6412-44AB-9946-BD3AA8BEC172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6412-44AB-9946-BD3AA8BEC172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-0.89999997615814209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0.95586188224648228</c:v>
                </c:pt>
                <c:pt idx="1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6412-44AB-9946-BD3AA8BEC172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8.6998774435266721</c:v>
                </c:pt>
                <c:pt idx="1">
                  <c:v>8.6998774435266721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4.3524356111529094</c:v>
                </c:pt>
                <c:pt idx="1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6412-44AB-9946-BD3AA8BEC172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3.899595284019405</c:v>
                </c:pt>
                <c:pt idx="1">
                  <c:v>3.899595284019405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-2.0997801137178165</c:v>
                </c:pt>
                <c:pt idx="1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6412-44AB-9946-BD3AA8BEC172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3.9000172623814056</c:v>
                </c:pt>
                <c:pt idx="1">
                  <c:v>3.9000172623814056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0.71199134690652988</c:v>
                </c:pt>
                <c:pt idx="1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6412-44AB-9946-BD3AA8BEC172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3.2999999523162842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6412-44AB-9946-BD3AA8BEC172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6412-44AB-9946-BD3AA8BEC172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2.5508135058442862</c:v>
                </c:pt>
                <c:pt idx="1">
                  <c:v>2.5508135058442862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0.8819063423581377</c:v>
                </c:pt>
                <c:pt idx="1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6412-44AB-9946-BD3AA8BEC172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5.2717980643062301</c:v>
                </c:pt>
                <c:pt idx="1">
                  <c:v>5.2717980643062301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0.91863725774052185</c:v>
                </c:pt>
                <c:pt idx="1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6412-44AB-9946-BD3AA8BEC172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3.3533233680977133</c:v>
                </c:pt>
                <c:pt idx="1">
                  <c:v>3.3533233680977133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2.7261509686366132</c:v>
                </c:pt>
                <c:pt idx="1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6412-44AB-9946-BD3AA8BEC172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4.3735740188221861</c:v>
                </c:pt>
                <c:pt idx="1">
                  <c:v>4.3735740188221861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2.7483914883909044</c:v>
                </c:pt>
                <c:pt idx="1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6412-44AB-9946-BD3AA8BEC172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-6.4499998092651367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6412-44AB-9946-BD3AA8BEC172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-5.8499999046325684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6412-44AB-9946-BD3AA8BEC172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6412-44AB-9946-BD3AA8BEC172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-5.5500001907348633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6412-44AB-9946-BD3AA8BEC172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-4.6500000953674316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6412-44AB-9946-BD3AA8BEC172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12.149877252791809</c:v>
                </c:pt>
                <c:pt idx="1">
                  <c:v>12.149877252791809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0.89983854892481308</c:v>
                </c:pt>
                <c:pt idx="1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6412-44AB-9946-BD3AA8BEC172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21.749877634170446</c:v>
                </c:pt>
                <c:pt idx="1">
                  <c:v>21.749877634170446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0.9001611964406423</c:v>
                </c:pt>
                <c:pt idx="1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6412-44AB-9946-BD3AA8BEC172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16.950000505139531</c:v>
                </c:pt>
                <c:pt idx="1">
                  <c:v>16.950000505139531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-2.099999764731113</c:v>
                </c:pt>
                <c:pt idx="1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6412-44AB-9946-BD3AA8BEC172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16.949878412407752</c:v>
                </c:pt>
                <c:pt idx="1">
                  <c:v>16.949878412407752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0.89999977405212539</c:v>
                </c:pt>
                <c:pt idx="1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6412-44AB-9946-BD3AA8BEC172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6412-44AB-9946-BD3AA8BEC172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6412-44AB-9946-BD3AA8BEC172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6412-44AB-9946-BD3AA8BEC172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6412-44AB-9946-BD3AA8BEC172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6412-44AB-9946-BD3AA8BEC172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6412-44AB-9946-BD3AA8BEC172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6412-44AB-9946-BD3AA8BEC172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6412-44AB-9946-BD3AA8BEC172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6412-44AB-9946-BD3AA8BEC172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6412-44AB-9946-BD3AA8BEC172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6412-44AB-9946-BD3AA8BEC172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6412-44AB-9946-BD3AA8BEC172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6412-44AB-9946-BD3AA8BEC172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6412-44AB-9946-BD3AA8BEC172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6412-44AB-9946-BD3AA8BEC172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6412-44AB-9946-BD3AA8BEC172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6412-44AB-9946-BD3AA8BEC172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6412-44AB-9946-BD3AA8BEC172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6412-44AB-9946-BD3AA8BEC172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6412-44AB-9946-BD3AA8BEC172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6412-44AB-9946-BD3AA8BEC172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6412-44AB-9946-BD3AA8BEC172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6412-44AB-9946-BD3AA8BEC172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6412-44AB-9946-BD3AA8BEC172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6412-44AB-9946-BD3AA8BEC172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6412-44AB-9946-BD3AA8BEC172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6412-44AB-9946-BD3AA8BEC172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6412-44AB-9946-BD3AA8BEC172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6412-44AB-9946-BD3AA8BEC172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6412-44AB-9946-BD3AA8BEC172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6412-44AB-9946-BD3AA8BEC172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6412-44AB-9946-BD3AA8BEC172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6412-44AB-9946-BD3AA8BEC172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6412-44AB-9946-BD3AA8BEC172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6412-44AB-9946-BD3AA8BEC172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6412-44AB-9946-BD3AA8BEC172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6412-44AB-9946-BD3AA8BEC172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6412-44AB-9946-BD3AA8BEC172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6412-44AB-9946-BD3AA8BEC172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6412-44AB-9946-BD3AA8BEC172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  <c:pt idx="14">
                  <c:v>-3.75</c:v>
                </c:pt>
                <c:pt idx="15">
                  <c:v>-3.75</c:v>
                </c:pt>
                <c:pt idx="16">
                  <c:v>-3.75</c:v>
                </c:pt>
                <c:pt idx="17">
                  <c:v>-3.75</c:v>
                </c:pt>
                <c:pt idx="18">
                  <c:v>-3.75</c:v>
                </c:pt>
                <c:pt idx="19">
                  <c:v>-3.75</c:v>
                </c:pt>
                <c:pt idx="20">
                  <c:v>-3.75</c:v>
                </c:pt>
                <c:pt idx="21">
                  <c:v>-3.75</c:v>
                </c:pt>
                <c:pt idx="22">
                  <c:v>-3.75</c:v>
                </c:pt>
                <c:pt idx="23">
                  <c:v>-3.75</c:v>
                </c:pt>
                <c:pt idx="24">
                  <c:v>-3.75</c:v>
                </c:pt>
                <c:pt idx="25">
                  <c:v>-3.75</c:v>
                </c:pt>
                <c:pt idx="26">
                  <c:v>-3.75</c:v>
                </c:pt>
                <c:pt idx="27">
                  <c:v>-3.75</c:v>
                </c:pt>
                <c:pt idx="28">
                  <c:v>-3.75</c:v>
                </c:pt>
                <c:pt idx="29">
                  <c:v>-3.75</c:v>
                </c:pt>
                <c:pt idx="30">
                  <c:v>-3.75</c:v>
                </c:pt>
                <c:pt idx="31">
                  <c:v>-3.75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  <c:pt idx="5">
                  <c:v>0.89999997615814209</c:v>
                </c:pt>
                <c:pt idx="6">
                  <c:v>0.89999997615814209</c:v>
                </c:pt>
                <c:pt idx="7">
                  <c:v>0.89999997615814209</c:v>
                </c:pt>
                <c:pt idx="8">
                  <c:v>0.89999997615814209</c:v>
                </c:pt>
                <c:pt idx="9">
                  <c:v>0.89999997615814209</c:v>
                </c:pt>
                <c:pt idx="10">
                  <c:v>0.89999997615814209</c:v>
                </c:pt>
                <c:pt idx="11">
                  <c:v>0.89999997615814209</c:v>
                </c:pt>
                <c:pt idx="12">
                  <c:v>0.89999997615814209</c:v>
                </c:pt>
                <c:pt idx="13">
                  <c:v>0.89999997615814209</c:v>
                </c:pt>
                <c:pt idx="14">
                  <c:v>0.89999997615814209</c:v>
                </c:pt>
                <c:pt idx="15">
                  <c:v>0.89999997615814209</c:v>
                </c:pt>
                <c:pt idx="16">
                  <c:v>0.89999997615814209</c:v>
                </c:pt>
                <c:pt idx="17">
                  <c:v>0.89999997615814209</c:v>
                </c:pt>
                <c:pt idx="18">
                  <c:v>0.89999997615814209</c:v>
                </c:pt>
                <c:pt idx="19">
                  <c:v>0.89999997615814209</c:v>
                </c:pt>
                <c:pt idx="20">
                  <c:v>0.89999997615814209</c:v>
                </c:pt>
                <c:pt idx="21">
                  <c:v>0.89999997615814209</c:v>
                </c:pt>
                <c:pt idx="22">
                  <c:v>0.89999997615814209</c:v>
                </c:pt>
                <c:pt idx="23">
                  <c:v>0.89999997615814209</c:v>
                </c:pt>
                <c:pt idx="24">
                  <c:v>0.89999997615814209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0.89999997615814209</c:v>
                </c:pt>
                <c:pt idx="28">
                  <c:v>0.89999997615814209</c:v>
                </c:pt>
                <c:pt idx="29">
                  <c:v>0.89999997615814209</c:v>
                </c:pt>
                <c:pt idx="30">
                  <c:v>0.89999997615814209</c:v>
                </c:pt>
                <c:pt idx="3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6412-44AB-9946-BD3AA8BEC172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  <c:pt idx="5">
                  <c:v>-0.89999997615814209</c:v>
                </c:pt>
                <c:pt idx="6">
                  <c:v>-0.89999997615814209</c:v>
                </c:pt>
                <c:pt idx="7">
                  <c:v>-0.89999997615814209</c:v>
                </c:pt>
                <c:pt idx="8">
                  <c:v>-0.89999997615814209</c:v>
                </c:pt>
                <c:pt idx="9">
                  <c:v>-0.89999997615814209</c:v>
                </c:pt>
                <c:pt idx="10">
                  <c:v>-0.89999997615814209</c:v>
                </c:pt>
                <c:pt idx="11">
                  <c:v>-0.89999997615814209</c:v>
                </c:pt>
                <c:pt idx="12">
                  <c:v>-0.89999997615814209</c:v>
                </c:pt>
                <c:pt idx="13">
                  <c:v>-0.89999997615814209</c:v>
                </c:pt>
                <c:pt idx="14">
                  <c:v>-0.89999997615814209</c:v>
                </c:pt>
                <c:pt idx="15">
                  <c:v>-0.89999997615814209</c:v>
                </c:pt>
                <c:pt idx="16">
                  <c:v>-0.89999997615814209</c:v>
                </c:pt>
                <c:pt idx="17">
                  <c:v>-0.89999997615814209</c:v>
                </c:pt>
                <c:pt idx="18">
                  <c:v>-0.89999997615814209</c:v>
                </c:pt>
                <c:pt idx="19">
                  <c:v>-0.89999997615814209</c:v>
                </c:pt>
                <c:pt idx="20">
                  <c:v>-0.89999997615814209</c:v>
                </c:pt>
                <c:pt idx="21">
                  <c:v>-0.89999997615814209</c:v>
                </c:pt>
                <c:pt idx="22">
                  <c:v>-0.89999997615814209</c:v>
                </c:pt>
                <c:pt idx="23">
                  <c:v>-0.89999997615814209</c:v>
                </c:pt>
                <c:pt idx="24">
                  <c:v>-0.89999997615814209</c:v>
                </c:pt>
                <c:pt idx="25">
                  <c:v>-0.89999997615814209</c:v>
                </c:pt>
                <c:pt idx="26">
                  <c:v>-0.89999997615814209</c:v>
                </c:pt>
                <c:pt idx="27">
                  <c:v>-0.89999997615814209</c:v>
                </c:pt>
                <c:pt idx="28">
                  <c:v>-0.89999997615814209</c:v>
                </c:pt>
                <c:pt idx="29">
                  <c:v>-0.89999997615814209</c:v>
                </c:pt>
                <c:pt idx="30">
                  <c:v>-0.89999997615814209</c:v>
                </c:pt>
                <c:pt idx="31">
                  <c:v>-0.89999997615814209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0.95586188224648228</c:v>
                </c:pt>
                <c:pt idx="1">
                  <c:v>0.95586188224648228</c:v>
                </c:pt>
                <c:pt idx="2">
                  <c:v>0.95586188224648228</c:v>
                </c:pt>
                <c:pt idx="3">
                  <c:v>0.95586188224648228</c:v>
                </c:pt>
                <c:pt idx="4">
                  <c:v>0.95586188224648228</c:v>
                </c:pt>
                <c:pt idx="5">
                  <c:v>0.95586188224648228</c:v>
                </c:pt>
                <c:pt idx="6">
                  <c:v>0.95586188224648228</c:v>
                </c:pt>
                <c:pt idx="7">
                  <c:v>0.95586188224648228</c:v>
                </c:pt>
                <c:pt idx="8">
                  <c:v>0.95586188224648228</c:v>
                </c:pt>
                <c:pt idx="9">
                  <c:v>0.95586188224648228</c:v>
                </c:pt>
                <c:pt idx="10">
                  <c:v>0.95586188224648228</c:v>
                </c:pt>
                <c:pt idx="11">
                  <c:v>0.95586188224648228</c:v>
                </c:pt>
                <c:pt idx="12">
                  <c:v>0.95586188224648228</c:v>
                </c:pt>
                <c:pt idx="13">
                  <c:v>0.95586188224648228</c:v>
                </c:pt>
                <c:pt idx="14">
                  <c:v>0.95586188224648228</c:v>
                </c:pt>
                <c:pt idx="15">
                  <c:v>0.95586188224648228</c:v>
                </c:pt>
                <c:pt idx="16">
                  <c:v>0.95586188224648228</c:v>
                </c:pt>
                <c:pt idx="17">
                  <c:v>0.95586188224648228</c:v>
                </c:pt>
                <c:pt idx="18">
                  <c:v>0.95586188224648228</c:v>
                </c:pt>
                <c:pt idx="19">
                  <c:v>0.95586188224648228</c:v>
                </c:pt>
                <c:pt idx="20">
                  <c:v>0.95586188224648228</c:v>
                </c:pt>
                <c:pt idx="21">
                  <c:v>0.95586188224648228</c:v>
                </c:pt>
                <c:pt idx="22">
                  <c:v>0.95586188224648228</c:v>
                </c:pt>
                <c:pt idx="23">
                  <c:v>0.95586188224648228</c:v>
                </c:pt>
                <c:pt idx="24">
                  <c:v>0.95586188224648228</c:v>
                </c:pt>
                <c:pt idx="25">
                  <c:v>0.95586188224648228</c:v>
                </c:pt>
                <c:pt idx="26">
                  <c:v>0.95586188224648228</c:v>
                </c:pt>
                <c:pt idx="27">
                  <c:v>0.95586188224648228</c:v>
                </c:pt>
                <c:pt idx="28">
                  <c:v>0.95586188224648228</c:v>
                </c:pt>
                <c:pt idx="29">
                  <c:v>0.95586188224648228</c:v>
                </c:pt>
                <c:pt idx="30">
                  <c:v>0.95586188224648228</c:v>
                </c:pt>
                <c:pt idx="31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6412-44AB-9946-BD3AA8BEC172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8.6998774435266721</c:v>
                </c:pt>
                <c:pt idx="1">
                  <c:v>8.6998774435266721</c:v>
                </c:pt>
                <c:pt idx="2">
                  <c:v>8.6998774435266721</c:v>
                </c:pt>
                <c:pt idx="3">
                  <c:v>8.6998774435266721</c:v>
                </c:pt>
                <c:pt idx="4">
                  <c:v>8.6998774435266721</c:v>
                </c:pt>
                <c:pt idx="5">
                  <c:v>8.6998774435266721</c:v>
                </c:pt>
                <c:pt idx="6">
                  <c:v>8.6998774435266721</c:v>
                </c:pt>
                <c:pt idx="7">
                  <c:v>8.6998774435266721</c:v>
                </c:pt>
                <c:pt idx="8">
                  <c:v>8.6998774435266721</c:v>
                </c:pt>
                <c:pt idx="9">
                  <c:v>8.6998774435266721</c:v>
                </c:pt>
                <c:pt idx="10">
                  <c:v>8.6998774435266721</c:v>
                </c:pt>
                <c:pt idx="11">
                  <c:v>8.6998774435266721</c:v>
                </c:pt>
                <c:pt idx="12">
                  <c:v>8.6998774435266721</c:v>
                </c:pt>
                <c:pt idx="13">
                  <c:v>8.6998774435266721</c:v>
                </c:pt>
                <c:pt idx="14">
                  <c:v>8.6998774435266721</c:v>
                </c:pt>
                <c:pt idx="15">
                  <c:v>8.6998774435266721</c:v>
                </c:pt>
                <c:pt idx="16">
                  <c:v>8.6998774435266721</c:v>
                </c:pt>
                <c:pt idx="17">
                  <c:v>8.6998774435266721</c:v>
                </c:pt>
                <c:pt idx="18">
                  <c:v>8.6998774435266721</c:v>
                </c:pt>
                <c:pt idx="19">
                  <c:v>8.6998774435266721</c:v>
                </c:pt>
                <c:pt idx="20">
                  <c:v>8.6998774435266721</c:v>
                </c:pt>
                <c:pt idx="21">
                  <c:v>8.6998774435266721</c:v>
                </c:pt>
                <c:pt idx="22">
                  <c:v>8.6998774435266721</c:v>
                </c:pt>
                <c:pt idx="23">
                  <c:v>8.6998774435266721</c:v>
                </c:pt>
                <c:pt idx="24">
                  <c:v>8.6998774435266721</c:v>
                </c:pt>
                <c:pt idx="25">
                  <c:v>8.6998774435266721</c:v>
                </c:pt>
                <c:pt idx="26">
                  <c:v>8.6998774435266721</c:v>
                </c:pt>
                <c:pt idx="27">
                  <c:v>8.6998774435266721</c:v>
                </c:pt>
                <c:pt idx="28">
                  <c:v>8.6998774435266721</c:v>
                </c:pt>
                <c:pt idx="29">
                  <c:v>8.6998774435266721</c:v>
                </c:pt>
                <c:pt idx="30">
                  <c:v>8.6998774435266721</c:v>
                </c:pt>
                <c:pt idx="31">
                  <c:v>8.6998774435266721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4.3524356111529094</c:v>
                </c:pt>
                <c:pt idx="1">
                  <c:v>4.3524356111529094</c:v>
                </c:pt>
                <c:pt idx="2">
                  <c:v>4.3524356111529094</c:v>
                </c:pt>
                <c:pt idx="3">
                  <c:v>4.3524356111529094</c:v>
                </c:pt>
                <c:pt idx="4">
                  <c:v>4.3524356111529094</c:v>
                </c:pt>
                <c:pt idx="5">
                  <c:v>4.3524356111529094</c:v>
                </c:pt>
                <c:pt idx="6">
                  <c:v>4.3524356111529094</c:v>
                </c:pt>
                <c:pt idx="7">
                  <c:v>4.3524356111529094</c:v>
                </c:pt>
                <c:pt idx="8">
                  <c:v>4.3524356111529094</c:v>
                </c:pt>
                <c:pt idx="9">
                  <c:v>4.3524356111529094</c:v>
                </c:pt>
                <c:pt idx="10">
                  <c:v>4.3524356111529094</c:v>
                </c:pt>
                <c:pt idx="11">
                  <c:v>4.3524356111529094</c:v>
                </c:pt>
                <c:pt idx="12">
                  <c:v>4.3524356111529094</c:v>
                </c:pt>
                <c:pt idx="13">
                  <c:v>4.3524356111529094</c:v>
                </c:pt>
                <c:pt idx="14">
                  <c:v>4.3524356111529094</c:v>
                </c:pt>
                <c:pt idx="15">
                  <c:v>4.3524356111529094</c:v>
                </c:pt>
                <c:pt idx="16">
                  <c:v>4.3524356111529094</c:v>
                </c:pt>
                <c:pt idx="17">
                  <c:v>4.3524356111529094</c:v>
                </c:pt>
                <c:pt idx="18">
                  <c:v>4.3524356111529094</c:v>
                </c:pt>
                <c:pt idx="19">
                  <c:v>4.3524356111529094</c:v>
                </c:pt>
                <c:pt idx="20">
                  <c:v>4.3524356111529094</c:v>
                </c:pt>
                <c:pt idx="21">
                  <c:v>4.3524356111529094</c:v>
                </c:pt>
                <c:pt idx="22">
                  <c:v>4.3524356111529094</c:v>
                </c:pt>
                <c:pt idx="23">
                  <c:v>4.3524356111529094</c:v>
                </c:pt>
                <c:pt idx="24">
                  <c:v>4.3524356111529094</c:v>
                </c:pt>
                <c:pt idx="25">
                  <c:v>4.3524356111529094</c:v>
                </c:pt>
                <c:pt idx="26">
                  <c:v>4.3524356111529094</c:v>
                </c:pt>
                <c:pt idx="27">
                  <c:v>4.3524356111529094</c:v>
                </c:pt>
                <c:pt idx="28">
                  <c:v>4.3524356111529094</c:v>
                </c:pt>
                <c:pt idx="29">
                  <c:v>4.3524356111529094</c:v>
                </c:pt>
                <c:pt idx="30">
                  <c:v>4.3524356111529094</c:v>
                </c:pt>
                <c:pt idx="31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6412-44AB-9946-BD3AA8BEC172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3.899595284019405</c:v>
                </c:pt>
                <c:pt idx="1">
                  <c:v>3.899595284019405</c:v>
                </c:pt>
                <c:pt idx="2">
                  <c:v>3.899595284019405</c:v>
                </c:pt>
                <c:pt idx="3">
                  <c:v>3.899595284019405</c:v>
                </c:pt>
                <c:pt idx="4">
                  <c:v>3.899595284019405</c:v>
                </c:pt>
                <c:pt idx="5">
                  <c:v>3.899595284019405</c:v>
                </c:pt>
                <c:pt idx="6">
                  <c:v>3.899595284019405</c:v>
                </c:pt>
                <c:pt idx="7">
                  <c:v>3.899595284019405</c:v>
                </c:pt>
                <c:pt idx="8">
                  <c:v>3.899595284019405</c:v>
                </c:pt>
                <c:pt idx="9">
                  <c:v>3.899595284019405</c:v>
                </c:pt>
                <c:pt idx="10">
                  <c:v>3.899595284019405</c:v>
                </c:pt>
                <c:pt idx="11">
                  <c:v>3.899595284019405</c:v>
                </c:pt>
                <c:pt idx="12">
                  <c:v>3.899595284019405</c:v>
                </c:pt>
                <c:pt idx="13">
                  <c:v>3.899595284019405</c:v>
                </c:pt>
                <c:pt idx="14">
                  <c:v>3.899595284019405</c:v>
                </c:pt>
                <c:pt idx="15">
                  <c:v>3.899595284019405</c:v>
                </c:pt>
                <c:pt idx="16">
                  <c:v>3.899595284019405</c:v>
                </c:pt>
                <c:pt idx="17">
                  <c:v>3.899595284019405</c:v>
                </c:pt>
                <c:pt idx="18">
                  <c:v>3.899595284019405</c:v>
                </c:pt>
                <c:pt idx="19">
                  <c:v>3.899595284019405</c:v>
                </c:pt>
                <c:pt idx="20">
                  <c:v>3.899595284019405</c:v>
                </c:pt>
                <c:pt idx="21">
                  <c:v>3.899595284019405</c:v>
                </c:pt>
                <c:pt idx="22">
                  <c:v>3.899595284019405</c:v>
                </c:pt>
                <c:pt idx="23">
                  <c:v>3.899595284019405</c:v>
                </c:pt>
                <c:pt idx="24">
                  <c:v>3.899595284019405</c:v>
                </c:pt>
                <c:pt idx="25">
                  <c:v>3.899595284019405</c:v>
                </c:pt>
                <c:pt idx="26">
                  <c:v>3.899595284019405</c:v>
                </c:pt>
                <c:pt idx="27">
                  <c:v>3.899595284019405</c:v>
                </c:pt>
                <c:pt idx="28">
                  <c:v>3.899595284019405</c:v>
                </c:pt>
                <c:pt idx="29">
                  <c:v>3.899595284019405</c:v>
                </c:pt>
                <c:pt idx="30">
                  <c:v>3.899595284019405</c:v>
                </c:pt>
                <c:pt idx="31">
                  <c:v>3.899595284019405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-2.0997801137178165</c:v>
                </c:pt>
                <c:pt idx="1">
                  <c:v>-2.0997801137178165</c:v>
                </c:pt>
                <c:pt idx="2">
                  <c:v>-2.0997801137178165</c:v>
                </c:pt>
                <c:pt idx="3">
                  <c:v>-2.0997801137178165</c:v>
                </c:pt>
                <c:pt idx="4">
                  <c:v>-2.0997801137178165</c:v>
                </c:pt>
                <c:pt idx="5">
                  <c:v>-2.0997801137178165</c:v>
                </c:pt>
                <c:pt idx="6">
                  <c:v>-2.0997801137178165</c:v>
                </c:pt>
                <c:pt idx="7">
                  <c:v>-2.0997801137178165</c:v>
                </c:pt>
                <c:pt idx="8">
                  <c:v>-2.0997801137178165</c:v>
                </c:pt>
                <c:pt idx="9">
                  <c:v>-2.0997801137178165</c:v>
                </c:pt>
                <c:pt idx="10">
                  <c:v>-2.0997801137178165</c:v>
                </c:pt>
                <c:pt idx="11">
                  <c:v>-2.0997801137178165</c:v>
                </c:pt>
                <c:pt idx="12">
                  <c:v>-2.0997801137178165</c:v>
                </c:pt>
                <c:pt idx="13">
                  <c:v>-2.0997801137178165</c:v>
                </c:pt>
                <c:pt idx="14">
                  <c:v>-2.0997801137178165</c:v>
                </c:pt>
                <c:pt idx="15">
                  <c:v>-2.0997801137178165</c:v>
                </c:pt>
                <c:pt idx="16">
                  <c:v>-2.0997801137178165</c:v>
                </c:pt>
                <c:pt idx="17">
                  <c:v>-2.0997801137178165</c:v>
                </c:pt>
                <c:pt idx="18">
                  <c:v>-2.0997801137178165</c:v>
                </c:pt>
                <c:pt idx="19">
                  <c:v>-2.0997801137178165</c:v>
                </c:pt>
                <c:pt idx="20">
                  <c:v>-2.0997801137178165</c:v>
                </c:pt>
                <c:pt idx="21">
                  <c:v>-2.0997801137178165</c:v>
                </c:pt>
                <c:pt idx="22">
                  <c:v>-2.0997801137178165</c:v>
                </c:pt>
                <c:pt idx="23">
                  <c:v>-2.0997801137178165</c:v>
                </c:pt>
                <c:pt idx="24">
                  <c:v>-2.0997801137178165</c:v>
                </c:pt>
                <c:pt idx="25">
                  <c:v>-2.0997801137178165</c:v>
                </c:pt>
                <c:pt idx="26">
                  <c:v>-2.0997801137178165</c:v>
                </c:pt>
                <c:pt idx="27">
                  <c:v>-2.0997801137178165</c:v>
                </c:pt>
                <c:pt idx="28">
                  <c:v>-2.0997801137178165</c:v>
                </c:pt>
                <c:pt idx="29">
                  <c:v>-2.0997801137178165</c:v>
                </c:pt>
                <c:pt idx="30">
                  <c:v>-2.0997801137178165</c:v>
                </c:pt>
                <c:pt idx="31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6412-44AB-9946-BD3AA8BEC172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3.9000172623814056</c:v>
                </c:pt>
                <c:pt idx="1">
                  <c:v>3.9000172623814056</c:v>
                </c:pt>
                <c:pt idx="2">
                  <c:v>3.9000172623814056</c:v>
                </c:pt>
                <c:pt idx="3">
                  <c:v>3.9000172623814056</c:v>
                </c:pt>
                <c:pt idx="4">
                  <c:v>3.9000172623814056</c:v>
                </c:pt>
                <c:pt idx="5">
                  <c:v>3.9000172623814056</c:v>
                </c:pt>
                <c:pt idx="6">
                  <c:v>3.9000172623814056</c:v>
                </c:pt>
                <c:pt idx="7">
                  <c:v>3.9000172623814056</c:v>
                </c:pt>
                <c:pt idx="8">
                  <c:v>3.9000172623814056</c:v>
                </c:pt>
                <c:pt idx="9">
                  <c:v>3.9000172623814056</c:v>
                </c:pt>
                <c:pt idx="10">
                  <c:v>3.9000172623814056</c:v>
                </c:pt>
                <c:pt idx="11">
                  <c:v>3.9000172623814056</c:v>
                </c:pt>
                <c:pt idx="12">
                  <c:v>3.9000172623814056</c:v>
                </c:pt>
                <c:pt idx="13">
                  <c:v>3.9000172623814056</c:v>
                </c:pt>
                <c:pt idx="14">
                  <c:v>3.9000172623814056</c:v>
                </c:pt>
                <c:pt idx="15">
                  <c:v>3.9000172623814056</c:v>
                </c:pt>
                <c:pt idx="16">
                  <c:v>3.9000172623814056</c:v>
                </c:pt>
                <c:pt idx="17">
                  <c:v>3.9000172623814056</c:v>
                </c:pt>
                <c:pt idx="18">
                  <c:v>3.9000172623814056</c:v>
                </c:pt>
                <c:pt idx="19">
                  <c:v>3.9000172623814056</c:v>
                </c:pt>
                <c:pt idx="20">
                  <c:v>3.9000172623814056</c:v>
                </c:pt>
                <c:pt idx="21">
                  <c:v>3.9000172623814056</c:v>
                </c:pt>
                <c:pt idx="22">
                  <c:v>3.9000172623814056</c:v>
                </c:pt>
                <c:pt idx="23">
                  <c:v>3.9000172623814056</c:v>
                </c:pt>
                <c:pt idx="24">
                  <c:v>3.9000172623814056</c:v>
                </c:pt>
                <c:pt idx="25">
                  <c:v>3.9000172623814056</c:v>
                </c:pt>
                <c:pt idx="26">
                  <c:v>3.9000172623814056</c:v>
                </c:pt>
                <c:pt idx="27">
                  <c:v>3.9000172623814056</c:v>
                </c:pt>
                <c:pt idx="28">
                  <c:v>3.9000172623814056</c:v>
                </c:pt>
                <c:pt idx="29">
                  <c:v>3.9000172623814056</c:v>
                </c:pt>
                <c:pt idx="30">
                  <c:v>3.9000172623814056</c:v>
                </c:pt>
                <c:pt idx="31">
                  <c:v>3.9000172623814056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0.71199134690652988</c:v>
                </c:pt>
                <c:pt idx="1">
                  <c:v>0.71199134690652988</c:v>
                </c:pt>
                <c:pt idx="2">
                  <c:v>0.71199134690652988</c:v>
                </c:pt>
                <c:pt idx="3">
                  <c:v>0.71199134690652988</c:v>
                </c:pt>
                <c:pt idx="4">
                  <c:v>0.71199134690652988</c:v>
                </c:pt>
                <c:pt idx="5">
                  <c:v>0.71199134690652988</c:v>
                </c:pt>
                <c:pt idx="6">
                  <c:v>0.71199134690652988</c:v>
                </c:pt>
                <c:pt idx="7">
                  <c:v>0.71199134690652988</c:v>
                </c:pt>
                <c:pt idx="8">
                  <c:v>0.71199134690652988</c:v>
                </c:pt>
                <c:pt idx="9">
                  <c:v>0.71199134690652988</c:v>
                </c:pt>
                <c:pt idx="10">
                  <c:v>0.71199134690652988</c:v>
                </c:pt>
                <c:pt idx="11">
                  <c:v>0.71199134690652988</c:v>
                </c:pt>
                <c:pt idx="12">
                  <c:v>0.71199134690652988</c:v>
                </c:pt>
                <c:pt idx="13">
                  <c:v>0.71199134690652988</c:v>
                </c:pt>
                <c:pt idx="14">
                  <c:v>0.71199134690652988</c:v>
                </c:pt>
                <c:pt idx="15">
                  <c:v>0.71199134690652988</c:v>
                </c:pt>
                <c:pt idx="16">
                  <c:v>0.71199134690652988</c:v>
                </c:pt>
                <c:pt idx="17">
                  <c:v>0.71199134690652988</c:v>
                </c:pt>
                <c:pt idx="18">
                  <c:v>0.71199134690652988</c:v>
                </c:pt>
                <c:pt idx="19">
                  <c:v>0.71199134690652988</c:v>
                </c:pt>
                <c:pt idx="20">
                  <c:v>0.71199134690652988</c:v>
                </c:pt>
                <c:pt idx="21">
                  <c:v>0.71199134690652988</c:v>
                </c:pt>
                <c:pt idx="22">
                  <c:v>0.71199134690652988</c:v>
                </c:pt>
                <c:pt idx="23">
                  <c:v>0.71199134690652988</c:v>
                </c:pt>
                <c:pt idx="24">
                  <c:v>0.71199134690652988</c:v>
                </c:pt>
                <c:pt idx="25">
                  <c:v>0.71199134690652988</c:v>
                </c:pt>
                <c:pt idx="26">
                  <c:v>0.71199134690652988</c:v>
                </c:pt>
                <c:pt idx="27">
                  <c:v>0.71199134690652988</c:v>
                </c:pt>
                <c:pt idx="28">
                  <c:v>0.71199134690652988</c:v>
                </c:pt>
                <c:pt idx="29">
                  <c:v>0.71199134690652988</c:v>
                </c:pt>
                <c:pt idx="30">
                  <c:v>0.71199134690652988</c:v>
                </c:pt>
                <c:pt idx="31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6412-44AB-9946-BD3AA8BEC172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  <c:pt idx="5">
                  <c:v>3.2999999523162842</c:v>
                </c:pt>
                <c:pt idx="6">
                  <c:v>3.2999999523162842</c:v>
                </c:pt>
                <c:pt idx="7">
                  <c:v>3.2999999523162842</c:v>
                </c:pt>
                <c:pt idx="8">
                  <c:v>3.2999999523162842</c:v>
                </c:pt>
                <c:pt idx="9">
                  <c:v>3.2999999523162842</c:v>
                </c:pt>
                <c:pt idx="10">
                  <c:v>3.2999999523162842</c:v>
                </c:pt>
                <c:pt idx="11">
                  <c:v>3.2999999523162842</c:v>
                </c:pt>
                <c:pt idx="12">
                  <c:v>3.2999999523162842</c:v>
                </c:pt>
                <c:pt idx="13">
                  <c:v>3.2999999523162842</c:v>
                </c:pt>
                <c:pt idx="14">
                  <c:v>3.2999999523162842</c:v>
                </c:pt>
                <c:pt idx="15">
                  <c:v>3.2999999523162842</c:v>
                </c:pt>
                <c:pt idx="16">
                  <c:v>3.2999999523162842</c:v>
                </c:pt>
                <c:pt idx="17">
                  <c:v>3.2999999523162842</c:v>
                </c:pt>
                <c:pt idx="18">
                  <c:v>3.2999999523162842</c:v>
                </c:pt>
                <c:pt idx="19">
                  <c:v>3.2999999523162842</c:v>
                </c:pt>
                <c:pt idx="20">
                  <c:v>3.2999999523162842</c:v>
                </c:pt>
                <c:pt idx="21">
                  <c:v>3.2999999523162842</c:v>
                </c:pt>
                <c:pt idx="22">
                  <c:v>3.2999999523162842</c:v>
                </c:pt>
                <c:pt idx="23">
                  <c:v>3.2999999523162842</c:v>
                </c:pt>
                <c:pt idx="24">
                  <c:v>3.2999999523162842</c:v>
                </c:pt>
                <c:pt idx="25">
                  <c:v>3.2999999523162842</c:v>
                </c:pt>
                <c:pt idx="26">
                  <c:v>3.2999999523162842</c:v>
                </c:pt>
                <c:pt idx="27">
                  <c:v>3.2999999523162842</c:v>
                </c:pt>
                <c:pt idx="28">
                  <c:v>3.2999999523162842</c:v>
                </c:pt>
                <c:pt idx="29">
                  <c:v>3.2999999523162842</c:v>
                </c:pt>
                <c:pt idx="30">
                  <c:v>3.2999999523162842</c:v>
                </c:pt>
                <c:pt idx="31">
                  <c:v>3.2999999523162842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  <c:pt idx="5">
                  <c:v>3.5999999046325684</c:v>
                </c:pt>
                <c:pt idx="6">
                  <c:v>3.5999999046325684</c:v>
                </c:pt>
                <c:pt idx="7">
                  <c:v>3.5999999046325684</c:v>
                </c:pt>
                <c:pt idx="8">
                  <c:v>3.5999999046325684</c:v>
                </c:pt>
                <c:pt idx="9">
                  <c:v>3.5999999046325684</c:v>
                </c:pt>
                <c:pt idx="10">
                  <c:v>3.5999999046325684</c:v>
                </c:pt>
                <c:pt idx="11">
                  <c:v>3.5999999046325684</c:v>
                </c:pt>
                <c:pt idx="12">
                  <c:v>3.5999999046325684</c:v>
                </c:pt>
                <c:pt idx="13">
                  <c:v>3.5999999046325684</c:v>
                </c:pt>
                <c:pt idx="14">
                  <c:v>3.5999999046325684</c:v>
                </c:pt>
                <c:pt idx="15">
                  <c:v>3.5999999046325684</c:v>
                </c:pt>
                <c:pt idx="16">
                  <c:v>3.5999999046325684</c:v>
                </c:pt>
                <c:pt idx="17">
                  <c:v>3.5999999046325684</c:v>
                </c:pt>
                <c:pt idx="18">
                  <c:v>3.5999999046325684</c:v>
                </c:pt>
                <c:pt idx="19">
                  <c:v>3.5999999046325684</c:v>
                </c:pt>
                <c:pt idx="20">
                  <c:v>3.5999999046325684</c:v>
                </c:pt>
                <c:pt idx="21">
                  <c:v>3.5999999046325684</c:v>
                </c:pt>
                <c:pt idx="22">
                  <c:v>3.5999999046325684</c:v>
                </c:pt>
                <c:pt idx="23">
                  <c:v>3.5999999046325684</c:v>
                </c:pt>
                <c:pt idx="24">
                  <c:v>3.5999999046325684</c:v>
                </c:pt>
                <c:pt idx="25">
                  <c:v>3.5999999046325684</c:v>
                </c:pt>
                <c:pt idx="26">
                  <c:v>3.5999999046325684</c:v>
                </c:pt>
                <c:pt idx="27">
                  <c:v>3.5999999046325684</c:v>
                </c:pt>
                <c:pt idx="28">
                  <c:v>3.5999999046325684</c:v>
                </c:pt>
                <c:pt idx="29">
                  <c:v>3.5999999046325684</c:v>
                </c:pt>
                <c:pt idx="30">
                  <c:v>3.5999999046325684</c:v>
                </c:pt>
                <c:pt idx="3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6412-44AB-9946-BD3AA8BEC172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  <c:pt idx="5">
                  <c:v>3.5999999046325684</c:v>
                </c:pt>
                <c:pt idx="6">
                  <c:v>3.5999999046325684</c:v>
                </c:pt>
                <c:pt idx="7">
                  <c:v>3.5999999046325684</c:v>
                </c:pt>
                <c:pt idx="8">
                  <c:v>3.5999999046325684</c:v>
                </c:pt>
                <c:pt idx="9">
                  <c:v>3.5999999046325684</c:v>
                </c:pt>
                <c:pt idx="10">
                  <c:v>3.5999999046325684</c:v>
                </c:pt>
                <c:pt idx="11">
                  <c:v>3.5999999046325684</c:v>
                </c:pt>
                <c:pt idx="12">
                  <c:v>3.5999999046325684</c:v>
                </c:pt>
                <c:pt idx="13">
                  <c:v>3.5999999046325684</c:v>
                </c:pt>
                <c:pt idx="14">
                  <c:v>3.5999999046325684</c:v>
                </c:pt>
                <c:pt idx="15">
                  <c:v>3.5999999046325684</c:v>
                </c:pt>
                <c:pt idx="16">
                  <c:v>3.5999999046325684</c:v>
                </c:pt>
                <c:pt idx="17">
                  <c:v>3.5999999046325684</c:v>
                </c:pt>
                <c:pt idx="18">
                  <c:v>3.5999999046325684</c:v>
                </c:pt>
                <c:pt idx="19">
                  <c:v>3.5999999046325684</c:v>
                </c:pt>
                <c:pt idx="20">
                  <c:v>3.5999999046325684</c:v>
                </c:pt>
                <c:pt idx="21">
                  <c:v>3.5999999046325684</c:v>
                </c:pt>
                <c:pt idx="22">
                  <c:v>3.5999999046325684</c:v>
                </c:pt>
                <c:pt idx="23">
                  <c:v>3.5999999046325684</c:v>
                </c:pt>
                <c:pt idx="24">
                  <c:v>3.5999999046325684</c:v>
                </c:pt>
                <c:pt idx="25">
                  <c:v>3.5999999046325684</c:v>
                </c:pt>
                <c:pt idx="26">
                  <c:v>3.5999999046325684</c:v>
                </c:pt>
                <c:pt idx="27">
                  <c:v>3.5999999046325684</c:v>
                </c:pt>
                <c:pt idx="28">
                  <c:v>3.5999999046325684</c:v>
                </c:pt>
                <c:pt idx="29">
                  <c:v>3.5999999046325684</c:v>
                </c:pt>
                <c:pt idx="30">
                  <c:v>3.5999999046325684</c:v>
                </c:pt>
                <c:pt idx="3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6412-44AB-9946-BD3AA8BEC172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2.5508135058442862</c:v>
                </c:pt>
                <c:pt idx="1">
                  <c:v>2.5508135058442862</c:v>
                </c:pt>
                <c:pt idx="2">
                  <c:v>2.5508135058442862</c:v>
                </c:pt>
                <c:pt idx="3">
                  <c:v>2.5508135058442862</c:v>
                </c:pt>
                <c:pt idx="4">
                  <c:v>2.5508135058442862</c:v>
                </c:pt>
                <c:pt idx="5">
                  <c:v>2.5508135058442862</c:v>
                </c:pt>
                <c:pt idx="6">
                  <c:v>2.5508135058442862</c:v>
                </c:pt>
                <c:pt idx="7">
                  <c:v>2.5508135058442862</c:v>
                </c:pt>
                <c:pt idx="8">
                  <c:v>2.5508135058442862</c:v>
                </c:pt>
                <c:pt idx="9">
                  <c:v>2.5508135058442862</c:v>
                </c:pt>
                <c:pt idx="10">
                  <c:v>2.5508135058442862</c:v>
                </c:pt>
                <c:pt idx="11">
                  <c:v>2.5508135058442862</c:v>
                </c:pt>
                <c:pt idx="12">
                  <c:v>2.5508135058442862</c:v>
                </c:pt>
                <c:pt idx="13">
                  <c:v>2.5508135058442862</c:v>
                </c:pt>
                <c:pt idx="14">
                  <c:v>2.5508135058442862</c:v>
                </c:pt>
                <c:pt idx="15">
                  <c:v>2.5508135058442862</c:v>
                </c:pt>
                <c:pt idx="16">
                  <c:v>2.5508135058442862</c:v>
                </c:pt>
                <c:pt idx="17">
                  <c:v>2.5508135058442862</c:v>
                </c:pt>
                <c:pt idx="18">
                  <c:v>2.5508135058442862</c:v>
                </c:pt>
                <c:pt idx="19">
                  <c:v>2.5508135058442862</c:v>
                </c:pt>
                <c:pt idx="20">
                  <c:v>2.5508135058442862</c:v>
                </c:pt>
                <c:pt idx="21">
                  <c:v>2.5508135058442862</c:v>
                </c:pt>
                <c:pt idx="22">
                  <c:v>2.5508135058442862</c:v>
                </c:pt>
                <c:pt idx="23">
                  <c:v>2.5508135058442862</c:v>
                </c:pt>
                <c:pt idx="24">
                  <c:v>2.5508135058442862</c:v>
                </c:pt>
                <c:pt idx="25">
                  <c:v>2.5508135058442862</c:v>
                </c:pt>
                <c:pt idx="26">
                  <c:v>2.5508135058442862</c:v>
                </c:pt>
                <c:pt idx="27">
                  <c:v>2.5508135058442862</c:v>
                </c:pt>
                <c:pt idx="28">
                  <c:v>2.5508135058442862</c:v>
                </c:pt>
                <c:pt idx="29">
                  <c:v>2.5508135058442862</c:v>
                </c:pt>
                <c:pt idx="30">
                  <c:v>2.5508135058442862</c:v>
                </c:pt>
                <c:pt idx="31">
                  <c:v>2.5508135058442862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0.8819063423581377</c:v>
                </c:pt>
                <c:pt idx="1">
                  <c:v>0.8819063423581377</c:v>
                </c:pt>
                <c:pt idx="2">
                  <c:v>0.8819063423581377</c:v>
                </c:pt>
                <c:pt idx="3">
                  <c:v>0.8819063423581377</c:v>
                </c:pt>
                <c:pt idx="4">
                  <c:v>0.8819063423581377</c:v>
                </c:pt>
                <c:pt idx="5">
                  <c:v>0.8819063423581377</c:v>
                </c:pt>
                <c:pt idx="6">
                  <c:v>0.8819063423581377</c:v>
                </c:pt>
                <c:pt idx="7">
                  <c:v>0.8819063423581377</c:v>
                </c:pt>
                <c:pt idx="8">
                  <c:v>0.8819063423581377</c:v>
                </c:pt>
                <c:pt idx="9">
                  <c:v>0.8819063423581377</c:v>
                </c:pt>
                <c:pt idx="10">
                  <c:v>0.8819063423581377</c:v>
                </c:pt>
                <c:pt idx="11">
                  <c:v>0.8819063423581377</c:v>
                </c:pt>
                <c:pt idx="12">
                  <c:v>0.8819063423581377</c:v>
                </c:pt>
                <c:pt idx="13">
                  <c:v>0.8819063423581377</c:v>
                </c:pt>
                <c:pt idx="14">
                  <c:v>0.8819063423581377</c:v>
                </c:pt>
                <c:pt idx="15">
                  <c:v>0.8819063423581377</c:v>
                </c:pt>
                <c:pt idx="16">
                  <c:v>0.8819063423581377</c:v>
                </c:pt>
                <c:pt idx="17">
                  <c:v>0.8819063423581377</c:v>
                </c:pt>
                <c:pt idx="18">
                  <c:v>0.8819063423581377</c:v>
                </c:pt>
                <c:pt idx="19">
                  <c:v>0.8819063423581377</c:v>
                </c:pt>
                <c:pt idx="20">
                  <c:v>0.8819063423581377</c:v>
                </c:pt>
                <c:pt idx="21">
                  <c:v>0.8819063423581377</c:v>
                </c:pt>
                <c:pt idx="22">
                  <c:v>0.8819063423581377</c:v>
                </c:pt>
                <c:pt idx="23">
                  <c:v>0.8819063423581377</c:v>
                </c:pt>
                <c:pt idx="24">
                  <c:v>0.8819063423581377</c:v>
                </c:pt>
                <c:pt idx="25">
                  <c:v>0.8819063423581377</c:v>
                </c:pt>
                <c:pt idx="26">
                  <c:v>0.8819063423581377</c:v>
                </c:pt>
                <c:pt idx="27">
                  <c:v>0.8819063423581377</c:v>
                </c:pt>
                <c:pt idx="28">
                  <c:v>0.8819063423581377</c:v>
                </c:pt>
                <c:pt idx="29">
                  <c:v>0.8819063423581377</c:v>
                </c:pt>
                <c:pt idx="30">
                  <c:v>0.8819063423581377</c:v>
                </c:pt>
                <c:pt idx="31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6412-44AB-9946-BD3AA8BEC172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5.2717980643062301</c:v>
                </c:pt>
                <c:pt idx="1">
                  <c:v>5.2717980643062301</c:v>
                </c:pt>
                <c:pt idx="2">
                  <c:v>5.2717980643062301</c:v>
                </c:pt>
                <c:pt idx="3">
                  <c:v>5.2717980643062301</c:v>
                </c:pt>
                <c:pt idx="4">
                  <c:v>5.2717980643062301</c:v>
                </c:pt>
                <c:pt idx="5">
                  <c:v>5.2717980643062301</c:v>
                </c:pt>
                <c:pt idx="6">
                  <c:v>5.2717980643062301</c:v>
                </c:pt>
                <c:pt idx="7">
                  <c:v>5.2717980643062301</c:v>
                </c:pt>
                <c:pt idx="8">
                  <c:v>5.2717980643062301</c:v>
                </c:pt>
                <c:pt idx="9">
                  <c:v>5.2717980643062301</c:v>
                </c:pt>
                <c:pt idx="10">
                  <c:v>5.2717980643062301</c:v>
                </c:pt>
                <c:pt idx="11">
                  <c:v>5.2717980643062301</c:v>
                </c:pt>
                <c:pt idx="12">
                  <c:v>5.2717980643062301</c:v>
                </c:pt>
                <c:pt idx="13">
                  <c:v>5.2717980643062301</c:v>
                </c:pt>
                <c:pt idx="14">
                  <c:v>5.2717980643062301</c:v>
                </c:pt>
                <c:pt idx="15">
                  <c:v>5.2717980643062301</c:v>
                </c:pt>
                <c:pt idx="16">
                  <c:v>5.2717980643062301</c:v>
                </c:pt>
                <c:pt idx="17">
                  <c:v>5.2717980643062301</c:v>
                </c:pt>
                <c:pt idx="18">
                  <c:v>5.2717980643062301</c:v>
                </c:pt>
                <c:pt idx="19">
                  <c:v>5.2717980643062301</c:v>
                </c:pt>
                <c:pt idx="20">
                  <c:v>5.2717980643062301</c:v>
                </c:pt>
                <c:pt idx="21">
                  <c:v>5.2717980643062301</c:v>
                </c:pt>
                <c:pt idx="22">
                  <c:v>5.2717980643062301</c:v>
                </c:pt>
                <c:pt idx="23">
                  <c:v>5.2717980643062301</c:v>
                </c:pt>
                <c:pt idx="24">
                  <c:v>5.2717980643062301</c:v>
                </c:pt>
                <c:pt idx="25">
                  <c:v>5.2717980643062301</c:v>
                </c:pt>
                <c:pt idx="26">
                  <c:v>5.2717980643062301</c:v>
                </c:pt>
                <c:pt idx="27">
                  <c:v>5.2717980643062301</c:v>
                </c:pt>
                <c:pt idx="28">
                  <c:v>5.2717980643062301</c:v>
                </c:pt>
                <c:pt idx="29">
                  <c:v>5.2717980643062301</c:v>
                </c:pt>
                <c:pt idx="30">
                  <c:v>5.2717980643062301</c:v>
                </c:pt>
                <c:pt idx="31">
                  <c:v>5.2717980643062301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0.91863725774052185</c:v>
                </c:pt>
                <c:pt idx="1">
                  <c:v>0.91863725774052185</c:v>
                </c:pt>
                <c:pt idx="2">
                  <c:v>0.91863725774052185</c:v>
                </c:pt>
                <c:pt idx="3">
                  <c:v>0.91863725774052185</c:v>
                </c:pt>
                <c:pt idx="4">
                  <c:v>0.91863725774052185</c:v>
                </c:pt>
                <c:pt idx="5">
                  <c:v>0.91863725774052185</c:v>
                </c:pt>
                <c:pt idx="6">
                  <c:v>0.91863725774052185</c:v>
                </c:pt>
                <c:pt idx="7">
                  <c:v>0.91863725774052185</c:v>
                </c:pt>
                <c:pt idx="8">
                  <c:v>0.91863725774052185</c:v>
                </c:pt>
                <c:pt idx="9">
                  <c:v>0.91863725774052185</c:v>
                </c:pt>
                <c:pt idx="10">
                  <c:v>0.91863725774052185</c:v>
                </c:pt>
                <c:pt idx="11">
                  <c:v>0.91863725774052185</c:v>
                </c:pt>
                <c:pt idx="12">
                  <c:v>0.91863725774052185</c:v>
                </c:pt>
                <c:pt idx="13">
                  <c:v>0.91863725774052185</c:v>
                </c:pt>
                <c:pt idx="14">
                  <c:v>0.91863725774052185</c:v>
                </c:pt>
                <c:pt idx="15">
                  <c:v>0.91863725774052185</c:v>
                </c:pt>
                <c:pt idx="16">
                  <c:v>0.91863725774052185</c:v>
                </c:pt>
                <c:pt idx="17">
                  <c:v>0.91863725774052185</c:v>
                </c:pt>
                <c:pt idx="18">
                  <c:v>0.91863725774052185</c:v>
                </c:pt>
                <c:pt idx="19">
                  <c:v>0.91863725774052185</c:v>
                </c:pt>
                <c:pt idx="20">
                  <c:v>0.91863725774052185</c:v>
                </c:pt>
                <c:pt idx="21">
                  <c:v>0.91863725774052185</c:v>
                </c:pt>
                <c:pt idx="22">
                  <c:v>0.91863725774052185</c:v>
                </c:pt>
                <c:pt idx="23">
                  <c:v>0.91863725774052185</c:v>
                </c:pt>
                <c:pt idx="24">
                  <c:v>0.91863725774052185</c:v>
                </c:pt>
                <c:pt idx="25">
                  <c:v>0.91863725774052185</c:v>
                </c:pt>
                <c:pt idx="26">
                  <c:v>0.91863725774052185</c:v>
                </c:pt>
                <c:pt idx="27">
                  <c:v>0.91863725774052185</c:v>
                </c:pt>
                <c:pt idx="28">
                  <c:v>0.91863725774052185</c:v>
                </c:pt>
                <c:pt idx="29">
                  <c:v>0.91863725774052185</c:v>
                </c:pt>
                <c:pt idx="30">
                  <c:v>0.91863725774052185</c:v>
                </c:pt>
                <c:pt idx="31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6412-44AB-9946-BD3AA8BEC172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3.3533233680977133</c:v>
                </c:pt>
                <c:pt idx="1">
                  <c:v>3.3533233680977133</c:v>
                </c:pt>
                <c:pt idx="2">
                  <c:v>3.3533233680977133</c:v>
                </c:pt>
                <c:pt idx="3">
                  <c:v>3.3533233680977133</c:v>
                </c:pt>
                <c:pt idx="4">
                  <c:v>3.3533233680977133</c:v>
                </c:pt>
                <c:pt idx="5">
                  <c:v>3.3533233680977133</c:v>
                </c:pt>
                <c:pt idx="6">
                  <c:v>3.3533233680977133</c:v>
                </c:pt>
                <c:pt idx="7">
                  <c:v>3.3533233680977133</c:v>
                </c:pt>
                <c:pt idx="8">
                  <c:v>3.3533233680977133</c:v>
                </c:pt>
                <c:pt idx="9">
                  <c:v>3.3533233680977133</c:v>
                </c:pt>
                <c:pt idx="10">
                  <c:v>3.3533233680977133</c:v>
                </c:pt>
                <c:pt idx="11">
                  <c:v>3.3533233680977133</c:v>
                </c:pt>
                <c:pt idx="12">
                  <c:v>3.3533233680977133</c:v>
                </c:pt>
                <c:pt idx="13">
                  <c:v>3.3533233680977133</c:v>
                </c:pt>
                <c:pt idx="14">
                  <c:v>3.3533233680977133</c:v>
                </c:pt>
                <c:pt idx="15">
                  <c:v>3.3533233680977133</c:v>
                </c:pt>
                <c:pt idx="16">
                  <c:v>3.3533233680977133</c:v>
                </c:pt>
                <c:pt idx="17">
                  <c:v>3.3533233680977133</c:v>
                </c:pt>
                <c:pt idx="18">
                  <c:v>3.3533233680977133</c:v>
                </c:pt>
                <c:pt idx="19">
                  <c:v>3.3533233680977133</c:v>
                </c:pt>
                <c:pt idx="20">
                  <c:v>3.3533233680977133</c:v>
                </c:pt>
                <c:pt idx="21">
                  <c:v>3.3533233680977133</c:v>
                </c:pt>
                <c:pt idx="22">
                  <c:v>3.3533233680977133</c:v>
                </c:pt>
                <c:pt idx="23">
                  <c:v>3.3533233680977133</c:v>
                </c:pt>
                <c:pt idx="24">
                  <c:v>3.3533233680977133</c:v>
                </c:pt>
                <c:pt idx="25">
                  <c:v>3.3533233680977133</c:v>
                </c:pt>
                <c:pt idx="26">
                  <c:v>3.3533233680977133</c:v>
                </c:pt>
                <c:pt idx="27">
                  <c:v>3.3533233680977133</c:v>
                </c:pt>
                <c:pt idx="28">
                  <c:v>3.3533233680977133</c:v>
                </c:pt>
                <c:pt idx="29">
                  <c:v>3.3533233680977133</c:v>
                </c:pt>
                <c:pt idx="30">
                  <c:v>3.3533233680977133</c:v>
                </c:pt>
                <c:pt idx="31">
                  <c:v>3.3533233680977133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2.7261509686366132</c:v>
                </c:pt>
                <c:pt idx="1">
                  <c:v>2.7261509686366132</c:v>
                </c:pt>
                <c:pt idx="2">
                  <c:v>2.7261509686366132</c:v>
                </c:pt>
                <c:pt idx="3">
                  <c:v>2.7261509686366132</c:v>
                </c:pt>
                <c:pt idx="4">
                  <c:v>2.7261509686366132</c:v>
                </c:pt>
                <c:pt idx="5">
                  <c:v>2.7261509686366132</c:v>
                </c:pt>
                <c:pt idx="6">
                  <c:v>2.7261509686366132</c:v>
                </c:pt>
                <c:pt idx="7">
                  <c:v>2.7261509686366132</c:v>
                </c:pt>
                <c:pt idx="8">
                  <c:v>2.7261509686366132</c:v>
                </c:pt>
                <c:pt idx="9">
                  <c:v>2.7261509686366132</c:v>
                </c:pt>
                <c:pt idx="10">
                  <c:v>2.7261509686366132</c:v>
                </c:pt>
                <c:pt idx="11">
                  <c:v>2.7261509686366132</c:v>
                </c:pt>
                <c:pt idx="12">
                  <c:v>2.7261509686366132</c:v>
                </c:pt>
                <c:pt idx="13">
                  <c:v>2.7261509686366132</c:v>
                </c:pt>
                <c:pt idx="14">
                  <c:v>2.7261509686366132</c:v>
                </c:pt>
                <c:pt idx="15">
                  <c:v>2.7261509686366132</c:v>
                </c:pt>
                <c:pt idx="16">
                  <c:v>2.7261509686366132</c:v>
                </c:pt>
                <c:pt idx="17">
                  <c:v>2.7261509686366132</c:v>
                </c:pt>
                <c:pt idx="18">
                  <c:v>2.7261509686366132</c:v>
                </c:pt>
                <c:pt idx="19">
                  <c:v>2.7261509686366132</c:v>
                </c:pt>
                <c:pt idx="20">
                  <c:v>2.7261509686366132</c:v>
                </c:pt>
                <c:pt idx="21">
                  <c:v>2.7261509686366132</c:v>
                </c:pt>
                <c:pt idx="22">
                  <c:v>2.7261509686366132</c:v>
                </c:pt>
                <c:pt idx="23">
                  <c:v>2.7261509686366132</c:v>
                </c:pt>
                <c:pt idx="24">
                  <c:v>2.7261509686366132</c:v>
                </c:pt>
                <c:pt idx="25">
                  <c:v>2.7261509686366132</c:v>
                </c:pt>
                <c:pt idx="26">
                  <c:v>2.7261509686366132</c:v>
                </c:pt>
                <c:pt idx="27">
                  <c:v>2.7261509686366132</c:v>
                </c:pt>
                <c:pt idx="28">
                  <c:v>2.7261509686366132</c:v>
                </c:pt>
                <c:pt idx="29">
                  <c:v>2.7261509686366132</c:v>
                </c:pt>
                <c:pt idx="30">
                  <c:v>2.7261509686366132</c:v>
                </c:pt>
                <c:pt idx="31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6412-44AB-9946-BD3AA8BEC172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4.3735740188221861</c:v>
                </c:pt>
                <c:pt idx="1">
                  <c:v>4.3735740188221861</c:v>
                </c:pt>
                <c:pt idx="2">
                  <c:v>4.3735740188221861</c:v>
                </c:pt>
                <c:pt idx="3">
                  <c:v>4.3735740188221861</c:v>
                </c:pt>
                <c:pt idx="4">
                  <c:v>4.3735740188221861</c:v>
                </c:pt>
                <c:pt idx="5">
                  <c:v>4.3735740188221861</c:v>
                </c:pt>
                <c:pt idx="6">
                  <c:v>4.3735740188221861</c:v>
                </c:pt>
                <c:pt idx="7">
                  <c:v>4.3735740188221861</c:v>
                </c:pt>
                <c:pt idx="8">
                  <c:v>4.3735740188221861</c:v>
                </c:pt>
                <c:pt idx="9">
                  <c:v>4.3735740188221861</c:v>
                </c:pt>
                <c:pt idx="10">
                  <c:v>4.3735740188221861</c:v>
                </c:pt>
                <c:pt idx="11">
                  <c:v>4.3735740188221861</c:v>
                </c:pt>
                <c:pt idx="12">
                  <c:v>4.3735740188221861</c:v>
                </c:pt>
                <c:pt idx="13">
                  <c:v>4.3735740188221861</c:v>
                </c:pt>
                <c:pt idx="14">
                  <c:v>4.3735740188221861</c:v>
                </c:pt>
                <c:pt idx="15">
                  <c:v>4.3735740188221861</c:v>
                </c:pt>
                <c:pt idx="16">
                  <c:v>4.3735740188221861</c:v>
                </c:pt>
                <c:pt idx="17">
                  <c:v>4.3735740188221861</c:v>
                </c:pt>
                <c:pt idx="18">
                  <c:v>4.3735740188221861</c:v>
                </c:pt>
                <c:pt idx="19">
                  <c:v>4.3735740188221861</c:v>
                </c:pt>
                <c:pt idx="20">
                  <c:v>4.3735740188221861</c:v>
                </c:pt>
                <c:pt idx="21">
                  <c:v>4.3735740188221861</c:v>
                </c:pt>
                <c:pt idx="22">
                  <c:v>4.3735740188221861</c:v>
                </c:pt>
                <c:pt idx="23">
                  <c:v>4.3735740188221861</c:v>
                </c:pt>
                <c:pt idx="24">
                  <c:v>4.3735740188221861</c:v>
                </c:pt>
                <c:pt idx="25">
                  <c:v>4.3735740188221861</c:v>
                </c:pt>
                <c:pt idx="26">
                  <c:v>4.3735740188221861</c:v>
                </c:pt>
                <c:pt idx="27">
                  <c:v>4.3735740188221861</c:v>
                </c:pt>
                <c:pt idx="28">
                  <c:v>4.3735740188221861</c:v>
                </c:pt>
                <c:pt idx="29">
                  <c:v>4.3735740188221861</c:v>
                </c:pt>
                <c:pt idx="30">
                  <c:v>4.3735740188221861</c:v>
                </c:pt>
                <c:pt idx="31">
                  <c:v>4.3735740188221861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2.7483914883909044</c:v>
                </c:pt>
                <c:pt idx="1">
                  <c:v>2.7483914883909044</c:v>
                </c:pt>
                <c:pt idx="2">
                  <c:v>2.7483914883909044</c:v>
                </c:pt>
                <c:pt idx="3">
                  <c:v>2.7483914883909044</c:v>
                </c:pt>
                <c:pt idx="4">
                  <c:v>2.7483914883909044</c:v>
                </c:pt>
                <c:pt idx="5">
                  <c:v>2.7483914883909044</c:v>
                </c:pt>
                <c:pt idx="6">
                  <c:v>2.7483914883909044</c:v>
                </c:pt>
                <c:pt idx="7">
                  <c:v>2.7483914883909044</c:v>
                </c:pt>
                <c:pt idx="8">
                  <c:v>2.7483914883909044</c:v>
                </c:pt>
                <c:pt idx="9">
                  <c:v>2.7483914883909044</c:v>
                </c:pt>
                <c:pt idx="10">
                  <c:v>2.7483914883909044</c:v>
                </c:pt>
                <c:pt idx="11">
                  <c:v>2.7483914883909044</c:v>
                </c:pt>
                <c:pt idx="12">
                  <c:v>2.7483914883909044</c:v>
                </c:pt>
                <c:pt idx="13">
                  <c:v>2.7483914883909044</c:v>
                </c:pt>
                <c:pt idx="14">
                  <c:v>2.7483914883909044</c:v>
                </c:pt>
                <c:pt idx="15">
                  <c:v>2.7483914883909044</c:v>
                </c:pt>
                <c:pt idx="16">
                  <c:v>2.7483914883909044</c:v>
                </c:pt>
                <c:pt idx="17">
                  <c:v>2.7483914883909044</c:v>
                </c:pt>
                <c:pt idx="18">
                  <c:v>2.7483914883909044</c:v>
                </c:pt>
                <c:pt idx="19">
                  <c:v>2.7483914883909044</c:v>
                </c:pt>
                <c:pt idx="20">
                  <c:v>2.7483914883909044</c:v>
                </c:pt>
                <c:pt idx="21">
                  <c:v>2.7483914883909044</c:v>
                </c:pt>
                <c:pt idx="22">
                  <c:v>2.7483914883909044</c:v>
                </c:pt>
                <c:pt idx="23">
                  <c:v>2.7483914883909044</c:v>
                </c:pt>
                <c:pt idx="24">
                  <c:v>2.7483914883909044</c:v>
                </c:pt>
                <c:pt idx="25">
                  <c:v>2.7483914883909044</c:v>
                </c:pt>
                <c:pt idx="26">
                  <c:v>2.7483914883909044</c:v>
                </c:pt>
                <c:pt idx="27">
                  <c:v>2.7483914883909044</c:v>
                </c:pt>
                <c:pt idx="28">
                  <c:v>2.7483914883909044</c:v>
                </c:pt>
                <c:pt idx="29">
                  <c:v>2.7483914883909044</c:v>
                </c:pt>
                <c:pt idx="30">
                  <c:v>2.7483914883909044</c:v>
                </c:pt>
                <c:pt idx="31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6412-44AB-9946-BD3AA8BEC172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  <c:pt idx="5">
                  <c:v>-6.4499998092651367</c:v>
                </c:pt>
                <c:pt idx="6">
                  <c:v>-6.4499998092651367</c:v>
                </c:pt>
                <c:pt idx="7">
                  <c:v>-6.4499998092651367</c:v>
                </c:pt>
                <c:pt idx="8">
                  <c:v>-6.4499998092651367</c:v>
                </c:pt>
                <c:pt idx="9">
                  <c:v>-6.4499998092651367</c:v>
                </c:pt>
                <c:pt idx="10">
                  <c:v>-6.4499998092651367</c:v>
                </c:pt>
                <c:pt idx="11">
                  <c:v>-6.4499998092651367</c:v>
                </c:pt>
                <c:pt idx="12">
                  <c:v>-6.4499998092651367</c:v>
                </c:pt>
                <c:pt idx="13">
                  <c:v>-6.4499998092651367</c:v>
                </c:pt>
                <c:pt idx="14">
                  <c:v>-6.4499998092651367</c:v>
                </c:pt>
                <c:pt idx="15">
                  <c:v>-6.4499998092651367</c:v>
                </c:pt>
                <c:pt idx="16">
                  <c:v>-6.4499998092651367</c:v>
                </c:pt>
                <c:pt idx="17">
                  <c:v>-6.4499998092651367</c:v>
                </c:pt>
                <c:pt idx="18">
                  <c:v>-6.4499998092651367</c:v>
                </c:pt>
                <c:pt idx="19">
                  <c:v>-6.4499998092651367</c:v>
                </c:pt>
                <c:pt idx="20">
                  <c:v>-6.4499998092651367</c:v>
                </c:pt>
                <c:pt idx="21">
                  <c:v>-6.4499998092651367</c:v>
                </c:pt>
                <c:pt idx="22">
                  <c:v>-6.4499998092651367</c:v>
                </c:pt>
                <c:pt idx="23">
                  <c:v>-6.4499998092651367</c:v>
                </c:pt>
                <c:pt idx="24">
                  <c:v>-6.4499998092651367</c:v>
                </c:pt>
                <c:pt idx="25">
                  <c:v>-6.4499998092651367</c:v>
                </c:pt>
                <c:pt idx="26">
                  <c:v>-6.4499998092651367</c:v>
                </c:pt>
                <c:pt idx="27">
                  <c:v>-6.4499998092651367</c:v>
                </c:pt>
                <c:pt idx="28">
                  <c:v>-6.4499998092651367</c:v>
                </c:pt>
                <c:pt idx="29">
                  <c:v>-6.4499998092651367</c:v>
                </c:pt>
                <c:pt idx="30">
                  <c:v>-6.4499998092651367</c:v>
                </c:pt>
                <c:pt idx="31">
                  <c:v>-6.4499998092651367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  <c:pt idx="5">
                  <c:v>0.89999997615814209</c:v>
                </c:pt>
                <c:pt idx="6">
                  <c:v>0.89999997615814209</c:v>
                </c:pt>
                <c:pt idx="7">
                  <c:v>0.89999997615814209</c:v>
                </c:pt>
                <c:pt idx="8">
                  <c:v>0.89999997615814209</c:v>
                </c:pt>
                <c:pt idx="9">
                  <c:v>0.89999997615814209</c:v>
                </c:pt>
                <c:pt idx="10">
                  <c:v>0.89999997615814209</c:v>
                </c:pt>
                <c:pt idx="11">
                  <c:v>0.89999997615814209</c:v>
                </c:pt>
                <c:pt idx="12">
                  <c:v>0.89999997615814209</c:v>
                </c:pt>
                <c:pt idx="13">
                  <c:v>0.89999997615814209</c:v>
                </c:pt>
                <c:pt idx="14">
                  <c:v>0.89999997615814209</c:v>
                </c:pt>
                <c:pt idx="15">
                  <c:v>0.89999997615814209</c:v>
                </c:pt>
                <c:pt idx="16">
                  <c:v>0.89999997615814209</c:v>
                </c:pt>
                <c:pt idx="17">
                  <c:v>0.89999997615814209</c:v>
                </c:pt>
                <c:pt idx="18">
                  <c:v>0.89999997615814209</c:v>
                </c:pt>
                <c:pt idx="19">
                  <c:v>0.89999997615814209</c:v>
                </c:pt>
                <c:pt idx="20">
                  <c:v>0.89999997615814209</c:v>
                </c:pt>
                <c:pt idx="21">
                  <c:v>0.89999997615814209</c:v>
                </c:pt>
                <c:pt idx="22">
                  <c:v>0.89999997615814209</c:v>
                </c:pt>
                <c:pt idx="23">
                  <c:v>0.89999997615814209</c:v>
                </c:pt>
                <c:pt idx="24">
                  <c:v>0.89999997615814209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0.89999997615814209</c:v>
                </c:pt>
                <c:pt idx="28">
                  <c:v>0.89999997615814209</c:v>
                </c:pt>
                <c:pt idx="29">
                  <c:v>0.89999997615814209</c:v>
                </c:pt>
                <c:pt idx="30">
                  <c:v>0.89999997615814209</c:v>
                </c:pt>
                <c:pt idx="3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6412-44AB-9946-BD3AA8BEC172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  <c:pt idx="5">
                  <c:v>-5.8499999046325684</c:v>
                </c:pt>
                <c:pt idx="6">
                  <c:v>-5.8499999046325684</c:v>
                </c:pt>
                <c:pt idx="7">
                  <c:v>-5.8499999046325684</c:v>
                </c:pt>
                <c:pt idx="8">
                  <c:v>-5.8499999046325684</c:v>
                </c:pt>
                <c:pt idx="9">
                  <c:v>-5.8499999046325684</c:v>
                </c:pt>
                <c:pt idx="10">
                  <c:v>-5.8499999046325684</c:v>
                </c:pt>
                <c:pt idx="11">
                  <c:v>-5.8499999046325684</c:v>
                </c:pt>
                <c:pt idx="12">
                  <c:v>-5.8499999046325684</c:v>
                </c:pt>
                <c:pt idx="13">
                  <c:v>-5.8499999046325684</c:v>
                </c:pt>
                <c:pt idx="14">
                  <c:v>-5.8499999046325684</c:v>
                </c:pt>
                <c:pt idx="15">
                  <c:v>-5.8499999046325684</c:v>
                </c:pt>
                <c:pt idx="16">
                  <c:v>-5.8499999046325684</c:v>
                </c:pt>
                <c:pt idx="17">
                  <c:v>-5.8499999046325684</c:v>
                </c:pt>
                <c:pt idx="18">
                  <c:v>-5.8499999046325684</c:v>
                </c:pt>
                <c:pt idx="19">
                  <c:v>-5.8499999046325684</c:v>
                </c:pt>
                <c:pt idx="20">
                  <c:v>-5.8499999046325684</c:v>
                </c:pt>
                <c:pt idx="21">
                  <c:v>-5.8499999046325684</c:v>
                </c:pt>
                <c:pt idx="22">
                  <c:v>-5.8499999046325684</c:v>
                </c:pt>
                <c:pt idx="23">
                  <c:v>-5.8499999046325684</c:v>
                </c:pt>
                <c:pt idx="24">
                  <c:v>-5.8499999046325684</c:v>
                </c:pt>
                <c:pt idx="25">
                  <c:v>-5.8499999046325684</c:v>
                </c:pt>
                <c:pt idx="26">
                  <c:v>-5.8499999046325684</c:v>
                </c:pt>
                <c:pt idx="27">
                  <c:v>-5.8499999046325684</c:v>
                </c:pt>
                <c:pt idx="28">
                  <c:v>-5.8499999046325684</c:v>
                </c:pt>
                <c:pt idx="29">
                  <c:v>-5.8499999046325684</c:v>
                </c:pt>
                <c:pt idx="30">
                  <c:v>-5.8499999046325684</c:v>
                </c:pt>
                <c:pt idx="31">
                  <c:v>-5.8499999046325684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  <c:pt idx="5">
                  <c:v>0.89999997615814209</c:v>
                </c:pt>
                <c:pt idx="6">
                  <c:v>0.89999997615814209</c:v>
                </c:pt>
                <c:pt idx="7">
                  <c:v>0.89999997615814209</c:v>
                </c:pt>
                <c:pt idx="8">
                  <c:v>0.89999997615814209</c:v>
                </c:pt>
                <c:pt idx="9">
                  <c:v>0.89999997615814209</c:v>
                </c:pt>
                <c:pt idx="10">
                  <c:v>0.89999997615814209</c:v>
                </c:pt>
                <c:pt idx="11">
                  <c:v>0.89999997615814209</c:v>
                </c:pt>
                <c:pt idx="12">
                  <c:v>0.89999997615814209</c:v>
                </c:pt>
                <c:pt idx="13">
                  <c:v>0.89999997615814209</c:v>
                </c:pt>
                <c:pt idx="14">
                  <c:v>0.89999997615814209</c:v>
                </c:pt>
                <c:pt idx="15">
                  <c:v>0.89999997615814209</c:v>
                </c:pt>
                <c:pt idx="16">
                  <c:v>0.89999997615814209</c:v>
                </c:pt>
                <c:pt idx="17">
                  <c:v>0.89999997615814209</c:v>
                </c:pt>
                <c:pt idx="18">
                  <c:v>0.89999997615814209</c:v>
                </c:pt>
                <c:pt idx="19">
                  <c:v>0.89999997615814209</c:v>
                </c:pt>
                <c:pt idx="20">
                  <c:v>0.89999997615814209</c:v>
                </c:pt>
                <c:pt idx="21">
                  <c:v>0.89999997615814209</c:v>
                </c:pt>
                <c:pt idx="22">
                  <c:v>0.89999997615814209</c:v>
                </c:pt>
                <c:pt idx="23">
                  <c:v>0.89999997615814209</c:v>
                </c:pt>
                <c:pt idx="24">
                  <c:v>0.89999997615814209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0.89999997615814209</c:v>
                </c:pt>
                <c:pt idx="28">
                  <c:v>0.89999997615814209</c:v>
                </c:pt>
                <c:pt idx="29">
                  <c:v>0.89999997615814209</c:v>
                </c:pt>
                <c:pt idx="30">
                  <c:v>0.89999997615814209</c:v>
                </c:pt>
                <c:pt idx="3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6412-44AB-9946-BD3AA8BEC172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  <c:pt idx="5">
                  <c:v>-4.3499999046325684</c:v>
                </c:pt>
                <c:pt idx="6">
                  <c:v>-4.3499999046325684</c:v>
                </c:pt>
                <c:pt idx="7">
                  <c:v>-4.3499999046325684</c:v>
                </c:pt>
                <c:pt idx="8">
                  <c:v>-4.3499999046325684</c:v>
                </c:pt>
                <c:pt idx="9">
                  <c:v>-4.3499999046325684</c:v>
                </c:pt>
                <c:pt idx="10">
                  <c:v>-4.3499999046325684</c:v>
                </c:pt>
                <c:pt idx="11">
                  <c:v>-4.3499999046325684</c:v>
                </c:pt>
                <c:pt idx="12">
                  <c:v>-4.3499999046325684</c:v>
                </c:pt>
                <c:pt idx="13">
                  <c:v>-4.3499999046325684</c:v>
                </c:pt>
                <c:pt idx="14">
                  <c:v>-4.3499999046325684</c:v>
                </c:pt>
                <c:pt idx="15">
                  <c:v>-4.3499999046325684</c:v>
                </c:pt>
                <c:pt idx="16">
                  <c:v>-4.3499999046325684</c:v>
                </c:pt>
                <c:pt idx="17">
                  <c:v>-4.3499999046325684</c:v>
                </c:pt>
                <c:pt idx="18">
                  <c:v>-4.3499999046325684</c:v>
                </c:pt>
                <c:pt idx="19">
                  <c:v>-4.3499999046325684</c:v>
                </c:pt>
                <c:pt idx="20">
                  <c:v>-4.3499999046325684</c:v>
                </c:pt>
                <c:pt idx="21">
                  <c:v>-4.3499999046325684</c:v>
                </c:pt>
                <c:pt idx="22">
                  <c:v>-4.3499999046325684</c:v>
                </c:pt>
                <c:pt idx="23">
                  <c:v>-4.3499999046325684</c:v>
                </c:pt>
                <c:pt idx="24">
                  <c:v>-4.3499999046325684</c:v>
                </c:pt>
                <c:pt idx="25">
                  <c:v>-4.3499999046325684</c:v>
                </c:pt>
                <c:pt idx="26">
                  <c:v>-4.3499999046325684</c:v>
                </c:pt>
                <c:pt idx="27">
                  <c:v>-4.3499999046325684</c:v>
                </c:pt>
                <c:pt idx="28">
                  <c:v>-4.3499999046325684</c:v>
                </c:pt>
                <c:pt idx="29">
                  <c:v>-4.3499999046325684</c:v>
                </c:pt>
                <c:pt idx="30">
                  <c:v>-4.3499999046325684</c:v>
                </c:pt>
                <c:pt idx="31">
                  <c:v>-4.3499999046325684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  <c:pt idx="5">
                  <c:v>0.89999997615814209</c:v>
                </c:pt>
                <c:pt idx="6">
                  <c:v>0.89999997615814209</c:v>
                </c:pt>
                <c:pt idx="7">
                  <c:v>0.89999997615814209</c:v>
                </c:pt>
                <c:pt idx="8">
                  <c:v>0.89999997615814209</c:v>
                </c:pt>
                <c:pt idx="9">
                  <c:v>0.89999997615814209</c:v>
                </c:pt>
                <c:pt idx="10">
                  <c:v>0.89999997615814209</c:v>
                </c:pt>
                <c:pt idx="11">
                  <c:v>0.89999997615814209</c:v>
                </c:pt>
                <c:pt idx="12">
                  <c:v>0.89999997615814209</c:v>
                </c:pt>
                <c:pt idx="13">
                  <c:v>0.89999997615814209</c:v>
                </c:pt>
                <c:pt idx="14">
                  <c:v>0.89999997615814209</c:v>
                </c:pt>
                <c:pt idx="15">
                  <c:v>0.89999997615814209</c:v>
                </c:pt>
                <c:pt idx="16">
                  <c:v>0.89999997615814209</c:v>
                </c:pt>
                <c:pt idx="17">
                  <c:v>0.89999997615814209</c:v>
                </c:pt>
                <c:pt idx="18">
                  <c:v>0.89999997615814209</c:v>
                </c:pt>
                <c:pt idx="19">
                  <c:v>0.89999997615814209</c:v>
                </c:pt>
                <c:pt idx="20">
                  <c:v>0.89999997615814209</c:v>
                </c:pt>
                <c:pt idx="21">
                  <c:v>0.89999997615814209</c:v>
                </c:pt>
                <c:pt idx="22">
                  <c:v>0.89999997615814209</c:v>
                </c:pt>
                <c:pt idx="23">
                  <c:v>0.89999997615814209</c:v>
                </c:pt>
                <c:pt idx="24">
                  <c:v>0.89999997615814209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0.89999997615814209</c:v>
                </c:pt>
                <c:pt idx="28">
                  <c:v>0.89999997615814209</c:v>
                </c:pt>
                <c:pt idx="29">
                  <c:v>0.89999997615814209</c:v>
                </c:pt>
                <c:pt idx="30">
                  <c:v>0.89999997615814209</c:v>
                </c:pt>
                <c:pt idx="3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6412-44AB-9946-BD3AA8BEC172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  <c:pt idx="5">
                  <c:v>-5.5500001907348633</c:v>
                </c:pt>
                <c:pt idx="6">
                  <c:v>-5.5500001907348633</c:v>
                </c:pt>
                <c:pt idx="7">
                  <c:v>-5.5500001907348633</c:v>
                </c:pt>
                <c:pt idx="8">
                  <c:v>-5.5500001907348633</c:v>
                </c:pt>
                <c:pt idx="9">
                  <c:v>-5.5500001907348633</c:v>
                </c:pt>
                <c:pt idx="10">
                  <c:v>-5.5500001907348633</c:v>
                </c:pt>
                <c:pt idx="11">
                  <c:v>-5.5500001907348633</c:v>
                </c:pt>
                <c:pt idx="12">
                  <c:v>-5.5500001907348633</c:v>
                </c:pt>
                <c:pt idx="13">
                  <c:v>-5.5500001907348633</c:v>
                </c:pt>
                <c:pt idx="14">
                  <c:v>-5.5500001907348633</c:v>
                </c:pt>
                <c:pt idx="15">
                  <c:v>-5.5500001907348633</c:v>
                </c:pt>
                <c:pt idx="16">
                  <c:v>-5.5500001907348633</c:v>
                </c:pt>
                <c:pt idx="17">
                  <c:v>-5.5500001907348633</c:v>
                </c:pt>
                <c:pt idx="18">
                  <c:v>-5.5500001907348633</c:v>
                </c:pt>
                <c:pt idx="19">
                  <c:v>-5.5500001907348633</c:v>
                </c:pt>
                <c:pt idx="20">
                  <c:v>-5.5500001907348633</c:v>
                </c:pt>
                <c:pt idx="21">
                  <c:v>-5.5500001907348633</c:v>
                </c:pt>
                <c:pt idx="22">
                  <c:v>-5.5500001907348633</c:v>
                </c:pt>
                <c:pt idx="23">
                  <c:v>-5.5500001907348633</c:v>
                </c:pt>
                <c:pt idx="24">
                  <c:v>-5.5500001907348633</c:v>
                </c:pt>
                <c:pt idx="25">
                  <c:v>-5.5500001907348633</c:v>
                </c:pt>
                <c:pt idx="26">
                  <c:v>-5.5500001907348633</c:v>
                </c:pt>
                <c:pt idx="27">
                  <c:v>-5.5500001907348633</c:v>
                </c:pt>
                <c:pt idx="28">
                  <c:v>-5.5500001907348633</c:v>
                </c:pt>
                <c:pt idx="29">
                  <c:v>-5.5500001907348633</c:v>
                </c:pt>
                <c:pt idx="30">
                  <c:v>-5.5500001907348633</c:v>
                </c:pt>
                <c:pt idx="31">
                  <c:v>-5.5500001907348633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  <c:pt idx="5">
                  <c:v>2.8499999046325684</c:v>
                </c:pt>
                <c:pt idx="6">
                  <c:v>2.8499999046325684</c:v>
                </c:pt>
                <c:pt idx="7">
                  <c:v>2.8499999046325684</c:v>
                </c:pt>
                <c:pt idx="8">
                  <c:v>2.8499999046325684</c:v>
                </c:pt>
                <c:pt idx="9">
                  <c:v>2.8499999046325684</c:v>
                </c:pt>
                <c:pt idx="10">
                  <c:v>2.8499999046325684</c:v>
                </c:pt>
                <c:pt idx="11">
                  <c:v>2.8499999046325684</c:v>
                </c:pt>
                <c:pt idx="12">
                  <c:v>2.8499999046325684</c:v>
                </c:pt>
                <c:pt idx="13">
                  <c:v>2.8499999046325684</c:v>
                </c:pt>
                <c:pt idx="14">
                  <c:v>2.8499999046325684</c:v>
                </c:pt>
                <c:pt idx="15">
                  <c:v>2.8499999046325684</c:v>
                </c:pt>
                <c:pt idx="16">
                  <c:v>2.8499999046325684</c:v>
                </c:pt>
                <c:pt idx="17">
                  <c:v>2.8499999046325684</c:v>
                </c:pt>
                <c:pt idx="18">
                  <c:v>2.8499999046325684</c:v>
                </c:pt>
                <c:pt idx="19">
                  <c:v>2.8499999046325684</c:v>
                </c:pt>
                <c:pt idx="20">
                  <c:v>2.8499999046325684</c:v>
                </c:pt>
                <c:pt idx="21">
                  <c:v>2.8499999046325684</c:v>
                </c:pt>
                <c:pt idx="22">
                  <c:v>2.8499999046325684</c:v>
                </c:pt>
                <c:pt idx="23">
                  <c:v>2.8499999046325684</c:v>
                </c:pt>
                <c:pt idx="24">
                  <c:v>2.8499999046325684</c:v>
                </c:pt>
                <c:pt idx="25">
                  <c:v>2.8499999046325684</c:v>
                </c:pt>
                <c:pt idx="26">
                  <c:v>2.8499999046325684</c:v>
                </c:pt>
                <c:pt idx="27">
                  <c:v>2.8499999046325684</c:v>
                </c:pt>
                <c:pt idx="28">
                  <c:v>2.8499999046325684</c:v>
                </c:pt>
                <c:pt idx="29">
                  <c:v>2.8499999046325684</c:v>
                </c:pt>
                <c:pt idx="30">
                  <c:v>2.8499999046325684</c:v>
                </c:pt>
                <c:pt idx="3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6412-44AB-9946-BD3AA8BEC172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  <c:pt idx="5">
                  <c:v>-4.6500000953674316</c:v>
                </c:pt>
                <c:pt idx="6">
                  <c:v>-4.6500000953674316</c:v>
                </c:pt>
                <c:pt idx="7">
                  <c:v>-4.6500000953674316</c:v>
                </c:pt>
                <c:pt idx="8">
                  <c:v>-4.6500000953674316</c:v>
                </c:pt>
                <c:pt idx="9">
                  <c:v>-4.6500000953674316</c:v>
                </c:pt>
                <c:pt idx="10">
                  <c:v>-4.6500000953674316</c:v>
                </c:pt>
                <c:pt idx="11">
                  <c:v>-4.6500000953674316</c:v>
                </c:pt>
                <c:pt idx="12">
                  <c:v>-4.6500000953674316</c:v>
                </c:pt>
                <c:pt idx="13">
                  <c:v>-4.6500000953674316</c:v>
                </c:pt>
                <c:pt idx="14">
                  <c:v>-4.6500000953674316</c:v>
                </c:pt>
                <c:pt idx="15">
                  <c:v>-4.6500000953674316</c:v>
                </c:pt>
                <c:pt idx="16">
                  <c:v>-4.6500000953674316</c:v>
                </c:pt>
                <c:pt idx="17">
                  <c:v>-4.6500000953674316</c:v>
                </c:pt>
                <c:pt idx="18">
                  <c:v>-4.6500000953674316</c:v>
                </c:pt>
                <c:pt idx="19">
                  <c:v>-4.6500000953674316</c:v>
                </c:pt>
                <c:pt idx="20">
                  <c:v>-4.6500000953674316</c:v>
                </c:pt>
                <c:pt idx="21">
                  <c:v>-4.6500000953674316</c:v>
                </c:pt>
                <c:pt idx="22">
                  <c:v>-4.6500000953674316</c:v>
                </c:pt>
                <c:pt idx="23">
                  <c:v>-4.6500000953674316</c:v>
                </c:pt>
                <c:pt idx="24">
                  <c:v>-4.6500000953674316</c:v>
                </c:pt>
                <c:pt idx="25">
                  <c:v>-4.6500000953674316</c:v>
                </c:pt>
                <c:pt idx="26">
                  <c:v>-4.6500000953674316</c:v>
                </c:pt>
                <c:pt idx="27">
                  <c:v>-4.6500000953674316</c:v>
                </c:pt>
                <c:pt idx="28">
                  <c:v>-4.6500000953674316</c:v>
                </c:pt>
                <c:pt idx="29">
                  <c:v>-4.6500000953674316</c:v>
                </c:pt>
                <c:pt idx="30">
                  <c:v>-4.6500000953674316</c:v>
                </c:pt>
                <c:pt idx="31">
                  <c:v>-4.6500000953674316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  <c:pt idx="5">
                  <c:v>2.8499999046325684</c:v>
                </c:pt>
                <c:pt idx="6">
                  <c:v>2.8499999046325684</c:v>
                </c:pt>
                <c:pt idx="7">
                  <c:v>2.8499999046325684</c:v>
                </c:pt>
                <c:pt idx="8">
                  <c:v>2.8499999046325684</c:v>
                </c:pt>
                <c:pt idx="9">
                  <c:v>2.8499999046325684</c:v>
                </c:pt>
                <c:pt idx="10">
                  <c:v>2.8499999046325684</c:v>
                </c:pt>
                <c:pt idx="11">
                  <c:v>2.8499999046325684</c:v>
                </c:pt>
                <c:pt idx="12">
                  <c:v>2.8499999046325684</c:v>
                </c:pt>
                <c:pt idx="13">
                  <c:v>2.8499999046325684</c:v>
                </c:pt>
                <c:pt idx="14">
                  <c:v>2.8499999046325684</c:v>
                </c:pt>
                <c:pt idx="15">
                  <c:v>2.8499999046325684</c:v>
                </c:pt>
                <c:pt idx="16">
                  <c:v>2.8499999046325684</c:v>
                </c:pt>
                <c:pt idx="17">
                  <c:v>2.8499999046325684</c:v>
                </c:pt>
                <c:pt idx="18">
                  <c:v>2.8499999046325684</c:v>
                </c:pt>
                <c:pt idx="19">
                  <c:v>2.8499999046325684</c:v>
                </c:pt>
                <c:pt idx="20">
                  <c:v>2.8499999046325684</c:v>
                </c:pt>
                <c:pt idx="21">
                  <c:v>2.8499999046325684</c:v>
                </c:pt>
                <c:pt idx="22">
                  <c:v>2.8499999046325684</c:v>
                </c:pt>
                <c:pt idx="23">
                  <c:v>2.8499999046325684</c:v>
                </c:pt>
                <c:pt idx="24">
                  <c:v>2.8499999046325684</c:v>
                </c:pt>
                <c:pt idx="25">
                  <c:v>2.8499999046325684</c:v>
                </c:pt>
                <c:pt idx="26">
                  <c:v>2.8499999046325684</c:v>
                </c:pt>
                <c:pt idx="27">
                  <c:v>2.8499999046325684</c:v>
                </c:pt>
                <c:pt idx="28">
                  <c:v>2.8499999046325684</c:v>
                </c:pt>
                <c:pt idx="29">
                  <c:v>2.8499999046325684</c:v>
                </c:pt>
                <c:pt idx="30">
                  <c:v>2.8499999046325684</c:v>
                </c:pt>
                <c:pt idx="3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6412-44AB-9946-BD3AA8BEC172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12.149877252791809</c:v>
                </c:pt>
                <c:pt idx="1">
                  <c:v>12.149877252791809</c:v>
                </c:pt>
                <c:pt idx="2">
                  <c:v>12.149877252791809</c:v>
                </c:pt>
                <c:pt idx="3">
                  <c:v>12.149877252791809</c:v>
                </c:pt>
                <c:pt idx="4">
                  <c:v>12.149877252791809</c:v>
                </c:pt>
                <c:pt idx="5">
                  <c:v>12.149877252791809</c:v>
                </c:pt>
                <c:pt idx="6">
                  <c:v>12.149877252791809</c:v>
                </c:pt>
                <c:pt idx="7">
                  <c:v>12.149877252791809</c:v>
                </c:pt>
                <c:pt idx="8">
                  <c:v>12.149877252791809</c:v>
                </c:pt>
                <c:pt idx="9">
                  <c:v>12.149877252791809</c:v>
                </c:pt>
                <c:pt idx="10">
                  <c:v>12.149877252791809</c:v>
                </c:pt>
                <c:pt idx="11">
                  <c:v>12.149877252791809</c:v>
                </c:pt>
                <c:pt idx="12">
                  <c:v>12.149877252791809</c:v>
                </c:pt>
                <c:pt idx="13">
                  <c:v>12.149877252791809</c:v>
                </c:pt>
                <c:pt idx="14">
                  <c:v>12.149877252791809</c:v>
                </c:pt>
                <c:pt idx="15">
                  <c:v>12.149877252791809</c:v>
                </c:pt>
                <c:pt idx="16">
                  <c:v>12.149877252791809</c:v>
                </c:pt>
                <c:pt idx="17">
                  <c:v>12.149877252791809</c:v>
                </c:pt>
                <c:pt idx="18">
                  <c:v>12.149877252791809</c:v>
                </c:pt>
                <c:pt idx="19">
                  <c:v>12.149877252791809</c:v>
                </c:pt>
                <c:pt idx="20">
                  <c:v>12.149877252791809</c:v>
                </c:pt>
                <c:pt idx="21">
                  <c:v>12.149877252791809</c:v>
                </c:pt>
                <c:pt idx="22">
                  <c:v>12.149877252791809</c:v>
                </c:pt>
                <c:pt idx="23">
                  <c:v>12.149877252791809</c:v>
                </c:pt>
                <c:pt idx="24">
                  <c:v>12.149877252791809</c:v>
                </c:pt>
                <c:pt idx="25">
                  <c:v>12.149877252791809</c:v>
                </c:pt>
                <c:pt idx="26">
                  <c:v>12.149877252791809</c:v>
                </c:pt>
                <c:pt idx="27">
                  <c:v>12.149877252791809</c:v>
                </c:pt>
                <c:pt idx="28">
                  <c:v>12.149877252791809</c:v>
                </c:pt>
                <c:pt idx="29">
                  <c:v>12.149877252791809</c:v>
                </c:pt>
                <c:pt idx="30">
                  <c:v>12.149877252791809</c:v>
                </c:pt>
                <c:pt idx="31">
                  <c:v>12.149877252791809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0.89983854892481308</c:v>
                </c:pt>
                <c:pt idx="1">
                  <c:v>0.89983854892481308</c:v>
                </c:pt>
                <c:pt idx="2">
                  <c:v>0.89983854892481308</c:v>
                </c:pt>
                <c:pt idx="3">
                  <c:v>0.89983854892481308</c:v>
                </c:pt>
                <c:pt idx="4">
                  <c:v>0.89983854892481308</c:v>
                </c:pt>
                <c:pt idx="5">
                  <c:v>0.89983854892481308</c:v>
                </c:pt>
                <c:pt idx="6">
                  <c:v>0.89983854892481308</c:v>
                </c:pt>
                <c:pt idx="7">
                  <c:v>0.89983854892481308</c:v>
                </c:pt>
                <c:pt idx="8">
                  <c:v>0.89983854892481308</c:v>
                </c:pt>
                <c:pt idx="9">
                  <c:v>0.89983854892481308</c:v>
                </c:pt>
                <c:pt idx="10">
                  <c:v>0.89983854892481308</c:v>
                </c:pt>
                <c:pt idx="11">
                  <c:v>0.89983854892481308</c:v>
                </c:pt>
                <c:pt idx="12">
                  <c:v>0.89983854892481308</c:v>
                </c:pt>
                <c:pt idx="13">
                  <c:v>0.89983854892481308</c:v>
                </c:pt>
                <c:pt idx="14">
                  <c:v>0.89983854892481308</c:v>
                </c:pt>
                <c:pt idx="15">
                  <c:v>0.89983854892481308</c:v>
                </c:pt>
                <c:pt idx="16">
                  <c:v>0.89983854892481308</c:v>
                </c:pt>
                <c:pt idx="17">
                  <c:v>0.89983854892481308</c:v>
                </c:pt>
                <c:pt idx="18">
                  <c:v>0.89983854892481308</c:v>
                </c:pt>
                <c:pt idx="19">
                  <c:v>0.89983854892481308</c:v>
                </c:pt>
                <c:pt idx="20">
                  <c:v>0.89983854892481308</c:v>
                </c:pt>
                <c:pt idx="21">
                  <c:v>0.89983854892481308</c:v>
                </c:pt>
                <c:pt idx="22">
                  <c:v>0.89983854892481308</c:v>
                </c:pt>
                <c:pt idx="23">
                  <c:v>0.89983854892481308</c:v>
                </c:pt>
                <c:pt idx="24">
                  <c:v>0.89983854892481308</c:v>
                </c:pt>
                <c:pt idx="25">
                  <c:v>0.89983854892481308</c:v>
                </c:pt>
                <c:pt idx="26">
                  <c:v>0.89983854892481308</c:v>
                </c:pt>
                <c:pt idx="27">
                  <c:v>0.89983854892481308</c:v>
                </c:pt>
                <c:pt idx="28">
                  <c:v>0.89983854892481308</c:v>
                </c:pt>
                <c:pt idx="29">
                  <c:v>0.89983854892481308</c:v>
                </c:pt>
                <c:pt idx="30">
                  <c:v>0.89983854892481308</c:v>
                </c:pt>
                <c:pt idx="31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6412-44AB-9946-BD3AA8BEC172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21.749877634170446</c:v>
                </c:pt>
                <c:pt idx="1">
                  <c:v>21.749877634170446</c:v>
                </c:pt>
                <c:pt idx="2">
                  <c:v>21.749877634170446</c:v>
                </c:pt>
                <c:pt idx="3">
                  <c:v>21.749877634170446</c:v>
                </c:pt>
                <c:pt idx="4">
                  <c:v>21.749877634170446</c:v>
                </c:pt>
                <c:pt idx="5">
                  <c:v>21.749877634170446</c:v>
                </c:pt>
                <c:pt idx="6">
                  <c:v>21.749877634170446</c:v>
                </c:pt>
                <c:pt idx="7">
                  <c:v>21.749877634170446</c:v>
                </c:pt>
                <c:pt idx="8">
                  <c:v>21.749877634170446</c:v>
                </c:pt>
                <c:pt idx="9">
                  <c:v>21.749877634170446</c:v>
                </c:pt>
                <c:pt idx="10">
                  <c:v>21.749877634170446</c:v>
                </c:pt>
                <c:pt idx="11">
                  <c:v>21.749877634170446</c:v>
                </c:pt>
                <c:pt idx="12">
                  <c:v>21.749877634170446</c:v>
                </c:pt>
                <c:pt idx="13">
                  <c:v>21.749877634170446</c:v>
                </c:pt>
                <c:pt idx="14">
                  <c:v>21.749877634170446</c:v>
                </c:pt>
                <c:pt idx="15">
                  <c:v>21.749877634170446</c:v>
                </c:pt>
                <c:pt idx="16">
                  <c:v>21.749877634170446</c:v>
                </c:pt>
                <c:pt idx="17">
                  <c:v>21.749877634170446</c:v>
                </c:pt>
                <c:pt idx="18">
                  <c:v>21.749877634170446</c:v>
                </c:pt>
                <c:pt idx="19">
                  <c:v>21.749877634170446</c:v>
                </c:pt>
                <c:pt idx="20">
                  <c:v>21.749877634170446</c:v>
                </c:pt>
                <c:pt idx="21">
                  <c:v>21.749877634170446</c:v>
                </c:pt>
                <c:pt idx="22">
                  <c:v>21.749877634170446</c:v>
                </c:pt>
                <c:pt idx="23">
                  <c:v>21.749877634170446</c:v>
                </c:pt>
                <c:pt idx="24">
                  <c:v>21.749877634170446</c:v>
                </c:pt>
                <c:pt idx="25">
                  <c:v>21.749877634170446</c:v>
                </c:pt>
                <c:pt idx="26">
                  <c:v>21.749877634170446</c:v>
                </c:pt>
                <c:pt idx="27">
                  <c:v>21.749877634170446</c:v>
                </c:pt>
                <c:pt idx="28">
                  <c:v>21.749877634170446</c:v>
                </c:pt>
                <c:pt idx="29">
                  <c:v>21.749877634170446</c:v>
                </c:pt>
                <c:pt idx="30">
                  <c:v>21.749877634170446</c:v>
                </c:pt>
                <c:pt idx="31">
                  <c:v>21.749877634170446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0.9001611964406423</c:v>
                </c:pt>
                <c:pt idx="1">
                  <c:v>0.9001611964406423</c:v>
                </c:pt>
                <c:pt idx="2">
                  <c:v>0.9001611964406423</c:v>
                </c:pt>
                <c:pt idx="3">
                  <c:v>0.9001611964406423</c:v>
                </c:pt>
                <c:pt idx="4">
                  <c:v>0.9001611964406423</c:v>
                </c:pt>
                <c:pt idx="5">
                  <c:v>0.9001611964406423</c:v>
                </c:pt>
                <c:pt idx="6">
                  <c:v>0.9001611964406423</c:v>
                </c:pt>
                <c:pt idx="7">
                  <c:v>0.9001611964406423</c:v>
                </c:pt>
                <c:pt idx="8">
                  <c:v>0.9001611964406423</c:v>
                </c:pt>
                <c:pt idx="9">
                  <c:v>0.9001611964406423</c:v>
                </c:pt>
                <c:pt idx="10">
                  <c:v>0.9001611964406423</c:v>
                </c:pt>
                <c:pt idx="11">
                  <c:v>0.9001611964406423</c:v>
                </c:pt>
                <c:pt idx="12">
                  <c:v>0.9001611964406423</c:v>
                </c:pt>
                <c:pt idx="13">
                  <c:v>0.9001611964406423</c:v>
                </c:pt>
                <c:pt idx="14">
                  <c:v>0.9001611964406423</c:v>
                </c:pt>
                <c:pt idx="15">
                  <c:v>0.9001611964406423</c:v>
                </c:pt>
                <c:pt idx="16">
                  <c:v>0.9001611964406423</c:v>
                </c:pt>
                <c:pt idx="17">
                  <c:v>0.9001611964406423</c:v>
                </c:pt>
                <c:pt idx="18">
                  <c:v>0.9001611964406423</c:v>
                </c:pt>
                <c:pt idx="19">
                  <c:v>0.9001611964406423</c:v>
                </c:pt>
                <c:pt idx="20">
                  <c:v>0.9001611964406423</c:v>
                </c:pt>
                <c:pt idx="21">
                  <c:v>0.9001611964406423</c:v>
                </c:pt>
                <c:pt idx="22">
                  <c:v>0.9001611964406423</c:v>
                </c:pt>
                <c:pt idx="23">
                  <c:v>0.9001611964406423</c:v>
                </c:pt>
                <c:pt idx="24">
                  <c:v>0.9001611964406423</c:v>
                </c:pt>
                <c:pt idx="25">
                  <c:v>0.9001611964406423</c:v>
                </c:pt>
                <c:pt idx="26">
                  <c:v>0.9001611964406423</c:v>
                </c:pt>
                <c:pt idx="27">
                  <c:v>0.9001611964406423</c:v>
                </c:pt>
                <c:pt idx="28">
                  <c:v>0.9001611964406423</c:v>
                </c:pt>
                <c:pt idx="29">
                  <c:v>0.9001611964406423</c:v>
                </c:pt>
                <c:pt idx="30">
                  <c:v>0.9001611964406423</c:v>
                </c:pt>
                <c:pt idx="31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6412-44AB-9946-BD3AA8BEC172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16.950000505139531</c:v>
                </c:pt>
                <c:pt idx="1">
                  <c:v>16.950000505139531</c:v>
                </c:pt>
                <c:pt idx="2">
                  <c:v>16.950000505139531</c:v>
                </c:pt>
                <c:pt idx="3">
                  <c:v>16.950000505139531</c:v>
                </c:pt>
                <c:pt idx="4">
                  <c:v>16.950000505139531</c:v>
                </c:pt>
                <c:pt idx="5">
                  <c:v>16.950000505139531</c:v>
                </c:pt>
                <c:pt idx="6">
                  <c:v>16.950000505139531</c:v>
                </c:pt>
                <c:pt idx="7">
                  <c:v>16.950000505139531</c:v>
                </c:pt>
                <c:pt idx="8">
                  <c:v>16.950000505139531</c:v>
                </c:pt>
                <c:pt idx="9">
                  <c:v>16.950000505139531</c:v>
                </c:pt>
                <c:pt idx="10">
                  <c:v>16.950000505139531</c:v>
                </c:pt>
                <c:pt idx="11">
                  <c:v>16.950000505139531</c:v>
                </c:pt>
                <c:pt idx="12">
                  <c:v>16.950000505139531</c:v>
                </c:pt>
                <c:pt idx="13">
                  <c:v>16.950000505139531</c:v>
                </c:pt>
                <c:pt idx="14">
                  <c:v>16.950000505139531</c:v>
                </c:pt>
                <c:pt idx="15">
                  <c:v>16.950000505139531</c:v>
                </c:pt>
                <c:pt idx="16">
                  <c:v>16.950000505139531</c:v>
                </c:pt>
                <c:pt idx="17">
                  <c:v>16.950000505139531</c:v>
                </c:pt>
                <c:pt idx="18">
                  <c:v>16.950000505139531</c:v>
                </c:pt>
                <c:pt idx="19">
                  <c:v>16.950000505139531</c:v>
                </c:pt>
                <c:pt idx="20">
                  <c:v>16.950000505139531</c:v>
                </c:pt>
                <c:pt idx="21">
                  <c:v>16.950000505139531</c:v>
                </c:pt>
                <c:pt idx="22">
                  <c:v>16.950000505139531</c:v>
                </c:pt>
                <c:pt idx="23">
                  <c:v>16.950000505139531</c:v>
                </c:pt>
                <c:pt idx="24">
                  <c:v>16.950000505139531</c:v>
                </c:pt>
                <c:pt idx="25">
                  <c:v>16.950000505139531</c:v>
                </c:pt>
                <c:pt idx="26">
                  <c:v>16.950000505139531</c:v>
                </c:pt>
                <c:pt idx="27">
                  <c:v>16.950000505139531</c:v>
                </c:pt>
                <c:pt idx="28">
                  <c:v>16.950000505139531</c:v>
                </c:pt>
                <c:pt idx="29">
                  <c:v>16.950000505139531</c:v>
                </c:pt>
                <c:pt idx="30">
                  <c:v>16.950000505139531</c:v>
                </c:pt>
                <c:pt idx="31">
                  <c:v>16.950000505139531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-2.099999764731113</c:v>
                </c:pt>
                <c:pt idx="1">
                  <c:v>-2.099999764731113</c:v>
                </c:pt>
                <c:pt idx="2">
                  <c:v>-2.099999764731113</c:v>
                </c:pt>
                <c:pt idx="3">
                  <c:v>-2.099999764731113</c:v>
                </c:pt>
                <c:pt idx="4">
                  <c:v>-2.099999764731113</c:v>
                </c:pt>
                <c:pt idx="5">
                  <c:v>-2.099999764731113</c:v>
                </c:pt>
                <c:pt idx="6">
                  <c:v>-2.099999764731113</c:v>
                </c:pt>
                <c:pt idx="7">
                  <c:v>-2.099999764731113</c:v>
                </c:pt>
                <c:pt idx="8">
                  <c:v>-2.099999764731113</c:v>
                </c:pt>
                <c:pt idx="9">
                  <c:v>-2.099999764731113</c:v>
                </c:pt>
                <c:pt idx="10">
                  <c:v>-2.099999764731113</c:v>
                </c:pt>
                <c:pt idx="11">
                  <c:v>-2.099999764731113</c:v>
                </c:pt>
                <c:pt idx="12">
                  <c:v>-2.099999764731113</c:v>
                </c:pt>
                <c:pt idx="13">
                  <c:v>-2.099999764731113</c:v>
                </c:pt>
                <c:pt idx="14">
                  <c:v>-2.099999764731113</c:v>
                </c:pt>
                <c:pt idx="15">
                  <c:v>-2.099999764731113</c:v>
                </c:pt>
                <c:pt idx="16">
                  <c:v>-2.099999764731113</c:v>
                </c:pt>
                <c:pt idx="17">
                  <c:v>-2.099999764731113</c:v>
                </c:pt>
                <c:pt idx="18">
                  <c:v>-2.099999764731113</c:v>
                </c:pt>
                <c:pt idx="19">
                  <c:v>-2.099999764731113</c:v>
                </c:pt>
                <c:pt idx="20">
                  <c:v>-2.099999764731113</c:v>
                </c:pt>
                <c:pt idx="21">
                  <c:v>-2.099999764731113</c:v>
                </c:pt>
                <c:pt idx="22">
                  <c:v>-2.099999764731113</c:v>
                </c:pt>
                <c:pt idx="23">
                  <c:v>-2.099999764731113</c:v>
                </c:pt>
                <c:pt idx="24">
                  <c:v>-2.099999764731113</c:v>
                </c:pt>
                <c:pt idx="25">
                  <c:v>-2.099999764731113</c:v>
                </c:pt>
                <c:pt idx="26">
                  <c:v>-2.099999764731113</c:v>
                </c:pt>
                <c:pt idx="27">
                  <c:v>-2.099999764731113</c:v>
                </c:pt>
                <c:pt idx="28">
                  <c:v>-2.099999764731113</c:v>
                </c:pt>
                <c:pt idx="29">
                  <c:v>-2.099999764731113</c:v>
                </c:pt>
                <c:pt idx="30">
                  <c:v>-2.099999764731113</c:v>
                </c:pt>
                <c:pt idx="31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6412-44AB-9946-BD3AA8BEC172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16.949878412407752</c:v>
                </c:pt>
                <c:pt idx="1">
                  <c:v>16.949878412407752</c:v>
                </c:pt>
                <c:pt idx="2">
                  <c:v>16.949878412407752</c:v>
                </c:pt>
                <c:pt idx="3">
                  <c:v>16.949878412407752</c:v>
                </c:pt>
                <c:pt idx="4">
                  <c:v>16.949878412407752</c:v>
                </c:pt>
                <c:pt idx="5">
                  <c:v>16.949878412407752</c:v>
                </c:pt>
                <c:pt idx="6">
                  <c:v>16.949878412407752</c:v>
                </c:pt>
                <c:pt idx="7">
                  <c:v>16.949878412407752</c:v>
                </c:pt>
                <c:pt idx="8">
                  <c:v>16.949878412407752</c:v>
                </c:pt>
                <c:pt idx="9">
                  <c:v>16.949878412407752</c:v>
                </c:pt>
                <c:pt idx="10">
                  <c:v>16.949878412407752</c:v>
                </c:pt>
                <c:pt idx="11">
                  <c:v>16.949878412407752</c:v>
                </c:pt>
                <c:pt idx="12">
                  <c:v>16.949878412407752</c:v>
                </c:pt>
                <c:pt idx="13">
                  <c:v>16.949878412407752</c:v>
                </c:pt>
                <c:pt idx="14">
                  <c:v>16.949878412407752</c:v>
                </c:pt>
                <c:pt idx="15">
                  <c:v>16.949878412407752</c:v>
                </c:pt>
                <c:pt idx="16">
                  <c:v>16.949878412407752</c:v>
                </c:pt>
                <c:pt idx="17">
                  <c:v>16.949878412407752</c:v>
                </c:pt>
                <c:pt idx="18">
                  <c:v>16.949878412407752</c:v>
                </c:pt>
                <c:pt idx="19">
                  <c:v>16.949878412407752</c:v>
                </c:pt>
                <c:pt idx="20">
                  <c:v>16.949878412407752</c:v>
                </c:pt>
                <c:pt idx="21">
                  <c:v>16.949878412407752</c:v>
                </c:pt>
                <c:pt idx="22">
                  <c:v>16.949878412407752</c:v>
                </c:pt>
                <c:pt idx="23">
                  <c:v>16.949878412407752</c:v>
                </c:pt>
                <c:pt idx="24">
                  <c:v>16.949878412407752</c:v>
                </c:pt>
                <c:pt idx="25">
                  <c:v>16.949878412407752</c:v>
                </c:pt>
                <c:pt idx="26">
                  <c:v>16.949878412407752</c:v>
                </c:pt>
                <c:pt idx="27">
                  <c:v>16.949878412407752</c:v>
                </c:pt>
                <c:pt idx="28">
                  <c:v>16.949878412407752</c:v>
                </c:pt>
                <c:pt idx="29">
                  <c:v>16.949878412407752</c:v>
                </c:pt>
                <c:pt idx="30">
                  <c:v>16.949878412407752</c:v>
                </c:pt>
                <c:pt idx="31">
                  <c:v>16.949878412407752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0.89999977405212539</c:v>
                </c:pt>
                <c:pt idx="1">
                  <c:v>0.89999977405212539</c:v>
                </c:pt>
                <c:pt idx="2">
                  <c:v>0.89999977405212539</c:v>
                </c:pt>
                <c:pt idx="3">
                  <c:v>0.89999977405212539</c:v>
                </c:pt>
                <c:pt idx="4">
                  <c:v>0.89999977405212539</c:v>
                </c:pt>
                <c:pt idx="5">
                  <c:v>0.89999977405212539</c:v>
                </c:pt>
                <c:pt idx="6">
                  <c:v>0.89999977405212539</c:v>
                </c:pt>
                <c:pt idx="7">
                  <c:v>0.89999977405212539</c:v>
                </c:pt>
                <c:pt idx="8">
                  <c:v>0.89999977405212539</c:v>
                </c:pt>
                <c:pt idx="9">
                  <c:v>0.89999977405212539</c:v>
                </c:pt>
                <c:pt idx="10">
                  <c:v>0.89999977405212539</c:v>
                </c:pt>
                <c:pt idx="11">
                  <c:v>0.89999977405212539</c:v>
                </c:pt>
                <c:pt idx="12">
                  <c:v>0.89999977405212539</c:v>
                </c:pt>
                <c:pt idx="13">
                  <c:v>0.89999977405212539</c:v>
                </c:pt>
                <c:pt idx="14">
                  <c:v>0.89999977405212539</c:v>
                </c:pt>
                <c:pt idx="15">
                  <c:v>0.89999977405212539</c:v>
                </c:pt>
                <c:pt idx="16">
                  <c:v>0.89999977405212539</c:v>
                </c:pt>
                <c:pt idx="17">
                  <c:v>0.89999977405212539</c:v>
                </c:pt>
                <c:pt idx="18">
                  <c:v>0.89999977405212539</c:v>
                </c:pt>
                <c:pt idx="19">
                  <c:v>0.89999977405212539</c:v>
                </c:pt>
                <c:pt idx="20">
                  <c:v>0.89999977405212539</c:v>
                </c:pt>
                <c:pt idx="21">
                  <c:v>0.89999977405212539</c:v>
                </c:pt>
                <c:pt idx="22">
                  <c:v>0.89999977405212539</c:v>
                </c:pt>
                <c:pt idx="23">
                  <c:v>0.89999977405212539</c:v>
                </c:pt>
                <c:pt idx="24">
                  <c:v>0.89999977405212539</c:v>
                </c:pt>
                <c:pt idx="25">
                  <c:v>0.89999977405212539</c:v>
                </c:pt>
                <c:pt idx="26">
                  <c:v>0.89999977405212539</c:v>
                </c:pt>
                <c:pt idx="27">
                  <c:v>0.89999977405212539</c:v>
                </c:pt>
                <c:pt idx="28">
                  <c:v>0.89999977405212539</c:v>
                </c:pt>
                <c:pt idx="29">
                  <c:v>0.89999977405212539</c:v>
                </c:pt>
                <c:pt idx="30">
                  <c:v>0.89999977405212539</c:v>
                </c:pt>
                <c:pt idx="31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6412-44AB-9946-BD3AA8BE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993944"/>
        <c:axId val="756998256"/>
      </c:scatterChart>
      <c:valAx>
        <c:axId val="756993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56998256"/>
        <c:crosses val="max"/>
        <c:crossBetween val="midCat"/>
        <c:majorUnit val="1.0000000000000004E-6"/>
      </c:valAx>
      <c:valAx>
        <c:axId val="7569982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756993944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5137538344606754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-9.6121780796064158</c:v>
                </c:pt>
                <c:pt idx="1">
                  <c:v>24.912178270341279</c:v>
                </c:pt>
                <c:pt idx="2">
                  <c:v>24.912178270341279</c:v>
                </c:pt>
                <c:pt idx="3">
                  <c:v>-9.6121780796064158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18.012178174973847</c:v>
                </c:pt>
                <c:pt idx="1">
                  <c:v>18.012178174973847</c:v>
                </c:pt>
                <c:pt idx="2">
                  <c:v>-16.512178174973847</c:v>
                </c:pt>
                <c:pt idx="3">
                  <c:v>-16.512178174973847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23-4704-BB7E-F7CB03454750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23-4704-BB7E-F7CB03454750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23-4704-BB7E-F7CB03454750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8.6999998092651367</c:v>
                </c:pt>
                <c:pt idx="1">
                  <c:v>8.6999998092651367</c:v>
                </c:pt>
                <c:pt idx="2">
                  <c:v>8.6999998092651367</c:v>
                </c:pt>
                <c:pt idx="3">
                  <c:v>8.6999998092651367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23-4704-BB7E-F7CB03454750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23-4704-BB7E-F7CB03454750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23-4704-BB7E-F7CB03454750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3.2999999523162842</c:v>
                </c:pt>
                <c:pt idx="1">
                  <c:v>4.1631088610649769</c:v>
                </c:pt>
                <c:pt idx="2">
                  <c:v>2.4368910435675919</c:v>
                </c:pt>
                <c:pt idx="3">
                  <c:v>3.2999999523162842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5.0949045345853037</c:v>
                </c:pt>
                <c:pt idx="2">
                  <c:v>5.0949045345853037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23-4704-BB7E-F7CB03454750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4.5</c:v>
                </c:pt>
                <c:pt idx="1">
                  <c:v>5.3631089087486927</c:v>
                </c:pt>
                <c:pt idx="2">
                  <c:v>3.6368910912513077</c:v>
                </c:pt>
                <c:pt idx="3">
                  <c:v>4.5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5.0949045345853037</c:v>
                </c:pt>
                <c:pt idx="2">
                  <c:v>5.0949045345853037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23-4704-BB7E-F7CB03454750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23-4704-BB7E-F7CB03454750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023-4704-BB7E-F7CB03454750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023-4704-BB7E-F7CB03454750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023-4704-BB7E-F7CB03454750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-6.4499998092651367</c:v>
                </c:pt>
                <c:pt idx="1">
                  <c:v>-5.586890900516444</c:v>
                </c:pt>
                <c:pt idx="2">
                  <c:v>-7.3131087180138294</c:v>
                </c:pt>
                <c:pt idx="3">
                  <c:v>-6.4499998092651367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2.3949046061108774</c:v>
                </c:pt>
                <c:pt idx="2">
                  <c:v>2.3949046061108774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023-4704-BB7E-F7CB03454750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023-4704-BB7E-F7CB03454750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023-4704-BB7E-F7CB03454750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-5.5500001907348633</c:v>
                </c:pt>
                <c:pt idx="1">
                  <c:v>-4.6868912819861706</c:v>
                </c:pt>
                <c:pt idx="2">
                  <c:v>-6.413109099483556</c:v>
                </c:pt>
                <c:pt idx="3">
                  <c:v>-5.5500001907348633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4.3449045345853037</c:v>
                </c:pt>
                <c:pt idx="2">
                  <c:v>4.3449045345853037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023-4704-BB7E-F7CB03454750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-4.6500000953674316</c:v>
                </c:pt>
                <c:pt idx="1">
                  <c:v>-3.7868911866187394</c:v>
                </c:pt>
                <c:pt idx="2">
                  <c:v>-5.5131090041161244</c:v>
                </c:pt>
                <c:pt idx="3">
                  <c:v>-4.6500000953674316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4.3449045345853037</c:v>
                </c:pt>
                <c:pt idx="2">
                  <c:v>4.3449045345853037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023-4704-BB7E-F7CB03454750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023-4704-BB7E-F7CB03454750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023-4704-BB7E-F7CB03454750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0023-4704-BB7E-F7CB03454750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023-4704-BB7E-F7CB03454750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0023-4704-BB7E-F7CB03454750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0023-4704-BB7E-F7CB03454750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8.6999998092651367</c:v>
                </c:pt>
                <c:pt idx="1">
                  <c:v>8.6999998092651367</c:v>
                </c:pt>
                <c:pt idx="2">
                  <c:v>8.6999998092651367</c:v>
                </c:pt>
                <c:pt idx="3">
                  <c:v>8.6999998092651367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0023-4704-BB7E-F7CB03454750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0023-4704-BB7E-F7CB03454750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023-4704-BB7E-F7CB03454750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3.2999999523162842</c:v>
                </c:pt>
                <c:pt idx="1">
                  <c:v>4.7949045822690195</c:v>
                </c:pt>
                <c:pt idx="2">
                  <c:v>4.7949045822690195</c:v>
                </c:pt>
                <c:pt idx="3">
                  <c:v>3.2999999523162842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4.4631088133812611</c:v>
                </c:pt>
                <c:pt idx="2">
                  <c:v>2.7368909958838761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023-4704-BB7E-F7CB03454750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4.5</c:v>
                </c:pt>
                <c:pt idx="1">
                  <c:v>5.9949046299527353</c:v>
                </c:pt>
                <c:pt idx="2">
                  <c:v>5.9949046299527353</c:v>
                </c:pt>
                <c:pt idx="3">
                  <c:v>4.5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4.4631088133812611</c:v>
                </c:pt>
                <c:pt idx="2">
                  <c:v>2.7368909958838761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0023-4704-BB7E-F7CB03454750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0023-4704-BB7E-F7CB03454750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0023-4704-BB7E-F7CB03454750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0023-4704-BB7E-F7CB03454750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0023-4704-BB7E-F7CB03454750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-6.4499998092651367</c:v>
                </c:pt>
                <c:pt idx="1">
                  <c:v>-4.9550951793124014</c:v>
                </c:pt>
                <c:pt idx="2">
                  <c:v>-4.9550951793124014</c:v>
                </c:pt>
                <c:pt idx="3">
                  <c:v>-6.4499998092651367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1.7631088849068344</c:v>
                </c:pt>
                <c:pt idx="2">
                  <c:v>3.6891067409449696E-2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0023-4704-BB7E-F7CB03454750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0023-4704-BB7E-F7CB03454750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0023-4704-BB7E-F7CB03454750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-5.5500001907348633</c:v>
                </c:pt>
                <c:pt idx="1">
                  <c:v>-4.055095560782128</c:v>
                </c:pt>
                <c:pt idx="2">
                  <c:v>-4.055095560782128</c:v>
                </c:pt>
                <c:pt idx="3">
                  <c:v>-5.5500001907348633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3.7131088133812606</c:v>
                </c:pt>
                <c:pt idx="2">
                  <c:v>1.9868909958838761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0023-4704-BB7E-F7CB03454750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-4.6500000953674316</c:v>
                </c:pt>
                <c:pt idx="1">
                  <c:v>-3.1550954654146963</c:v>
                </c:pt>
                <c:pt idx="2">
                  <c:v>-3.1550954654146963</c:v>
                </c:pt>
                <c:pt idx="3">
                  <c:v>-4.6500000953674316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3.7131088133812606</c:v>
                </c:pt>
                <c:pt idx="2">
                  <c:v>1.9868909958838761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0023-4704-BB7E-F7CB03454750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0023-4704-BB7E-F7CB03454750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0023-4704-BB7E-F7CB03454750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0023-4704-BB7E-F7CB03454750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0023-4704-BB7E-F7CB03454750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0023-4704-BB7E-F7CB03454750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0023-4704-BB7E-F7CB03454750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8.6999998092651367</c:v>
                </c:pt>
                <c:pt idx="1">
                  <c:v>8.6999998092651367</c:v>
                </c:pt>
                <c:pt idx="2">
                  <c:v>8.6999998092651367</c:v>
                </c:pt>
                <c:pt idx="3">
                  <c:v>8.6999998092651367</c:v>
                </c:pt>
                <c:pt idx="4">
                  <c:v>8.6999998092651367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0023-4704-BB7E-F7CB03454750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0023-4704-BB7E-F7CB03454750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0023-4704-BB7E-F7CB03454750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0023-4704-BB7E-F7CB03454750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0023-4704-BB7E-F7CB03454750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  <c:pt idx="4">
                  <c:v>2.5508170127868652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0023-4704-BB7E-F7CB03454750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  <c:pt idx="4">
                  <c:v>5.2717561721801758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0023-4704-BB7E-F7CB03454750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  <c:pt idx="4">
                  <c:v>3.3856499195098877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  <c:pt idx="4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0023-4704-BB7E-F7CB03454750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  <c:pt idx="4">
                  <c:v>4.4060029983520508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  <c:pt idx="4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0023-4704-BB7E-F7CB03454750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0023-4704-BB7E-F7CB03454750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0023-4704-BB7E-F7CB03454750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0023-4704-BB7E-F7CB03454750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0023-4704-BB7E-F7CB03454750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0023-4704-BB7E-F7CB03454750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  <c:pt idx="4">
                  <c:v>12.149999618530273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0023-4704-BB7E-F7CB03454750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  <c:pt idx="4">
                  <c:v>21.75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0023-4704-BB7E-F7CB03454750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0023-4704-BB7E-F7CB03454750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0023-4704-BB7E-F7CB03454750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0023-4704-BB7E-F7CB03454750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0023-4704-BB7E-F7CB03454750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0023-4704-BB7E-F7CB03454750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0023-4704-BB7E-F7CB03454750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0023-4704-BB7E-F7CB03454750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0023-4704-BB7E-F7CB03454750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0023-4704-BB7E-F7CB03454750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0023-4704-BB7E-F7CB03454750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0023-4704-BB7E-F7CB03454750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0023-4704-BB7E-F7CB03454750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0023-4704-BB7E-F7CB03454750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0023-4704-BB7E-F7CB03454750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0023-4704-BB7E-F7CB03454750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0023-4704-BB7E-F7CB03454750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0023-4704-BB7E-F7CB03454750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0023-4704-BB7E-F7CB03454750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0023-4704-BB7E-F7CB03454750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0023-4704-BB7E-F7CB03454750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0023-4704-BB7E-F7CB03454750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0023-4704-BB7E-F7CB03454750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System!$C$122:$D$122</c:f>
              <c:numCache>
                <c:formatCode>General</c:formatCode>
                <c:ptCount val="2"/>
                <c:pt idx="0">
                  <c:v>-3.75</c:v>
                </c:pt>
                <c:pt idx="1">
                  <c:v>-0.89999997615814209</c:v>
                </c:pt>
              </c:numCache>
            </c:numRef>
          </c:xVal>
          <c:yVal>
            <c:numRef>
              <c:f>System!$E$122:$F$122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0023-4704-BB7E-F7CB03454750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System!$C$123:$D$123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2.5508170127868652</c:v>
                </c:pt>
              </c:numCache>
            </c:numRef>
          </c:xVal>
          <c:yVal>
            <c:numRef>
              <c:f>System!$E$123:$F$123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0023-4704-BB7E-F7CB03454750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System!$C$124:$D$124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3.9000000953674316</c:v>
                </c:pt>
              </c:numCache>
            </c:numRef>
          </c:xVal>
          <c:yVal>
            <c:numRef>
              <c:f>System!$E$124:$F$124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0023-4704-BB7E-F7CB03454750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System!$C$125:$D$125</c:f>
              <c:numCache>
                <c:formatCode>General</c:formatCode>
                <c:ptCount val="2"/>
                <c:pt idx="0">
                  <c:v>8.6999998092651367</c:v>
                </c:pt>
                <c:pt idx="1">
                  <c:v>3.9000000953674316</c:v>
                </c:pt>
              </c:numCache>
            </c:numRef>
          </c:xVal>
          <c:yVal>
            <c:numRef>
              <c:f>System!$E$125:$F$125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0023-4704-BB7E-F7CB03454750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System!$C$126:$D$126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5.2717561721801758</c:v>
                </c:pt>
              </c:numCache>
            </c:numRef>
          </c:xVal>
          <c:yVal>
            <c:numRef>
              <c:f>System!$E$126:$F$126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0023-4704-BB7E-F7CB03454750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System!$C$127:$D$127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3.3856499195098877</c:v>
                </c:pt>
              </c:numCache>
            </c:numRef>
          </c:xVal>
          <c:yVal>
            <c:numRef>
              <c:f>System!$E$127:$F$127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0023-4704-BB7E-F7CB03454750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System!$C$128:$D$128</c:f>
              <c:numCache>
                <c:formatCode>General</c:formatCode>
                <c:ptCount val="2"/>
                <c:pt idx="0">
                  <c:v>4.5</c:v>
                </c:pt>
                <c:pt idx="1">
                  <c:v>4.4060029983520508</c:v>
                </c:pt>
              </c:numCache>
            </c:numRef>
          </c:xVal>
          <c:yVal>
            <c:numRef>
              <c:f>System!$E$128:$F$128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0023-4704-BB7E-F7CB03454750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System!$C$129:$D$129</c:f>
              <c:numCache>
                <c:formatCode>General</c:formatCode>
                <c:ptCount val="2"/>
                <c:pt idx="0">
                  <c:v>2.5508170127868652</c:v>
                </c:pt>
                <c:pt idx="1">
                  <c:v>3.9000000953674316</c:v>
                </c:pt>
              </c:numCache>
            </c:numRef>
          </c:xVal>
          <c:yVal>
            <c:numRef>
              <c:f>System!$E$129:$F$129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0023-4704-BB7E-F7CB03454750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System!$C$130:$D$130</c:f>
              <c:numCache>
                <c:formatCode>General</c:formatCode>
                <c:ptCount val="2"/>
                <c:pt idx="0">
                  <c:v>5.2717561721801758</c:v>
                </c:pt>
                <c:pt idx="1">
                  <c:v>8.6999998092651367</c:v>
                </c:pt>
              </c:numCache>
            </c:numRef>
          </c:xVal>
          <c:yVal>
            <c:numRef>
              <c:f>System!$E$130:$F$130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0023-4704-BB7E-F7CB03454750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System!$C$131:$D$131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3.9000000953674316</c:v>
                </c:pt>
              </c:numCache>
            </c:numRef>
          </c:xVal>
          <c:yVal>
            <c:numRef>
              <c:f>System!$E$131:$F$131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0023-4704-BB7E-F7CB03454750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System!$C$132:$D$132</c:f>
              <c:numCache>
                <c:formatCode>General</c:formatCode>
                <c:ptCount val="2"/>
                <c:pt idx="0">
                  <c:v>4.4060029983520508</c:v>
                </c:pt>
                <c:pt idx="1">
                  <c:v>3.9000000953674316</c:v>
                </c:pt>
              </c:numCache>
            </c:numRef>
          </c:xVal>
          <c:yVal>
            <c:numRef>
              <c:f>System!$E$132:$F$132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0023-4704-BB7E-F7CB03454750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System!$C$133:$D$133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2.5508170127868652</c:v>
                </c:pt>
              </c:numCache>
            </c:numRef>
          </c:xVal>
          <c:yVal>
            <c:numRef>
              <c:f>System!$E$133:$F$133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0023-4704-BB7E-F7CB03454750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System!$C$134:$D$134</c:f>
              <c:numCache>
                <c:formatCode>General</c:formatCode>
                <c:ptCount val="2"/>
                <c:pt idx="0">
                  <c:v>4.4060029983520508</c:v>
                </c:pt>
                <c:pt idx="1">
                  <c:v>5.2717561721801758</c:v>
                </c:pt>
              </c:numCache>
            </c:numRef>
          </c:xVal>
          <c:yVal>
            <c:numRef>
              <c:f>System!$E$134:$F$134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0023-4704-BB7E-F7CB03454750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System!$C$135:$D$135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-5.8499999046325684</c:v>
                </c:pt>
              </c:numCache>
            </c:numRef>
          </c:xVal>
          <c:yVal>
            <c:numRef>
              <c:f>System!$E$135:$F$135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0023-4704-BB7E-F7CB03454750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System!$C$136:$D$136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System!$E$136:$F$136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0023-4704-BB7E-F7CB03454750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System!$C$137:$D$137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-3.75</c:v>
                </c:pt>
              </c:numCache>
            </c:numRef>
          </c:xVal>
          <c:yVal>
            <c:numRef>
              <c:f>System!$E$137:$F$137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0023-4704-BB7E-F7CB03454750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System!$C$138:$D$138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-5.8499999046325684</c:v>
                </c:pt>
              </c:numCache>
            </c:numRef>
          </c:xVal>
          <c:yVal>
            <c:numRef>
              <c:f>System!$E$138:$F$138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0023-4704-BB7E-F7CB03454750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System!$C$139:$D$139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-4.3499999046325684</c:v>
                </c:pt>
              </c:numCache>
            </c:numRef>
          </c:xVal>
          <c:yVal>
            <c:numRef>
              <c:f>System!$E$139:$F$139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0023-4704-BB7E-F7CB03454750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System!$C$140:$D$140</c:f>
              <c:numCache>
                <c:formatCode>General</c:formatCode>
                <c:ptCount val="2"/>
                <c:pt idx="0">
                  <c:v>8.6999998092651367</c:v>
                </c:pt>
                <c:pt idx="1">
                  <c:v>12.149999618530273</c:v>
                </c:pt>
              </c:numCache>
            </c:numRef>
          </c:xVal>
          <c:yVal>
            <c:numRef>
              <c:f>System!$E$140:$F$140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0023-4704-BB7E-F7CB03454750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System!$C$141:$D$141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4.4060029983520508</c:v>
                </c:pt>
              </c:numCache>
            </c:numRef>
          </c:xVal>
          <c:yVal>
            <c:numRef>
              <c:f>System!$E$141:$F$141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0023-4704-BB7E-F7CB03454750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System!$C$142:$D$142</c:f>
              <c:numCache>
                <c:formatCode>General</c:formatCode>
                <c:ptCount val="2"/>
                <c:pt idx="0">
                  <c:v>12.149999618530273</c:v>
                </c:pt>
                <c:pt idx="1">
                  <c:v>15.60081672668457</c:v>
                </c:pt>
              </c:numCache>
            </c:numRef>
          </c:xVal>
          <c:yVal>
            <c:numRef>
              <c:f>System!$E$142:$F$142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0023-4704-BB7E-F7CB03454750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System!$C$143:$D$143</c:f>
              <c:numCache>
                <c:formatCode>General</c:formatCode>
                <c:ptCount val="2"/>
                <c:pt idx="0">
                  <c:v>12.149999618530273</c:v>
                </c:pt>
                <c:pt idx="1">
                  <c:v>16.950000762939453</c:v>
                </c:pt>
              </c:numCache>
            </c:numRef>
          </c:xVal>
          <c:yVal>
            <c:numRef>
              <c:f>System!$E$143:$F$143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0023-4704-BB7E-F7CB03454750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System!$C$144:$D$144</c:f>
              <c:numCache>
                <c:formatCode>General</c:formatCode>
                <c:ptCount val="2"/>
                <c:pt idx="0">
                  <c:v>21.75</c:v>
                </c:pt>
                <c:pt idx="1">
                  <c:v>16.950000762939453</c:v>
                </c:pt>
              </c:numCache>
            </c:numRef>
          </c:xVal>
          <c:yVal>
            <c:numRef>
              <c:f>System!$E$144:$F$144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0023-4704-BB7E-F7CB03454750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System!$C$145:$D$145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18.321756362915039</c:v>
                </c:pt>
              </c:numCache>
            </c:numRef>
          </c:xVal>
          <c:yVal>
            <c:numRef>
              <c:f>System!$E$145:$F$145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0023-4704-BB7E-F7CB03454750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System!$C$146:$D$146</c:f>
              <c:numCache>
                <c:formatCode>General</c:formatCode>
                <c:ptCount val="2"/>
                <c:pt idx="0">
                  <c:v>16.350000381469727</c:v>
                </c:pt>
                <c:pt idx="1">
                  <c:v>16.435649871826172</c:v>
                </c:pt>
              </c:numCache>
            </c:numRef>
          </c:xVal>
          <c:yVal>
            <c:numRef>
              <c:f>System!$E$146:$F$146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0023-4704-BB7E-F7CB03454750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System!$C$147:$D$147</c:f>
              <c:numCache>
                <c:formatCode>General</c:formatCode>
                <c:ptCount val="2"/>
                <c:pt idx="0">
                  <c:v>17.549999237060547</c:v>
                </c:pt>
                <c:pt idx="1">
                  <c:v>17.456003189086914</c:v>
                </c:pt>
              </c:numCache>
            </c:numRef>
          </c:xVal>
          <c:yVal>
            <c:numRef>
              <c:f>System!$E$147:$F$147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0023-4704-BB7E-F7CB03454750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System!$C$148:$D$148</c:f>
              <c:numCache>
                <c:formatCode>General</c:formatCode>
                <c:ptCount val="2"/>
                <c:pt idx="0">
                  <c:v>15.60081672668457</c:v>
                </c:pt>
                <c:pt idx="1">
                  <c:v>16.950000762939453</c:v>
                </c:pt>
              </c:numCache>
            </c:numRef>
          </c:xVal>
          <c:yVal>
            <c:numRef>
              <c:f>System!$E$148:$F$148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0023-4704-BB7E-F7CB03454750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System!$C$149:$D$149</c:f>
              <c:numCache>
                <c:formatCode>General</c:formatCode>
                <c:ptCount val="2"/>
                <c:pt idx="0">
                  <c:v>18.321756362915039</c:v>
                </c:pt>
                <c:pt idx="1">
                  <c:v>21.75</c:v>
                </c:pt>
              </c:numCache>
            </c:numRef>
          </c:xVal>
          <c:yVal>
            <c:numRef>
              <c:f>System!$E$149:$F$149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0023-4704-BB7E-F7CB03454750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System!$C$150:$D$150</c:f>
              <c:numCache>
                <c:formatCode>General</c:formatCode>
                <c:ptCount val="2"/>
                <c:pt idx="0">
                  <c:v>16.435649871826172</c:v>
                </c:pt>
                <c:pt idx="1">
                  <c:v>16.950000762939453</c:v>
                </c:pt>
              </c:numCache>
            </c:numRef>
          </c:xVal>
          <c:yVal>
            <c:numRef>
              <c:f>System!$E$150:$F$150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0023-4704-BB7E-F7CB03454750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System!$C$151:$D$151</c:f>
              <c:numCache>
                <c:formatCode>General</c:formatCode>
                <c:ptCount val="2"/>
                <c:pt idx="0">
                  <c:v>17.456003189086914</c:v>
                </c:pt>
                <c:pt idx="1">
                  <c:v>16.950000762939453</c:v>
                </c:pt>
              </c:numCache>
            </c:numRef>
          </c:xVal>
          <c:yVal>
            <c:numRef>
              <c:f>System!$E$151:$F$151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0023-4704-BB7E-F7CB03454750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System!$C$153:$D$153</c:f>
              <c:numCache>
                <c:formatCode>General</c:formatCode>
                <c:ptCount val="2"/>
                <c:pt idx="0">
                  <c:v>17.456003189086914</c:v>
                </c:pt>
                <c:pt idx="1">
                  <c:v>18.321756362915039</c:v>
                </c:pt>
              </c:numCache>
            </c:numRef>
          </c:xVal>
          <c:yVal>
            <c:numRef>
              <c:f>System!$E$153:$F$153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0023-4704-BB7E-F7CB03454750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System!$C$154:$D$154</c:f>
              <c:numCache>
                <c:formatCode>General</c:formatCode>
                <c:ptCount val="2"/>
                <c:pt idx="0">
                  <c:v>16.435649871826172</c:v>
                </c:pt>
                <c:pt idx="1">
                  <c:v>17.456003189086914</c:v>
                </c:pt>
              </c:numCache>
            </c:numRef>
          </c:xVal>
          <c:yVal>
            <c:numRef>
              <c:f>System!$E$154:$F$154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0023-4704-BB7E-F7CB03454750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System!$C$155:$D$155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System!$E$155:$F$155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0023-4704-BB7E-F7CB03454750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System!$C$156:$D$156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System!$E$156:$F$156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0023-4704-BB7E-F7CB03454750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System!$C$157:$D$157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System!$E$157:$F$157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0023-4704-BB7E-F7CB03454750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System!$C$158:$D$158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System!$E$158:$F$158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0023-4704-BB7E-F7CB03454750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System!$C$159:$D$159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System!$E$159:$F$159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0023-4704-BB7E-F7CB03454750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System!$C$160:$D$160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System!$E$160:$F$160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0023-4704-BB7E-F7CB03454750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System!$C$161:$D$161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System!$E$161:$F$161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0023-4704-BB7E-F7CB03454750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0023-4704-BB7E-F7CB03454750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0023-4704-BB7E-F7CB03454750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0023-4704-BB7E-F7CB03454750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0023-4704-BB7E-F7CB03454750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0023-4704-BB7E-F7CB03454750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0023-4704-BB7E-F7CB03454750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0023-4704-BB7E-F7CB03454750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0023-4704-BB7E-F7CB03454750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0023-4704-BB7E-F7CB03454750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0023-4704-BB7E-F7CB03454750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0023-4704-BB7E-F7CB03454750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0023-4704-BB7E-F7CB03454750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0023-4704-BB7E-F7CB03454750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0023-4704-BB7E-F7CB03454750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0023-4704-BB7E-F7CB03454750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0023-4704-BB7E-F7CB03454750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0023-4704-BB7E-F7CB03454750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0023-4704-BB7E-F7CB03454750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0023-4704-BB7E-F7CB03454750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0023-4704-BB7E-F7CB03454750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0023-4704-BB7E-F7CB03454750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0023-4704-BB7E-F7CB03454750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0023-4704-BB7E-F7CB03454750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0023-4704-BB7E-F7CB03454750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0023-4704-BB7E-F7CB03454750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0023-4704-BB7E-F7CB03454750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0023-4704-BB7E-F7CB03454750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0023-4704-BB7E-F7CB03454750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0023-4704-BB7E-F7CB03454750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0023-4704-BB7E-F7CB03454750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0023-4704-BB7E-F7CB03454750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0023-4704-BB7E-F7CB03454750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0023-4704-BB7E-F7CB03454750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0023-4704-BB7E-F7CB03454750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0023-4704-BB7E-F7CB03454750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0023-4704-BB7E-F7CB03454750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0023-4704-BB7E-F7CB03454750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0023-4704-BB7E-F7CB03454750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0023-4704-BB7E-F7CB03454750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  <c:pt idx="14">
                  <c:v>7.6500000953674316</c:v>
                </c:pt>
                <c:pt idx="15">
                  <c:v>7.6500000953674316</c:v>
                </c:pt>
                <c:pt idx="16">
                  <c:v>7.6500000953674316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0023-4704-BB7E-F7CB03454750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0023-4704-BB7E-F7CB03454750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0023-4704-BB7E-F7CB03454750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8.6999998092651367</c:v>
                </c:pt>
                <c:pt idx="1">
                  <c:v>8.6999998092651367</c:v>
                </c:pt>
                <c:pt idx="2">
                  <c:v>8.3547562457656603</c:v>
                </c:pt>
                <c:pt idx="3">
                  <c:v>9.0452433727646149</c:v>
                </c:pt>
                <c:pt idx="4">
                  <c:v>8.6999998092651367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-3.2429227858355816</c:v>
                </c:pt>
                <c:pt idx="1">
                  <c:v>0.209512849159188</c:v>
                </c:pt>
                <c:pt idx="2">
                  <c:v>-0.99883962308898133</c:v>
                </c:pt>
                <c:pt idx="3">
                  <c:v>-0.99883962308898133</c:v>
                </c:pt>
                <c:pt idx="4">
                  <c:v>0.209512849159188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0023-4704-BB7E-F7CB03454750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0023-4704-BB7E-F7CB03454750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0023-4704-BB7E-F7CB03454750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0023-4704-BB7E-F7CB03454750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0023-4704-BB7E-F7CB03454750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  <c:pt idx="4">
                  <c:v>2.5508170127868652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0023-4704-BB7E-F7CB03454750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  <c:pt idx="4">
                  <c:v>5.2717561721801758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0023-4704-BB7E-F7CB03454750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  <c:pt idx="4">
                  <c:v>3.3856499195098877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  <c:pt idx="4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0023-4704-BB7E-F7CB03454750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  <c:pt idx="4">
                  <c:v>4.4060029983520508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  <c:pt idx="4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0023-4704-BB7E-F7CB03454750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0023-4704-BB7E-F7CB03454750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0023-4704-BB7E-F7CB03454750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0023-4704-BB7E-F7CB03454750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0023-4704-BB7E-F7CB03454750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0023-4704-BB7E-F7CB03454750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  <c:pt idx="4">
                  <c:v>12.149999618530273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0023-4704-BB7E-F7CB03454750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  <c:pt idx="4">
                  <c:v>21.75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0023-4704-BB7E-F7CB03454750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0023-4704-BB7E-F7CB03454750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0023-4704-BB7E-F7CB03454750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0023-4704-BB7E-F7CB03454750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-0.89999997615814209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0023-4704-BB7E-F7CB03454750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8.6999998092651367</c:v>
                </c:pt>
                <c:pt idx="1">
                  <c:v>8.6999998092651367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0023-4704-BB7E-F7CB03454750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3.9000000953674316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-2.0999999046325684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0023-4704-BB7E-F7CB03454750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3.9000000953674316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0023-4704-BB7E-F7CB03454750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3.2999999523162842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0023-4704-BB7E-F7CB03454750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0023-4704-BB7E-F7CB03454750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2.5508170127868652</c:v>
                </c:pt>
                <c:pt idx="1">
                  <c:v>2.5508170127868652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0023-4704-BB7E-F7CB03454750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5.2717561721801758</c:v>
                </c:pt>
                <c:pt idx="1">
                  <c:v>5.2717561721801758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0023-4704-BB7E-F7CB03454750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3.3856499195098877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0023-4704-BB7E-F7CB03454750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4.4060029983520508</c:v>
                </c:pt>
                <c:pt idx="1">
                  <c:v>4.4060029983520508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0023-4704-BB7E-F7CB03454750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-6.4499998092651367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0023-4704-BB7E-F7CB03454750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-5.8499999046325684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0023-4704-BB7E-F7CB03454750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0023-4704-BB7E-F7CB03454750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-5.5500001907348633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0023-4704-BB7E-F7CB03454750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-4.6500000953674316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0023-4704-BB7E-F7CB03454750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12.149999618530273</c:v>
                </c:pt>
                <c:pt idx="1">
                  <c:v>12.149999618530273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0023-4704-BB7E-F7CB03454750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21.75</c:v>
                </c:pt>
                <c:pt idx="1">
                  <c:v>21.75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0023-4704-BB7E-F7CB03454750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16.950000762939453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-2.0999999046325684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0023-4704-BB7E-F7CB03454750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16.950000762939453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0023-4704-BB7E-F7CB03454750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0023-4704-BB7E-F7CB03454750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-0.89999997615814209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0023-4704-BB7E-F7CB03454750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8.6999998092651367</c:v>
                </c:pt>
                <c:pt idx="1">
                  <c:v>8.6999998092651367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0023-4704-BB7E-F7CB03454750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3.9000000953674316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-2.0999999046325684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0023-4704-BB7E-F7CB03454750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3.9000000953674316</c:v>
                </c:pt>
                <c:pt idx="1">
                  <c:v>3.9000000953674316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0023-4704-BB7E-F7CB03454750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3.2999999523162842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0023-4704-BB7E-F7CB03454750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0023-4704-BB7E-F7CB03454750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2.5508170127868652</c:v>
                </c:pt>
                <c:pt idx="1">
                  <c:v>2.5508170127868652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0023-4704-BB7E-F7CB03454750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5.2717561721801758</c:v>
                </c:pt>
                <c:pt idx="1">
                  <c:v>5.2717561721801758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0.89983600378036499</c:v>
                </c:pt>
                <c:pt idx="1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0023-4704-BB7E-F7CB03454750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3.3856499195098877</c:v>
                </c:pt>
                <c:pt idx="1">
                  <c:v>3.3856499195098877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2.7293310165405273</c:v>
                </c:pt>
                <c:pt idx="1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0023-4704-BB7E-F7CB03454750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4.4060029983520508</c:v>
                </c:pt>
                <c:pt idx="1">
                  <c:v>4.4060029983520508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2.7448270320892334</c:v>
                </c:pt>
                <c:pt idx="1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0023-4704-BB7E-F7CB03454750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-6.4499998092651367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0023-4704-BB7E-F7CB03454750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-5.8499999046325684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0023-4704-BB7E-F7CB03454750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0023-4704-BB7E-F7CB03454750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-5.5500001907348633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0023-4704-BB7E-F7CB03454750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-4.6500000953674316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0023-4704-BB7E-F7CB03454750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12.149999618530273</c:v>
                </c:pt>
                <c:pt idx="1">
                  <c:v>12.149999618530273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0023-4704-BB7E-F7CB03454750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21.75</c:v>
                </c:pt>
                <c:pt idx="1">
                  <c:v>21.75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0023-4704-BB7E-F7CB03454750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16.950000762939453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-2.0999999046325684</c:v>
                </c:pt>
                <c:pt idx="1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0023-4704-BB7E-F7CB03454750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16.950000762939453</c:v>
                </c:pt>
                <c:pt idx="1">
                  <c:v>16.950000762939453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0023-4704-BB7E-F7CB03454750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7.6500000953674316</c:v>
                </c:pt>
                <c:pt idx="1">
                  <c:v>7.6500000953674316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7.6500000953674316</c:v>
                </c:pt>
                <c:pt idx="1">
                  <c:v>7.6500000953674316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0023-4704-BB7E-F7CB03454750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7.6500000953674316</c:v>
                </c:pt>
                <c:pt idx="1">
                  <c:v>7.6500000953674316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7.6500000953674316</c:v>
                </c:pt>
                <c:pt idx="1">
                  <c:v>7.6500000953674316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994336"/>
        <c:axId val="75699708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0023-4704-BB7E-F7CB03454750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0023-4704-BB7E-F7CB03454750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8.6999998092651367</c:v>
                </c:pt>
                <c:pt idx="1">
                  <c:v>8.6999998092651367</c:v>
                </c:pt>
                <c:pt idx="2">
                  <c:v>8.6999998092651367</c:v>
                </c:pt>
                <c:pt idx="3">
                  <c:v>8.6999998092651367</c:v>
                </c:pt>
                <c:pt idx="4">
                  <c:v>8.6999998092651367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0023-4704-BB7E-F7CB03454750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0023-4704-BB7E-F7CB03454750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  <c:pt idx="4">
                  <c:v>3.9000000953674316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0023-4704-BB7E-F7CB03454750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0023-4704-BB7E-F7CB03454750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0023-4704-BB7E-F7CB03454750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  <c:pt idx="4">
                  <c:v>2.5508170127868652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0023-4704-BB7E-F7CB03454750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  <c:pt idx="4">
                  <c:v>5.2717561721801758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  <c:pt idx="4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0023-4704-BB7E-F7CB03454750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  <c:pt idx="4">
                  <c:v>3.3856499195098877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  <c:pt idx="4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0023-4704-BB7E-F7CB03454750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  <c:pt idx="4">
                  <c:v>4.4060029983520508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  <c:pt idx="4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0023-4704-BB7E-F7CB03454750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0023-4704-BB7E-F7CB03454750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0023-4704-BB7E-F7CB03454750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0023-4704-BB7E-F7CB03454750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0023-4704-BB7E-F7CB03454750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0023-4704-BB7E-F7CB03454750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  <c:pt idx="4">
                  <c:v>12.149999618530273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0023-4704-BB7E-F7CB03454750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  <c:pt idx="4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0023-4704-BB7E-F7CB03454750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  <c:pt idx="4">
                  <c:v>16.950000762939453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0023-4704-BB7E-F7CB03454750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  <c:pt idx="4">
                  <c:v>21.75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994336"/>
        <c:axId val="756997080"/>
      </c:scatterChart>
      <c:valAx>
        <c:axId val="7569943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756997080"/>
        <c:crosses val="autoZero"/>
        <c:crossBetween val="midCat"/>
        <c:majorUnit val="1.0000000000000004E-6"/>
      </c:valAx>
      <c:valAx>
        <c:axId val="7569970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56994336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9721850115353129E-2"/>
          <c:y val="1.7182248871122956E-2"/>
          <c:w val="0.95945446873636242"/>
          <c:h val="0.95707060639093389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-6.8143881842007907</c:v>
                </c:pt>
                <c:pt idx="1">
                  <c:v>22.114265818371251</c:v>
                </c:pt>
                <c:pt idx="2">
                  <c:v>22.114265818371251</c:v>
                </c:pt>
                <c:pt idx="3">
                  <c:v>-6.8143881842007907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15.590544888734133</c:v>
                </c:pt>
                <c:pt idx="1">
                  <c:v>15.590544888734133</c:v>
                </c:pt>
                <c:pt idx="2">
                  <c:v>-13.338109113837909</c:v>
                </c:pt>
                <c:pt idx="3">
                  <c:v>-13.338109113837909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5-4996-8772-BE09E6EA23E4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95-4996-8772-BE09E6EA23E4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0.95586188224648228</c:v>
                </c:pt>
                <c:pt idx="1">
                  <c:v>0.95586188224648228</c:v>
                </c:pt>
                <c:pt idx="2">
                  <c:v>0.95586188224648228</c:v>
                </c:pt>
                <c:pt idx="3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95-4996-8772-BE09E6EA23E4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8.6998774435266721</c:v>
                </c:pt>
                <c:pt idx="1">
                  <c:v>8.6998774435266721</c:v>
                </c:pt>
                <c:pt idx="2">
                  <c:v>8.6998774435266721</c:v>
                </c:pt>
                <c:pt idx="3">
                  <c:v>8.6998774435266721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4.3524356111529094</c:v>
                </c:pt>
                <c:pt idx="1">
                  <c:v>4.3524356111529094</c:v>
                </c:pt>
                <c:pt idx="2">
                  <c:v>4.3524356111529094</c:v>
                </c:pt>
                <c:pt idx="3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95-4996-8772-BE09E6EA23E4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3.899595284019405</c:v>
                </c:pt>
                <c:pt idx="1">
                  <c:v>3.899595284019405</c:v>
                </c:pt>
                <c:pt idx="2">
                  <c:v>3.899595284019405</c:v>
                </c:pt>
                <c:pt idx="3">
                  <c:v>3.899595284019405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-2.0997801137178165</c:v>
                </c:pt>
                <c:pt idx="1">
                  <c:v>-2.0997801137178165</c:v>
                </c:pt>
                <c:pt idx="2">
                  <c:v>-2.0997801137178165</c:v>
                </c:pt>
                <c:pt idx="3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95-4996-8772-BE09E6EA23E4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3.9000172623814056</c:v>
                </c:pt>
                <c:pt idx="1">
                  <c:v>3.9000172623814056</c:v>
                </c:pt>
                <c:pt idx="2">
                  <c:v>3.9000172623814056</c:v>
                </c:pt>
                <c:pt idx="3">
                  <c:v>3.9000172623814056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0.71199134690652988</c:v>
                </c:pt>
                <c:pt idx="1">
                  <c:v>0.71199134690652988</c:v>
                </c:pt>
                <c:pt idx="2">
                  <c:v>0.71199134690652988</c:v>
                </c:pt>
                <c:pt idx="3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95-4996-8772-BE09E6EA23E4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3.2999999523162842</c:v>
                </c:pt>
                <c:pt idx="1">
                  <c:v>4.1631088610649769</c:v>
                </c:pt>
                <c:pt idx="2">
                  <c:v>2.4368910435675919</c:v>
                </c:pt>
                <c:pt idx="3">
                  <c:v>3.2999999523162842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5.0949045345853037</c:v>
                </c:pt>
                <c:pt idx="2">
                  <c:v>5.0949045345853037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C95-4996-8772-BE09E6EA23E4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4.5</c:v>
                </c:pt>
                <c:pt idx="1">
                  <c:v>5.3631089087486927</c:v>
                </c:pt>
                <c:pt idx="2">
                  <c:v>3.6368910912513077</c:v>
                </c:pt>
                <c:pt idx="3">
                  <c:v>4.5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5.0949045345853037</c:v>
                </c:pt>
                <c:pt idx="2">
                  <c:v>5.0949045345853037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C95-4996-8772-BE09E6EA23E4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2.5508135058442862</c:v>
                </c:pt>
                <c:pt idx="1">
                  <c:v>2.5508135058442862</c:v>
                </c:pt>
                <c:pt idx="2">
                  <c:v>2.5508135058442862</c:v>
                </c:pt>
                <c:pt idx="3">
                  <c:v>2.5508135058442862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0.8819063423581377</c:v>
                </c:pt>
                <c:pt idx="1">
                  <c:v>0.8819063423581377</c:v>
                </c:pt>
                <c:pt idx="2">
                  <c:v>0.8819063423581377</c:v>
                </c:pt>
                <c:pt idx="3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C95-4996-8772-BE09E6EA23E4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5.2717980643062301</c:v>
                </c:pt>
                <c:pt idx="1">
                  <c:v>5.2717980643062301</c:v>
                </c:pt>
                <c:pt idx="2">
                  <c:v>5.2717980643062301</c:v>
                </c:pt>
                <c:pt idx="3">
                  <c:v>5.2717980643062301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0.91863725774052185</c:v>
                </c:pt>
                <c:pt idx="1">
                  <c:v>0.91863725774052185</c:v>
                </c:pt>
                <c:pt idx="2">
                  <c:v>0.91863725774052185</c:v>
                </c:pt>
                <c:pt idx="3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95-4996-8772-BE09E6EA23E4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3.3533233680977133</c:v>
                </c:pt>
                <c:pt idx="1">
                  <c:v>3.3533233680977133</c:v>
                </c:pt>
                <c:pt idx="2">
                  <c:v>3.3533233680977133</c:v>
                </c:pt>
                <c:pt idx="3">
                  <c:v>3.3533233680977133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2.7261509686366132</c:v>
                </c:pt>
                <c:pt idx="1">
                  <c:v>2.7261509686366132</c:v>
                </c:pt>
                <c:pt idx="2">
                  <c:v>2.7261509686366132</c:v>
                </c:pt>
                <c:pt idx="3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C95-4996-8772-BE09E6EA23E4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4.3735740188221861</c:v>
                </c:pt>
                <c:pt idx="1">
                  <c:v>4.3735740188221861</c:v>
                </c:pt>
                <c:pt idx="2">
                  <c:v>4.3735740188221861</c:v>
                </c:pt>
                <c:pt idx="3">
                  <c:v>4.3735740188221861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2.7483914883909044</c:v>
                </c:pt>
                <c:pt idx="1">
                  <c:v>2.7483914883909044</c:v>
                </c:pt>
                <c:pt idx="2">
                  <c:v>2.7483914883909044</c:v>
                </c:pt>
                <c:pt idx="3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C95-4996-8772-BE09E6EA23E4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-6.4499998092651367</c:v>
                </c:pt>
                <c:pt idx="1">
                  <c:v>-5.586890900516444</c:v>
                </c:pt>
                <c:pt idx="2">
                  <c:v>-7.3131087180138294</c:v>
                </c:pt>
                <c:pt idx="3">
                  <c:v>-6.4499998092651367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2.3949046061108774</c:v>
                </c:pt>
                <c:pt idx="2">
                  <c:v>2.3949046061108774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C95-4996-8772-BE09E6EA23E4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C95-4996-8772-BE09E6EA23E4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C95-4996-8772-BE09E6EA23E4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-5.5500001907348633</c:v>
                </c:pt>
                <c:pt idx="1">
                  <c:v>-4.6868912819861706</c:v>
                </c:pt>
                <c:pt idx="2">
                  <c:v>-6.413109099483556</c:v>
                </c:pt>
                <c:pt idx="3">
                  <c:v>-5.5500001907348633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4.3449045345853037</c:v>
                </c:pt>
                <c:pt idx="2">
                  <c:v>4.3449045345853037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C95-4996-8772-BE09E6EA23E4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-4.6500000953674316</c:v>
                </c:pt>
                <c:pt idx="1">
                  <c:v>-3.7868911866187394</c:v>
                </c:pt>
                <c:pt idx="2">
                  <c:v>-5.5131090041161244</c:v>
                </c:pt>
                <c:pt idx="3">
                  <c:v>-4.6500000953674316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4.3449045345853037</c:v>
                </c:pt>
                <c:pt idx="2">
                  <c:v>4.3449045345853037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C95-4996-8772-BE09E6EA23E4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12.149877252791809</c:v>
                </c:pt>
                <c:pt idx="1">
                  <c:v>12.149877252791809</c:v>
                </c:pt>
                <c:pt idx="2">
                  <c:v>12.149877252791809</c:v>
                </c:pt>
                <c:pt idx="3">
                  <c:v>12.149877252791809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0.89983854892481308</c:v>
                </c:pt>
                <c:pt idx="1">
                  <c:v>0.89983854892481308</c:v>
                </c:pt>
                <c:pt idx="2">
                  <c:v>0.89983854892481308</c:v>
                </c:pt>
                <c:pt idx="3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C95-4996-8772-BE09E6EA23E4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21.749877634170446</c:v>
                </c:pt>
                <c:pt idx="1">
                  <c:v>21.749877634170446</c:v>
                </c:pt>
                <c:pt idx="2">
                  <c:v>21.749877634170446</c:v>
                </c:pt>
                <c:pt idx="3">
                  <c:v>21.749877634170446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0.9001611964406423</c:v>
                </c:pt>
                <c:pt idx="1">
                  <c:v>0.9001611964406423</c:v>
                </c:pt>
                <c:pt idx="2">
                  <c:v>0.9001611964406423</c:v>
                </c:pt>
                <c:pt idx="3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C95-4996-8772-BE09E6EA23E4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16.950000505139531</c:v>
                </c:pt>
                <c:pt idx="1">
                  <c:v>16.950000505139531</c:v>
                </c:pt>
                <c:pt idx="2">
                  <c:v>16.950000505139531</c:v>
                </c:pt>
                <c:pt idx="3">
                  <c:v>16.950000505139531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-2.099999764731113</c:v>
                </c:pt>
                <c:pt idx="1">
                  <c:v>-2.099999764731113</c:v>
                </c:pt>
                <c:pt idx="2">
                  <c:v>-2.099999764731113</c:v>
                </c:pt>
                <c:pt idx="3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C95-4996-8772-BE09E6EA23E4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16.949878412407752</c:v>
                </c:pt>
                <c:pt idx="1">
                  <c:v>16.949878412407752</c:v>
                </c:pt>
                <c:pt idx="2">
                  <c:v>16.949878412407752</c:v>
                </c:pt>
                <c:pt idx="3">
                  <c:v>16.949878412407752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0.89999977405212539</c:v>
                </c:pt>
                <c:pt idx="1">
                  <c:v>0.89999977405212539</c:v>
                </c:pt>
                <c:pt idx="2">
                  <c:v>0.89999977405212539</c:v>
                </c:pt>
                <c:pt idx="3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C95-4996-8772-BE09E6EA23E4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C95-4996-8772-BE09E6EA23E4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C95-4996-8772-BE09E6EA23E4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C95-4996-8772-BE09E6EA23E4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C95-4996-8772-BE09E6EA23E4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3.9000000953674316</c:v>
                </c:pt>
                <c:pt idx="1">
                  <c:v>3.9000000953674316</c:v>
                </c:pt>
                <c:pt idx="2">
                  <c:v>3.9000000953674316</c:v>
                </c:pt>
                <c:pt idx="3">
                  <c:v>3.9000000953674316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C95-4996-8772-BE09E6EA23E4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3.2999999523162842</c:v>
                </c:pt>
                <c:pt idx="1">
                  <c:v>4.7949045822690195</c:v>
                </c:pt>
                <c:pt idx="2">
                  <c:v>4.7949045822690195</c:v>
                </c:pt>
                <c:pt idx="3">
                  <c:v>3.2999999523162842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4.4631088133812611</c:v>
                </c:pt>
                <c:pt idx="2">
                  <c:v>2.7368909958838761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C95-4996-8772-BE09E6EA23E4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4.5</c:v>
                </c:pt>
                <c:pt idx="1">
                  <c:v>5.9949046299527353</c:v>
                </c:pt>
                <c:pt idx="2">
                  <c:v>5.9949046299527353</c:v>
                </c:pt>
                <c:pt idx="3">
                  <c:v>4.5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3.5999999046325684</c:v>
                </c:pt>
                <c:pt idx="1">
                  <c:v>4.4631088133812611</c:v>
                </c:pt>
                <c:pt idx="2">
                  <c:v>2.7368909958838761</c:v>
                </c:pt>
                <c:pt idx="3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C95-4996-8772-BE09E6EA23E4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2.5508170127868652</c:v>
                </c:pt>
                <c:pt idx="1">
                  <c:v>2.5508170127868652</c:v>
                </c:pt>
                <c:pt idx="2">
                  <c:v>2.5508170127868652</c:v>
                </c:pt>
                <c:pt idx="3">
                  <c:v>2.5508170127868652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9C95-4996-8772-BE09E6EA23E4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5.2717561721801758</c:v>
                </c:pt>
                <c:pt idx="1">
                  <c:v>5.2717561721801758</c:v>
                </c:pt>
                <c:pt idx="2">
                  <c:v>5.2717561721801758</c:v>
                </c:pt>
                <c:pt idx="3">
                  <c:v>5.2717561721801758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0.89983600378036499</c:v>
                </c:pt>
                <c:pt idx="1">
                  <c:v>0.89983600378036499</c:v>
                </c:pt>
                <c:pt idx="2">
                  <c:v>0.89983600378036499</c:v>
                </c:pt>
                <c:pt idx="3">
                  <c:v>0.89983600378036499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9C95-4996-8772-BE09E6EA23E4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3.3856499195098877</c:v>
                </c:pt>
                <c:pt idx="1">
                  <c:v>3.3856499195098877</c:v>
                </c:pt>
                <c:pt idx="2">
                  <c:v>3.3856499195098877</c:v>
                </c:pt>
                <c:pt idx="3">
                  <c:v>3.3856499195098877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2.7293310165405273</c:v>
                </c:pt>
                <c:pt idx="1">
                  <c:v>2.7293310165405273</c:v>
                </c:pt>
                <c:pt idx="2">
                  <c:v>2.7293310165405273</c:v>
                </c:pt>
                <c:pt idx="3">
                  <c:v>2.7293310165405273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9C95-4996-8772-BE09E6EA23E4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4.4060029983520508</c:v>
                </c:pt>
                <c:pt idx="1">
                  <c:v>4.4060029983520508</c:v>
                </c:pt>
                <c:pt idx="2">
                  <c:v>4.4060029983520508</c:v>
                </c:pt>
                <c:pt idx="3">
                  <c:v>4.4060029983520508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2.7448270320892334</c:v>
                </c:pt>
                <c:pt idx="1">
                  <c:v>2.7448270320892334</c:v>
                </c:pt>
                <c:pt idx="2">
                  <c:v>2.7448270320892334</c:v>
                </c:pt>
                <c:pt idx="3">
                  <c:v>2.7448270320892334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9C95-4996-8772-BE09E6EA23E4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-6.4499998092651367</c:v>
                </c:pt>
                <c:pt idx="1">
                  <c:v>-4.9550951793124014</c:v>
                </c:pt>
                <c:pt idx="2">
                  <c:v>-4.9550951793124014</c:v>
                </c:pt>
                <c:pt idx="3">
                  <c:v>-6.4499998092651367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1.7631088849068344</c:v>
                </c:pt>
                <c:pt idx="2">
                  <c:v>3.6891067409449696E-2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9C95-4996-8772-BE09E6EA23E4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9C95-4996-8772-BE09E6EA23E4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9C95-4996-8772-BE09E6EA23E4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-5.5500001907348633</c:v>
                </c:pt>
                <c:pt idx="1">
                  <c:v>-4.055095560782128</c:v>
                </c:pt>
                <c:pt idx="2">
                  <c:v>-4.055095560782128</c:v>
                </c:pt>
                <c:pt idx="3">
                  <c:v>-5.5500001907348633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3.7131088133812606</c:v>
                </c:pt>
                <c:pt idx="2">
                  <c:v>1.9868909958838761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9C95-4996-8772-BE09E6EA23E4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-4.6500000953674316</c:v>
                </c:pt>
                <c:pt idx="1">
                  <c:v>-3.1550954654146963</c:v>
                </c:pt>
                <c:pt idx="2">
                  <c:v>-3.1550954654146963</c:v>
                </c:pt>
                <c:pt idx="3">
                  <c:v>-4.6500000953674316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2.8499999046325684</c:v>
                </c:pt>
                <c:pt idx="1">
                  <c:v>3.7131088133812606</c:v>
                </c:pt>
                <c:pt idx="2">
                  <c:v>1.9868909958838761</c:v>
                </c:pt>
                <c:pt idx="3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9C95-4996-8772-BE09E6EA23E4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12.149999618530273</c:v>
                </c:pt>
                <c:pt idx="1">
                  <c:v>12.149999618530273</c:v>
                </c:pt>
                <c:pt idx="2">
                  <c:v>12.149999618530273</c:v>
                </c:pt>
                <c:pt idx="3">
                  <c:v>12.149999618530273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9C95-4996-8772-BE09E6EA23E4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21.75</c:v>
                </c:pt>
                <c:pt idx="1">
                  <c:v>21.75</c:v>
                </c:pt>
                <c:pt idx="2">
                  <c:v>21.75</c:v>
                </c:pt>
                <c:pt idx="3">
                  <c:v>21.75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9C95-4996-8772-BE09E6EA23E4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-2.0999999046325684</c:v>
                </c:pt>
                <c:pt idx="1">
                  <c:v>-2.0999999046325684</c:v>
                </c:pt>
                <c:pt idx="2">
                  <c:v>-2.0999999046325684</c:v>
                </c:pt>
                <c:pt idx="3">
                  <c:v>-2.0999999046325684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9C95-4996-8772-BE09E6EA23E4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16.950000762939453</c:v>
                </c:pt>
                <c:pt idx="1">
                  <c:v>16.950000762939453</c:v>
                </c:pt>
                <c:pt idx="2">
                  <c:v>16.950000762939453</c:v>
                </c:pt>
                <c:pt idx="3">
                  <c:v>16.950000762939453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9C95-4996-8772-BE09E6EA23E4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9C95-4996-8772-BE09E6EA23E4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0.95586188224648228</c:v>
                </c:pt>
                <c:pt idx="1">
                  <c:v>0.95586188224648228</c:v>
                </c:pt>
                <c:pt idx="2">
                  <c:v>0.95586188224648228</c:v>
                </c:pt>
                <c:pt idx="3">
                  <c:v>0.95586188224648228</c:v>
                </c:pt>
                <c:pt idx="4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9C95-4996-8772-BE09E6EA23E4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8.6998774435266721</c:v>
                </c:pt>
                <c:pt idx="1">
                  <c:v>8.6998774435266721</c:v>
                </c:pt>
                <c:pt idx="2">
                  <c:v>8.6998774435266721</c:v>
                </c:pt>
                <c:pt idx="3">
                  <c:v>8.6998774435266721</c:v>
                </c:pt>
                <c:pt idx="4">
                  <c:v>8.6998774435266721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4.3524356111529094</c:v>
                </c:pt>
                <c:pt idx="1">
                  <c:v>4.3524356111529094</c:v>
                </c:pt>
                <c:pt idx="2">
                  <c:v>4.3524356111529094</c:v>
                </c:pt>
                <c:pt idx="3">
                  <c:v>4.3524356111529094</c:v>
                </c:pt>
                <c:pt idx="4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9C95-4996-8772-BE09E6EA23E4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3.899595284019405</c:v>
                </c:pt>
                <c:pt idx="1">
                  <c:v>3.899595284019405</c:v>
                </c:pt>
                <c:pt idx="2">
                  <c:v>3.899595284019405</c:v>
                </c:pt>
                <c:pt idx="3">
                  <c:v>3.899595284019405</c:v>
                </c:pt>
                <c:pt idx="4">
                  <c:v>3.899595284019405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-2.0997801137178165</c:v>
                </c:pt>
                <c:pt idx="1">
                  <c:v>-2.0997801137178165</c:v>
                </c:pt>
                <c:pt idx="2">
                  <c:v>-2.0997801137178165</c:v>
                </c:pt>
                <c:pt idx="3">
                  <c:v>-2.0997801137178165</c:v>
                </c:pt>
                <c:pt idx="4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9C95-4996-8772-BE09E6EA23E4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3.9000172623814056</c:v>
                </c:pt>
                <c:pt idx="1">
                  <c:v>3.9000172623814056</c:v>
                </c:pt>
                <c:pt idx="2">
                  <c:v>3.9000172623814056</c:v>
                </c:pt>
                <c:pt idx="3">
                  <c:v>3.9000172623814056</c:v>
                </c:pt>
                <c:pt idx="4">
                  <c:v>3.9000172623814056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0.71199134690652988</c:v>
                </c:pt>
                <c:pt idx="1">
                  <c:v>0.71199134690652988</c:v>
                </c:pt>
                <c:pt idx="2">
                  <c:v>0.71199134690652988</c:v>
                </c:pt>
                <c:pt idx="3">
                  <c:v>0.71199134690652988</c:v>
                </c:pt>
                <c:pt idx="4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9C95-4996-8772-BE09E6EA23E4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9C95-4996-8772-BE09E6EA23E4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9C95-4996-8772-BE09E6EA23E4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2.5508135058442862</c:v>
                </c:pt>
                <c:pt idx="1">
                  <c:v>2.5508135058442862</c:v>
                </c:pt>
                <c:pt idx="2">
                  <c:v>2.5508135058442862</c:v>
                </c:pt>
                <c:pt idx="3">
                  <c:v>2.5508135058442862</c:v>
                </c:pt>
                <c:pt idx="4">
                  <c:v>2.5508135058442862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0.8819063423581377</c:v>
                </c:pt>
                <c:pt idx="1">
                  <c:v>0.8819063423581377</c:v>
                </c:pt>
                <c:pt idx="2">
                  <c:v>0.8819063423581377</c:v>
                </c:pt>
                <c:pt idx="3">
                  <c:v>0.8819063423581377</c:v>
                </c:pt>
                <c:pt idx="4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9C95-4996-8772-BE09E6EA23E4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5.2717980643062301</c:v>
                </c:pt>
                <c:pt idx="1">
                  <c:v>5.2717980643062301</c:v>
                </c:pt>
                <c:pt idx="2">
                  <c:v>5.2717980643062301</c:v>
                </c:pt>
                <c:pt idx="3">
                  <c:v>5.2717980643062301</c:v>
                </c:pt>
                <c:pt idx="4">
                  <c:v>5.2717980643062301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0.91863725774052185</c:v>
                </c:pt>
                <c:pt idx="1">
                  <c:v>0.91863725774052185</c:v>
                </c:pt>
                <c:pt idx="2">
                  <c:v>0.91863725774052185</c:v>
                </c:pt>
                <c:pt idx="3">
                  <c:v>0.91863725774052185</c:v>
                </c:pt>
                <c:pt idx="4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9C95-4996-8772-BE09E6EA23E4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3.3533233680977133</c:v>
                </c:pt>
                <c:pt idx="1">
                  <c:v>3.3533233680977133</c:v>
                </c:pt>
                <c:pt idx="2">
                  <c:v>3.3533233680977133</c:v>
                </c:pt>
                <c:pt idx="3">
                  <c:v>3.3533233680977133</c:v>
                </c:pt>
                <c:pt idx="4">
                  <c:v>3.3533233680977133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2.7261509686366132</c:v>
                </c:pt>
                <c:pt idx="1">
                  <c:v>2.7261509686366132</c:v>
                </c:pt>
                <c:pt idx="2">
                  <c:v>2.7261509686366132</c:v>
                </c:pt>
                <c:pt idx="3">
                  <c:v>2.7261509686366132</c:v>
                </c:pt>
                <c:pt idx="4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9C95-4996-8772-BE09E6EA23E4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4.3735740188221861</c:v>
                </c:pt>
                <c:pt idx="1">
                  <c:v>4.3735740188221861</c:v>
                </c:pt>
                <c:pt idx="2">
                  <c:v>4.3735740188221861</c:v>
                </c:pt>
                <c:pt idx="3">
                  <c:v>4.3735740188221861</c:v>
                </c:pt>
                <c:pt idx="4">
                  <c:v>4.3735740188221861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2.7483914883909044</c:v>
                </c:pt>
                <c:pt idx="1">
                  <c:v>2.7483914883909044</c:v>
                </c:pt>
                <c:pt idx="2">
                  <c:v>2.7483914883909044</c:v>
                </c:pt>
                <c:pt idx="3">
                  <c:v>2.7483914883909044</c:v>
                </c:pt>
                <c:pt idx="4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9C95-4996-8772-BE09E6EA23E4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9C95-4996-8772-BE09E6EA23E4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9C95-4996-8772-BE09E6EA23E4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9C95-4996-8772-BE09E6EA23E4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9C95-4996-8772-BE09E6EA23E4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9C95-4996-8772-BE09E6EA23E4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12.149877252791809</c:v>
                </c:pt>
                <c:pt idx="1">
                  <c:v>12.149877252791809</c:v>
                </c:pt>
                <c:pt idx="2">
                  <c:v>12.149877252791809</c:v>
                </c:pt>
                <c:pt idx="3">
                  <c:v>12.149877252791809</c:v>
                </c:pt>
                <c:pt idx="4">
                  <c:v>12.149877252791809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0.89983854892481308</c:v>
                </c:pt>
                <c:pt idx="1">
                  <c:v>0.89983854892481308</c:v>
                </c:pt>
                <c:pt idx="2">
                  <c:v>0.89983854892481308</c:v>
                </c:pt>
                <c:pt idx="3">
                  <c:v>0.89983854892481308</c:v>
                </c:pt>
                <c:pt idx="4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9C95-4996-8772-BE09E6EA23E4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21.749877634170446</c:v>
                </c:pt>
                <c:pt idx="1">
                  <c:v>21.749877634170446</c:v>
                </c:pt>
                <c:pt idx="2">
                  <c:v>21.749877634170446</c:v>
                </c:pt>
                <c:pt idx="3">
                  <c:v>21.749877634170446</c:v>
                </c:pt>
                <c:pt idx="4">
                  <c:v>21.749877634170446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0.9001611964406423</c:v>
                </c:pt>
                <c:pt idx="1">
                  <c:v>0.9001611964406423</c:v>
                </c:pt>
                <c:pt idx="2">
                  <c:v>0.9001611964406423</c:v>
                </c:pt>
                <c:pt idx="3">
                  <c:v>0.9001611964406423</c:v>
                </c:pt>
                <c:pt idx="4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9C95-4996-8772-BE09E6EA23E4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16.950000505139531</c:v>
                </c:pt>
                <c:pt idx="1">
                  <c:v>16.950000505139531</c:v>
                </c:pt>
                <c:pt idx="2">
                  <c:v>16.950000505139531</c:v>
                </c:pt>
                <c:pt idx="3">
                  <c:v>16.950000505139531</c:v>
                </c:pt>
                <c:pt idx="4">
                  <c:v>16.950000505139531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-2.099999764731113</c:v>
                </c:pt>
                <c:pt idx="1">
                  <c:v>-2.099999764731113</c:v>
                </c:pt>
                <c:pt idx="2">
                  <c:v>-2.099999764731113</c:v>
                </c:pt>
                <c:pt idx="3">
                  <c:v>-2.099999764731113</c:v>
                </c:pt>
                <c:pt idx="4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9C95-4996-8772-BE09E6EA23E4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16.949878412407752</c:v>
                </c:pt>
                <c:pt idx="1">
                  <c:v>16.949878412407752</c:v>
                </c:pt>
                <c:pt idx="2">
                  <c:v>16.949878412407752</c:v>
                </c:pt>
                <c:pt idx="3">
                  <c:v>16.949878412407752</c:v>
                </c:pt>
                <c:pt idx="4">
                  <c:v>16.949878412407752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0.89999977405212539</c:v>
                </c:pt>
                <c:pt idx="1">
                  <c:v>0.89999977405212539</c:v>
                </c:pt>
                <c:pt idx="2">
                  <c:v>0.89999977405212539</c:v>
                </c:pt>
                <c:pt idx="3">
                  <c:v>0.89999977405212539</c:v>
                </c:pt>
                <c:pt idx="4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9C95-4996-8772-BE09E6EA23E4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-3.75</c:v>
                </c:pt>
                <c:pt idx="1">
                  <c:v>-3.4649999999999999</c:v>
                </c:pt>
                <c:pt idx="2">
                  <c:v>-3.1799999999999997</c:v>
                </c:pt>
                <c:pt idx="3">
                  <c:v>-2.8949999999999996</c:v>
                </c:pt>
                <c:pt idx="4">
                  <c:v>-2.6099999999999994</c:v>
                </c:pt>
                <c:pt idx="5">
                  <c:v>-2.3249999999999993</c:v>
                </c:pt>
                <c:pt idx="6">
                  <c:v>-2.0399999999999991</c:v>
                </c:pt>
                <c:pt idx="7">
                  <c:v>-1.754999999999999</c:v>
                </c:pt>
                <c:pt idx="8">
                  <c:v>-1.4699999999999989</c:v>
                </c:pt>
                <c:pt idx="9">
                  <c:v>-1.1849999999999987</c:v>
                </c:pt>
                <c:pt idx="10">
                  <c:v>-0.89999999999999869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0.9</c:v>
                </c:pt>
                <c:pt idx="1">
                  <c:v>0.90156413337047359</c:v>
                </c:pt>
                <c:pt idx="2">
                  <c:v>0.90580963823318739</c:v>
                </c:pt>
                <c:pt idx="3">
                  <c:v>0.91206617171508153</c:v>
                </c:pt>
                <c:pt idx="4">
                  <c:v>0.91966339094309579</c:v>
                </c:pt>
                <c:pt idx="5">
                  <c:v>0.92793095304417017</c:v>
                </c:pt>
                <c:pt idx="6">
                  <c:v>0.93619851514524444</c:v>
                </c:pt>
                <c:pt idx="7">
                  <c:v>0.9437957343732587</c:v>
                </c:pt>
                <c:pt idx="8">
                  <c:v>0.95005226785515284</c:v>
                </c:pt>
                <c:pt idx="9">
                  <c:v>0.95429777271786664</c:v>
                </c:pt>
                <c:pt idx="10">
                  <c:v>0.95586190608834021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9C95-4996-8772-BE09E6EA23E4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-0.9</c:v>
                </c:pt>
                <c:pt idx="1">
                  <c:v>-0.55491777509842843</c:v>
                </c:pt>
                <c:pt idx="2">
                  <c:v>-0.20983560326327083</c:v>
                </c:pt>
                <c:pt idx="3">
                  <c:v>0.135246462439059</c:v>
                </c:pt>
                <c:pt idx="4">
                  <c:v>0.48032836894214709</c:v>
                </c:pt>
                <c:pt idx="5">
                  <c:v>0.82541006317957955</c:v>
                </c:pt>
                <c:pt idx="6">
                  <c:v>1.1704914920849425</c:v>
                </c:pt>
                <c:pt idx="7">
                  <c:v>1.5155726025918219</c:v>
                </c:pt>
                <c:pt idx="8">
                  <c:v>1.860653341633804</c:v>
                </c:pt>
                <c:pt idx="9">
                  <c:v>2.2057336561444747</c:v>
                </c:pt>
                <c:pt idx="10">
                  <c:v>2.5508134930574209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0.95586190608834021</c:v>
                </c:pt>
                <c:pt idx="1">
                  <c:v>0.96689025771153614</c:v>
                </c:pt>
                <c:pt idx="2">
                  <c:v>0.97680200882720158</c:v>
                </c:pt>
                <c:pt idx="3">
                  <c:v>0.98448055892780606</c:v>
                </c:pt>
                <c:pt idx="4">
                  <c:v>0.98880930750581908</c:v>
                </c:pt>
                <c:pt idx="5">
                  <c:v>0.98867165405371049</c:v>
                </c:pt>
                <c:pt idx="6">
                  <c:v>0.98295099806394926</c:v>
                </c:pt>
                <c:pt idx="7">
                  <c:v>0.97053073902900544</c:v>
                </c:pt>
                <c:pt idx="8">
                  <c:v>0.95029427644134834</c:v>
                </c:pt>
                <c:pt idx="9">
                  <c:v>0.92112500979344758</c:v>
                </c:pt>
                <c:pt idx="10">
                  <c:v>0.88190633857777256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9C95-4996-8772-BE09E6EA23E4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-0.9</c:v>
                </c:pt>
                <c:pt idx="1">
                  <c:v>-0.41823174009967479</c:v>
                </c:pt>
                <c:pt idx="2">
                  <c:v>6.2330692443898564E-2</c:v>
                </c:pt>
                <c:pt idx="3">
                  <c:v>0.54198875446990791</c:v>
                </c:pt>
                <c:pt idx="4">
                  <c:v>1.0210439028175413</c:v>
                </c:pt>
                <c:pt idx="5">
                  <c:v>1.4997975943259867</c:v>
                </c:pt>
                <c:pt idx="6">
                  <c:v>1.9785512858344321</c:v>
                </c:pt>
                <c:pt idx="7">
                  <c:v>2.4576064341820656</c:v>
                </c:pt>
                <c:pt idx="8">
                  <c:v>2.9372644962080749</c:v>
                </c:pt>
                <c:pt idx="9">
                  <c:v>3.4178269287516478</c:v>
                </c:pt>
                <c:pt idx="10">
                  <c:v>3.8995951886519733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0.95586190608834021</c:v>
                </c:pt>
                <c:pt idx="1">
                  <c:v>0.65319168022718588</c:v>
                </c:pt>
                <c:pt idx="2">
                  <c:v>0.34859213059522864</c:v>
                </c:pt>
                <c:pt idx="3">
                  <c:v>4.2545588135169024E-2</c:v>
                </c:pt>
                <c:pt idx="4">
                  <c:v>-0.26446561621029213</c:v>
                </c:pt>
                <c:pt idx="5">
                  <c:v>-0.57195915149845411</c:v>
                </c:pt>
                <c:pt idx="6">
                  <c:v>-0.87945268678661614</c:v>
                </c:pt>
                <c:pt idx="7">
                  <c:v>-1.1864638911320771</c:v>
                </c:pt>
                <c:pt idx="8">
                  <c:v>-1.4925104335921369</c:v>
                </c:pt>
                <c:pt idx="9">
                  <c:v>-1.7971099832240942</c:v>
                </c:pt>
                <c:pt idx="10">
                  <c:v>-2.0997802090852487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9C95-4996-8772-BE09E6EA23E4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8.6998776342615347</c:v>
                </c:pt>
                <c:pt idx="1">
                  <c:v>8.1081429489269468</c:v>
                </c:pt>
                <c:pt idx="2">
                  <c:v>7.5908792241081127</c:v>
                </c:pt>
                <c:pt idx="3">
                  <c:v>7.129468719676094</c:v>
                </c:pt>
                <c:pt idx="4">
                  <c:v>6.705293695501954</c:v>
                </c:pt>
                <c:pt idx="5">
                  <c:v>6.2997364114567516</c:v>
                </c:pt>
                <c:pt idx="6">
                  <c:v>5.8941791274115491</c:v>
                </c:pt>
                <c:pt idx="7">
                  <c:v>5.4700041032374092</c:v>
                </c:pt>
                <c:pt idx="8">
                  <c:v>5.0085935988053905</c:v>
                </c:pt>
                <c:pt idx="9">
                  <c:v>4.4913298739865573</c:v>
                </c:pt>
                <c:pt idx="10">
                  <c:v>3.8995951886519689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4.3524356349947695</c:v>
                </c:pt>
                <c:pt idx="1">
                  <c:v>3.8859443558245732</c:v>
                </c:pt>
                <c:pt idx="2">
                  <c:v>3.3002995398291781</c:v>
                </c:pt>
                <c:pt idx="3">
                  <c:v>2.6252895712148794</c:v>
                </c:pt>
                <c:pt idx="4">
                  <c:v>1.8907028341879712</c:v>
                </c:pt>
                <c:pt idx="5">
                  <c:v>1.1263277129547582</c:v>
                </c:pt>
                <c:pt idx="6">
                  <c:v>0.36195259172155569</c:v>
                </c:pt>
                <c:pt idx="7">
                  <c:v>-0.37263414530535666</c:v>
                </c:pt>
                <c:pt idx="8">
                  <c:v>-1.0476441139196595</c:v>
                </c:pt>
                <c:pt idx="9">
                  <c:v>-1.6332889299150575</c:v>
                </c:pt>
                <c:pt idx="10">
                  <c:v>-2.0997802090852487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9C95-4996-8772-BE09E6EA23E4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3.9000171670139738</c:v>
                </c:pt>
                <c:pt idx="1">
                  <c:v>4.0371920795169878</c:v>
                </c:pt>
                <c:pt idx="2">
                  <c:v>4.1743675135185816</c:v>
                </c:pt>
                <c:pt idx="3">
                  <c:v>4.3115435367908033</c:v>
                </c:pt>
                <c:pt idx="4">
                  <c:v>4.448720217105703</c:v>
                </c:pt>
                <c:pt idx="5">
                  <c:v>4.5858976222353292</c:v>
                </c:pt>
                <c:pt idx="6">
                  <c:v>4.7230758199517293</c:v>
                </c:pt>
                <c:pt idx="7">
                  <c:v>4.8602548780269537</c:v>
                </c:pt>
                <c:pt idx="8">
                  <c:v>4.9974348642330497</c:v>
                </c:pt>
                <c:pt idx="9">
                  <c:v>5.1346158463420668</c:v>
                </c:pt>
                <c:pt idx="10">
                  <c:v>5.2717978921260542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0.71199137074838759</c:v>
                </c:pt>
                <c:pt idx="1">
                  <c:v>0.70622449443178548</c:v>
                </c:pt>
                <c:pt idx="2">
                  <c:v>0.70481962303002677</c:v>
                </c:pt>
                <c:pt idx="3">
                  <c:v>0.70834362675319484</c:v>
                </c:pt>
                <c:pt idx="4">
                  <c:v>0.71736337581137066</c:v>
                </c:pt>
                <c:pt idx="5">
                  <c:v>0.73244574041463606</c:v>
                </c:pt>
                <c:pt idx="6">
                  <c:v>0.7541575907730711</c:v>
                </c:pt>
                <c:pt idx="7">
                  <c:v>0.78306579709675994</c:v>
                </c:pt>
                <c:pt idx="8">
                  <c:v>0.81973722959578277</c:v>
                </c:pt>
                <c:pt idx="9">
                  <c:v>0.86473875848022108</c:v>
                </c:pt>
                <c:pt idx="10">
                  <c:v>0.9186372539601565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9C95-4996-8772-BE09E6EA23E4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3.3</c:v>
                </c:pt>
                <c:pt idx="1">
                  <c:v>3.3039464379678809</c:v>
                </c:pt>
                <c:pt idx="2">
                  <c:v>3.3079768702927868</c:v>
                </c:pt>
                <c:pt idx="3">
                  <c:v>3.3121752913317408</c:v>
                </c:pt>
                <c:pt idx="4">
                  <c:v>3.3166256954417679</c:v>
                </c:pt>
                <c:pt idx="5">
                  <c:v>3.3214120769798923</c:v>
                </c:pt>
                <c:pt idx="6">
                  <c:v>3.3266184303031383</c:v>
                </c:pt>
                <c:pt idx="7">
                  <c:v>3.3323287497685303</c:v>
                </c:pt>
                <c:pt idx="8">
                  <c:v>3.3386270297330927</c:v>
                </c:pt>
                <c:pt idx="9">
                  <c:v>3.3455972645538492</c:v>
                </c:pt>
                <c:pt idx="10">
                  <c:v>3.3533234485878247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3.6</c:v>
                </c:pt>
                <c:pt idx="1">
                  <c:v>3.512478759902844</c:v>
                </c:pt>
                <c:pt idx="2">
                  <c:v>3.4249657825515523</c:v>
                </c:pt>
                <c:pt idx="3">
                  <c:v>3.3374693306919894</c:v>
                </c:pt>
                <c:pt idx="4">
                  <c:v>3.2499976670700206</c:v>
                </c:pt>
                <c:pt idx="5">
                  <c:v>3.1625590544315094</c:v>
                </c:pt>
                <c:pt idx="6">
                  <c:v>3.0751617555223216</c:v>
                </c:pt>
                <c:pt idx="7">
                  <c:v>2.9878140330883203</c:v>
                </c:pt>
                <c:pt idx="8">
                  <c:v>2.9005241498753715</c:v>
                </c:pt>
                <c:pt idx="9">
                  <c:v>2.8133003686293385</c:v>
                </c:pt>
                <c:pt idx="10">
                  <c:v>2.7261509520960865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9C95-4996-8772-BE09E6EA23E4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4.5</c:v>
                </c:pt>
                <c:pt idx="1">
                  <c:v>4.4859910410662014</c:v>
                </c:pt>
                <c:pt idx="2">
                  <c:v>4.4720648918888166</c:v>
                </c:pt>
                <c:pt idx="3">
                  <c:v>4.4583043622242569</c:v>
                </c:pt>
                <c:pt idx="4">
                  <c:v>4.4447922618289351</c:v>
                </c:pt>
                <c:pt idx="5">
                  <c:v>4.431611400459265</c:v>
                </c:pt>
                <c:pt idx="6">
                  <c:v>4.4188445878716589</c:v>
                </c:pt>
                <c:pt idx="7">
                  <c:v>4.4065746338225305</c:v>
                </c:pt>
                <c:pt idx="8">
                  <c:v>4.3948843480682909</c:v>
                </c:pt>
                <c:pt idx="9">
                  <c:v>4.3838565403653531</c:v>
                </c:pt>
                <c:pt idx="10">
                  <c:v>4.3735740204701319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3.6</c:v>
                </c:pt>
                <c:pt idx="1">
                  <c:v>3.5149893302514235</c:v>
                </c:pt>
                <c:pt idx="2">
                  <c:v>3.4299695584045882</c:v>
                </c:pt>
                <c:pt idx="3">
                  <c:v>3.3449315823612373</c:v>
                </c:pt>
                <c:pt idx="4">
                  <c:v>3.2598663000231123</c:v>
                </c:pt>
                <c:pt idx="5">
                  <c:v>3.1747646092919557</c:v>
                </c:pt>
                <c:pt idx="6">
                  <c:v>3.0896174080695098</c:v>
                </c:pt>
                <c:pt idx="7">
                  <c:v>3.0044155942575159</c:v>
                </c:pt>
                <c:pt idx="8">
                  <c:v>2.9191500657577163</c:v>
                </c:pt>
                <c:pt idx="9">
                  <c:v>2.8338117204718536</c:v>
                </c:pt>
                <c:pt idx="10">
                  <c:v>2.7483914563016691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9C95-4996-8772-BE09E6EA23E4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2.5508134930574209</c:v>
                </c:pt>
                <c:pt idx="1">
                  <c:v>2.6857340054747252</c:v>
                </c:pt>
                <c:pt idx="2">
                  <c:v>2.8206546599947555</c:v>
                </c:pt>
                <c:pt idx="3">
                  <c:v>2.9555753912438525</c:v>
                </c:pt>
                <c:pt idx="4">
                  <c:v>3.0904961338483559</c:v>
                </c:pt>
                <c:pt idx="5">
                  <c:v>3.2254168224346063</c:v>
                </c:pt>
                <c:pt idx="6">
                  <c:v>3.3603373916289443</c:v>
                </c:pt>
                <c:pt idx="7">
                  <c:v>3.4952577760577093</c:v>
                </c:pt>
                <c:pt idx="8">
                  <c:v>3.6301779103472422</c:v>
                </c:pt>
                <c:pt idx="9">
                  <c:v>3.765097729123883</c:v>
                </c:pt>
                <c:pt idx="10">
                  <c:v>3.9000171670139721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0.88190633857777279</c:v>
                </c:pt>
                <c:pt idx="1">
                  <c:v>0.86372178847950132</c:v>
                </c:pt>
                <c:pt idx="2">
                  <c:v>0.84436819824464926</c:v>
                </c:pt>
                <c:pt idx="3">
                  <c:v>0.82438337903404524</c:v>
                </c:pt>
                <c:pt idx="4">
                  <c:v>0.80430514200851844</c:v>
                </c:pt>
                <c:pt idx="5">
                  <c:v>0.78467129832889715</c:v>
                </c:pt>
                <c:pt idx="6">
                  <c:v>0.76601965915601122</c:v>
                </c:pt>
                <c:pt idx="7">
                  <c:v>0.7488880356506884</c:v>
                </c:pt>
                <c:pt idx="8">
                  <c:v>0.73381423897375742</c:v>
                </c:pt>
                <c:pt idx="9">
                  <c:v>0.72133608028604757</c:v>
                </c:pt>
                <c:pt idx="10">
                  <c:v>0.71199137074838781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9C95-4996-8772-BE09E6EA23E4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5.2717978921260542</c:v>
                </c:pt>
                <c:pt idx="1">
                  <c:v>5.6146139252056262</c:v>
                </c:pt>
                <c:pt idx="2">
                  <c:v>5.9574274133801373</c:v>
                </c:pt>
                <c:pt idx="3">
                  <c:v>6.3002386394168175</c:v>
                </c:pt>
                <c:pt idx="4">
                  <c:v>6.6430478860828952</c:v>
                </c:pt>
                <c:pt idx="5">
                  <c:v>6.9858554361455996</c:v>
                </c:pt>
                <c:pt idx="6">
                  <c:v>7.3286615723721598</c:v>
                </c:pt>
                <c:pt idx="7">
                  <c:v>7.6714665775298041</c:v>
                </c:pt>
                <c:pt idx="8">
                  <c:v>8.0142707343857609</c:v>
                </c:pt>
                <c:pt idx="9">
                  <c:v>8.3570743257072611</c:v>
                </c:pt>
                <c:pt idx="10">
                  <c:v>8.6998776342615312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0.91863725396015683</c:v>
                </c:pt>
                <c:pt idx="1">
                  <c:v>1.0935551463674138</c:v>
                </c:pt>
                <c:pt idx="2">
                  <c:v>1.3216715479418923</c:v>
                </c:pt>
                <c:pt idx="3">
                  <c:v>1.5970755132205698</c:v>
                </c:pt>
                <c:pt idx="4">
                  <c:v>1.9138560967404201</c:v>
                </c:pt>
                <c:pt idx="5">
                  <c:v>2.2661023530384181</c:v>
                </c:pt>
                <c:pt idx="6">
                  <c:v>2.6479033366515399</c:v>
                </c:pt>
                <c:pt idx="7">
                  <c:v>3.0533481021167619</c:v>
                </c:pt>
                <c:pt idx="8">
                  <c:v>3.4765257039710544</c:v>
                </c:pt>
                <c:pt idx="9">
                  <c:v>3.9115251967513966</c:v>
                </c:pt>
                <c:pt idx="10">
                  <c:v>4.3524356349947695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9C95-4996-8772-BE09E6EA23E4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3.3533234485878256</c:v>
                </c:pt>
                <c:pt idx="1">
                  <c:v>3.403161302749965</c:v>
                </c:pt>
                <c:pt idx="2">
                  <c:v>3.4544979378399585</c:v>
                </c:pt>
                <c:pt idx="3">
                  <c:v>3.5071704209968844</c:v>
                </c:pt>
                <c:pt idx="4">
                  <c:v>3.5610158193598194</c:v>
                </c:pt>
                <c:pt idx="5">
                  <c:v>3.6158712000678421</c:v>
                </c:pt>
                <c:pt idx="6">
                  <c:v>3.671573630260029</c:v>
                </c:pt>
                <c:pt idx="7">
                  <c:v>3.7279601770754582</c:v>
                </c:pt>
                <c:pt idx="8">
                  <c:v>3.784867907653207</c:v>
                </c:pt>
                <c:pt idx="9">
                  <c:v>3.8421338891323535</c:v>
                </c:pt>
                <c:pt idx="10">
                  <c:v>3.8995951886519746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2.726150952096086</c:v>
                </c:pt>
                <c:pt idx="1">
                  <c:v>2.2430477473835069</c:v>
                </c:pt>
                <c:pt idx="2">
                  <c:v>1.7601041709859557</c:v>
                </c:pt>
                <c:pt idx="3">
                  <c:v>1.2773028696681672</c:v>
                </c:pt>
                <c:pt idx="4">
                  <c:v>0.79462649019487674</c:v>
                </c:pt>
                <c:pt idx="5">
                  <c:v>0.31205767933081924</c:v>
                </c:pt>
                <c:pt idx="6">
                  <c:v>-0.17042091615927032</c:v>
                </c:pt>
                <c:pt idx="7">
                  <c:v>-0.65282664951065683</c:v>
                </c:pt>
                <c:pt idx="8">
                  <c:v>-1.1351768739586054</c:v>
                </c:pt>
                <c:pt idx="9">
                  <c:v>-1.617488942738381</c:v>
                </c:pt>
                <c:pt idx="10">
                  <c:v>-2.0997802090852487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9C95-4996-8772-BE09E6EA23E4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4.3735740204701354</c:v>
                </c:pt>
                <c:pt idx="1">
                  <c:v>4.321107894365718</c:v>
                </c:pt>
                <c:pt idx="2">
                  <c:v>4.2702559865856093</c:v>
                </c:pt>
                <c:pt idx="3">
                  <c:v>4.2208353188350776</c:v>
                </c:pt>
                <c:pt idx="4">
                  <c:v>4.1726629128193888</c:v>
                </c:pt>
                <c:pt idx="5">
                  <c:v>4.1255557902438129</c:v>
                </c:pt>
                <c:pt idx="6">
                  <c:v>4.0793309728136151</c:v>
                </c:pt>
                <c:pt idx="7">
                  <c:v>4.0338054822340643</c:v>
                </c:pt>
                <c:pt idx="8">
                  <c:v>3.9887963402104289</c:v>
                </c:pt>
                <c:pt idx="9">
                  <c:v>3.9441205684479756</c:v>
                </c:pt>
                <c:pt idx="10">
                  <c:v>3.899595188651972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2.7483914563016709</c:v>
                </c:pt>
                <c:pt idx="1">
                  <c:v>2.2641036267493284</c:v>
                </c:pt>
                <c:pt idx="2">
                  <c:v>1.779647205147207</c:v>
                </c:pt>
                <c:pt idx="3">
                  <c:v>1.2950413020984444</c:v>
                </c:pt>
                <c:pt idx="4">
                  <c:v>0.81030502820617867</c:v>
                </c:pt>
                <c:pt idx="5">
                  <c:v>0.32545749407354807</c:v>
                </c:pt>
                <c:pt idx="6">
                  <c:v>-0.15948218969630951</c:v>
                </c:pt>
                <c:pt idx="7">
                  <c:v>-0.64449491250025603</c:v>
                </c:pt>
                <c:pt idx="8">
                  <c:v>-1.1295615637351533</c:v>
                </c:pt>
                <c:pt idx="9">
                  <c:v>-1.6146630327978635</c:v>
                </c:pt>
                <c:pt idx="10">
                  <c:v>-2.0997802090852487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9C95-4996-8772-BE09E6EA23E4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3.3533234485878256</c:v>
                </c:pt>
                <c:pt idx="1">
                  <c:v>3.2700084885170302</c:v>
                </c:pt>
                <c:pt idx="2">
                  <c:v>3.188554268910925</c:v>
                </c:pt>
                <c:pt idx="3">
                  <c:v>3.1085183424717302</c:v>
                </c:pt>
                <c:pt idx="4">
                  <c:v>3.0294582619016666</c:v>
                </c:pt>
                <c:pt idx="5">
                  <c:v>2.9509315799029561</c:v>
                </c:pt>
                <c:pt idx="6">
                  <c:v>2.8724958491778185</c:v>
                </c:pt>
                <c:pt idx="7">
                  <c:v>2.7937086224284755</c:v>
                </c:pt>
                <c:pt idx="8">
                  <c:v>2.7141274523571473</c:v>
                </c:pt>
                <c:pt idx="9">
                  <c:v>2.6333098916660549</c:v>
                </c:pt>
                <c:pt idx="10">
                  <c:v>2.5508134930574196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2.726150952096086</c:v>
                </c:pt>
                <c:pt idx="1">
                  <c:v>2.5431246354181956</c:v>
                </c:pt>
                <c:pt idx="2">
                  <c:v>2.3592492278467203</c:v>
                </c:pt>
                <c:pt idx="3">
                  <c:v>2.1747266264105929</c:v>
                </c:pt>
                <c:pt idx="4">
                  <c:v>1.9897587281387459</c:v>
                </c:pt>
                <c:pt idx="5">
                  <c:v>1.8045474300601116</c:v>
                </c:pt>
                <c:pt idx="6">
                  <c:v>1.619294629203623</c:v>
                </c:pt>
                <c:pt idx="7">
                  <c:v>1.4342022225982123</c:v>
                </c:pt>
                <c:pt idx="8">
                  <c:v>1.2494721072728121</c:v>
                </c:pt>
                <c:pt idx="9">
                  <c:v>1.0653061802563546</c:v>
                </c:pt>
                <c:pt idx="10">
                  <c:v>0.88190633857777267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9C95-4996-8772-BE09E6EA23E4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4.3735740204701354</c:v>
                </c:pt>
                <c:pt idx="1">
                  <c:v>4.4602151932750109</c:v>
                </c:pt>
                <c:pt idx="2">
                  <c:v>4.5487689505669096</c:v>
                </c:pt>
                <c:pt idx="3">
                  <c:v>4.6387831743599239</c:v>
                </c:pt>
                <c:pt idx="4">
                  <c:v>4.7298057466681467</c:v>
                </c:pt>
                <c:pt idx="5">
                  <c:v>4.8213845495056704</c:v>
                </c:pt>
                <c:pt idx="6">
                  <c:v>4.9130674648865886</c:v>
                </c:pt>
                <c:pt idx="7">
                  <c:v>5.0044023748249931</c:v>
                </c:pt>
                <c:pt idx="8">
                  <c:v>5.0949371613349763</c:v>
                </c:pt>
                <c:pt idx="9">
                  <c:v>5.1842197064306319</c:v>
                </c:pt>
                <c:pt idx="10">
                  <c:v>5.2717978921260524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2.7483914563016709</c:v>
                </c:pt>
                <c:pt idx="1">
                  <c:v>2.5639232667930711</c:v>
                </c:pt>
                <c:pt idx="2">
                  <c:v>2.3803525481975516</c:v>
                </c:pt>
                <c:pt idx="3">
                  <c:v>2.1974671463622437</c:v>
                </c:pt>
                <c:pt idx="4">
                  <c:v>2.0150549071342807</c:v>
                </c:pt>
                <c:pt idx="5">
                  <c:v>1.8329036763607947</c:v>
                </c:pt>
                <c:pt idx="6">
                  <c:v>1.6508012998889181</c:v>
                </c:pt>
                <c:pt idx="7">
                  <c:v>1.4685356235657836</c:v>
                </c:pt>
                <c:pt idx="8">
                  <c:v>1.2858944932385235</c:v>
                </c:pt>
                <c:pt idx="9">
                  <c:v>1.1026657547542704</c:v>
                </c:pt>
                <c:pt idx="10">
                  <c:v>0.9186372539601565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9C95-4996-8772-BE09E6EA23E4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-6.45</c:v>
                </c:pt>
                <c:pt idx="1">
                  <c:v>-6.3900000000000006</c:v>
                </c:pt>
                <c:pt idx="2">
                  <c:v>-6.33</c:v>
                </c:pt>
                <c:pt idx="3">
                  <c:v>-6.27</c:v>
                </c:pt>
                <c:pt idx="4">
                  <c:v>-6.2099999999999991</c:v>
                </c:pt>
                <c:pt idx="5">
                  <c:v>-6.1499999999999986</c:v>
                </c:pt>
                <c:pt idx="6">
                  <c:v>-6.0899999999999981</c:v>
                </c:pt>
                <c:pt idx="7">
                  <c:v>-6.0299999999999976</c:v>
                </c:pt>
                <c:pt idx="8">
                  <c:v>-5.9699999999999971</c:v>
                </c:pt>
                <c:pt idx="9">
                  <c:v>-5.9099999999999966</c:v>
                </c:pt>
                <c:pt idx="10">
                  <c:v>-5.8499999999999961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9C95-4996-8772-BE09E6EA23E4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-5.85</c:v>
                </c:pt>
                <c:pt idx="1">
                  <c:v>-5.6999999999999993</c:v>
                </c:pt>
                <c:pt idx="2">
                  <c:v>-5.5499999999999989</c:v>
                </c:pt>
                <c:pt idx="3">
                  <c:v>-5.3999999999999986</c:v>
                </c:pt>
                <c:pt idx="4">
                  <c:v>-5.2499999999999982</c:v>
                </c:pt>
                <c:pt idx="5">
                  <c:v>-5.0999999999999979</c:v>
                </c:pt>
                <c:pt idx="6">
                  <c:v>-4.9499999999999975</c:v>
                </c:pt>
                <c:pt idx="7">
                  <c:v>-4.7999999999999972</c:v>
                </c:pt>
                <c:pt idx="8">
                  <c:v>-4.6499999999999968</c:v>
                </c:pt>
                <c:pt idx="9">
                  <c:v>-4.4999999999999964</c:v>
                </c:pt>
                <c:pt idx="10">
                  <c:v>-4.3499999999999961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9C95-4996-8772-BE09E6EA23E4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-4.3499999999999996</c:v>
                </c:pt>
                <c:pt idx="1">
                  <c:v>-4.29</c:v>
                </c:pt>
                <c:pt idx="2">
                  <c:v>-4.2300000000000004</c:v>
                </c:pt>
                <c:pt idx="3">
                  <c:v>-4.1700000000000008</c:v>
                </c:pt>
                <c:pt idx="4">
                  <c:v>-4.1100000000000012</c:v>
                </c:pt>
                <c:pt idx="5">
                  <c:v>-4.0500000000000016</c:v>
                </c:pt>
                <c:pt idx="6">
                  <c:v>-3.9900000000000015</c:v>
                </c:pt>
                <c:pt idx="7">
                  <c:v>-3.9300000000000015</c:v>
                </c:pt>
                <c:pt idx="8">
                  <c:v>-3.8700000000000014</c:v>
                </c:pt>
                <c:pt idx="9">
                  <c:v>-3.8100000000000014</c:v>
                </c:pt>
                <c:pt idx="10">
                  <c:v>-3.7500000000000013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9C95-4996-8772-BE09E6EA23E4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-5.55</c:v>
                </c:pt>
                <c:pt idx="1">
                  <c:v>-5.58</c:v>
                </c:pt>
                <c:pt idx="2">
                  <c:v>-5.61</c:v>
                </c:pt>
                <c:pt idx="3">
                  <c:v>-5.6400000000000006</c:v>
                </c:pt>
                <c:pt idx="4">
                  <c:v>-5.6700000000000008</c:v>
                </c:pt>
                <c:pt idx="5">
                  <c:v>-5.7000000000000011</c:v>
                </c:pt>
                <c:pt idx="6">
                  <c:v>-5.7300000000000013</c:v>
                </c:pt>
                <c:pt idx="7">
                  <c:v>-5.7600000000000016</c:v>
                </c:pt>
                <c:pt idx="8">
                  <c:v>-5.7900000000000018</c:v>
                </c:pt>
                <c:pt idx="9">
                  <c:v>-5.8200000000000021</c:v>
                </c:pt>
                <c:pt idx="10">
                  <c:v>-5.8500000000000023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9C95-4996-8772-BE09E6EA23E4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-4.6500000000000004</c:v>
                </c:pt>
                <c:pt idx="1">
                  <c:v>-4.62</c:v>
                </c:pt>
                <c:pt idx="2">
                  <c:v>-4.59</c:v>
                </c:pt>
                <c:pt idx="3">
                  <c:v>-4.5599999999999996</c:v>
                </c:pt>
                <c:pt idx="4">
                  <c:v>-4.5299999999999994</c:v>
                </c:pt>
                <c:pt idx="5">
                  <c:v>-4.4999999999999991</c:v>
                </c:pt>
                <c:pt idx="6">
                  <c:v>-4.4699999999999989</c:v>
                </c:pt>
                <c:pt idx="7">
                  <c:v>-4.4399999999999986</c:v>
                </c:pt>
                <c:pt idx="8">
                  <c:v>-4.4099999999999984</c:v>
                </c:pt>
                <c:pt idx="9">
                  <c:v>-4.3799999999999981</c:v>
                </c:pt>
                <c:pt idx="10">
                  <c:v>-4.3499999999999979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9C95-4996-8772-BE09E6EA23E4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8.6998776342615347</c:v>
                </c:pt>
                <c:pt idx="1">
                  <c:v>9.0448776342615353</c:v>
                </c:pt>
                <c:pt idx="2">
                  <c:v>9.389877634261536</c:v>
                </c:pt>
                <c:pt idx="3">
                  <c:v>9.7348776342615366</c:v>
                </c:pt>
                <c:pt idx="4">
                  <c:v>10.079877634261537</c:v>
                </c:pt>
                <c:pt idx="5">
                  <c:v>10.424877634261538</c:v>
                </c:pt>
                <c:pt idx="6">
                  <c:v>10.769877634261539</c:v>
                </c:pt>
                <c:pt idx="7">
                  <c:v>11.114877634261539</c:v>
                </c:pt>
                <c:pt idx="8">
                  <c:v>11.45987763426154</c:v>
                </c:pt>
                <c:pt idx="9">
                  <c:v>11.80487763426154</c:v>
                </c:pt>
                <c:pt idx="10">
                  <c:v>12.149877634261541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4.3524356349947695</c:v>
                </c:pt>
                <c:pt idx="1">
                  <c:v>4.2557629172523805</c:v>
                </c:pt>
                <c:pt idx="2">
                  <c:v>3.9933655405230497</c:v>
                </c:pt>
                <c:pt idx="3">
                  <c:v>3.6066746695534939</c:v>
                </c:pt>
                <c:pt idx="4">
                  <c:v>3.1371214690904723</c:v>
                </c:pt>
                <c:pt idx="5">
                  <c:v>2.6261371038807235</c:v>
                </c:pt>
                <c:pt idx="6">
                  <c:v>2.1151527386709641</c:v>
                </c:pt>
                <c:pt idx="7">
                  <c:v>1.6455995382079396</c:v>
                </c:pt>
                <c:pt idx="8">
                  <c:v>1.2589086672383933</c:v>
                </c:pt>
                <c:pt idx="9">
                  <c:v>0.99651129050905785</c:v>
                </c:pt>
                <c:pt idx="10">
                  <c:v>0.89983857276667101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9C95-4996-8772-BE09E6EA23E4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3.3533234485878256</c:v>
                </c:pt>
                <c:pt idx="1">
                  <c:v>3.4553613335728781</c:v>
                </c:pt>
                <c:pt idx="2">
                  <c:v>3.5573904585520486</c:v>
                </c:pt>
                <c:pt idx="3">
                  <c:v>3.6594130395444751</c:v>
                </c:pt>
                <c:pt idx="4">
                  <c:v>3.7614312925692936</c:v>
                </c:pt>
                <c:pt idx="5">
                  <c:v>3.8634474336456419</c:v>
                </c:pt>
                <c:pt idx="6">
                  <c:v>3.9654636787926578</c:v>
                </c:pt>
                <c:pt idx="7">
                  <c:v>4.0674822440294776</c:v>
                </c:pt>
                <c:pt idx="8">
                  <c:v>4.1695053453752386</c:v>
                </c:pt>
                <c:pt idx="9">
                  <c:v>4.2715351988490777</c:v>
                </c:pt>
                <c:pt idx="10">
                  <c:v>4.3735740204701337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2.726150952096086</c:v>
                </c:pt>
                <c:pt idx="1">
                  <c:v>2.7275303406058069</c:v>
                </c:pt>
                <c:pt idx="2">
                  <c:v>2.7294865423758199</c:v>
                </c:pt>
                <c:pt idx="3">
                  <c:v>2.7318736409260844</c:v>
                </c:pt>
                <c:pt idx="4">
                  <c:v>2.7345457197765617</c:v>
                </c:pt>
                <c:pt idx="5">
                  <c:v>2.737356862447212</c:v>
                </c:pt>
                <c:pt idx="6">
                  <c:v>2.7401611524579956</c:v>
                </c:pt>
                <c:pt idx="7">
                  <c:v>2.7428126733288729</c:v>
                </c:pt>
                <c:pt idx="8">
                  <c:v>2.7451655085798046</c:v>
                </c:pt>
                <c:pt idx="9">
                  <c:v>2.7470737417307514</c:v>
                </c:pt>
                <c:pt idx="10">
                  <c:v>2.7483914563016727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9C95-4996-8772-BE09E6EA23E4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12.149877634261536</c:v>
                </c:pt>
                <c:pt idx="1">
                  <c:v>12.494959335780639</c:v>
                </c:pt>
                <c:pt idx="2">
                  <c:v>12.840041037266962</c:v>
                </c:pt>
                <c:pt idx="3">
                  <c:v>13.185122738687735</c:v>
                </c:pt>
                <c:pt idx="4">
                  <c:v>13.530204440010175</c:v>
                </c:pt>
                <c:pt idx="5">
                  <c:v>13.875286141201508</c:v>
                </c:pt>
                <c:pt idx="6">
                  <c:v>14.220367842228958</c:v>
                </c:pt>
                <c:pt idx="7">
                  <c:v>14.565449543059746</c:v>
                </c:pt>
                <c:pt idx="8">
                  <c:v>14.910531243661096</c:v>
                </c:pt>
                <c:pt idx="9">
                  <c:v>15.25561294400023</c:v>
                </c:pt>
                <c:pt idx="10">
                  <c:v>15.600694644044372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0.89983857276667101</c:v>
                </c:pt>
                <c:pt idx="1">
                  <c:v>0.89985413706054029</c:v>
                </c:pt>
                <c:pt idx="2">
                  <c:v>0.89986901167774602</c:v>
                </c:pt>
                <c:pt idx="3">
                  <c:v>0.89988250694162475</c:v>
                </c:pt>
                <c:pt idx="4">
                  <c:v>0.89989393317551303</c:v>
                </c:pt>
                <c:pt idx="5">
                  <c:v>0.8999026007027473</c:v>
                </c:pt>
                <c:pt idx="6">
                  <c:v>0.89990781984666413</c:v>
                </c:pt>
                <c:pt idx="7">
                  <c:v>0.89990890093060005</c:v>
                </c:pt>
                <c:pt idx="8">
                  <c:v>0.89990515427789153</c:v>
                </c:pt>
                <c:pt idx="9">
                  <c:v>0.8998958902118751</c:v>
                </c:pt>
                <c:pt idx="10">
                  <c:v>0.89988041905588723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9C95-4996-8772-BE09E6EA23E4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12.149877634261536</c:v>
                </c:pt>
                <c:pt idx="1">
                  <c:v>12.629882247217983</c:v>
                </c:pt>
                <c:pt idx="2">
                  <c:v>13.109891992066036</c:v>
                </c:pt>
                <c:pt idx="3">
                  <c:v>13.58990558583279</c:v>
                </c:pt>
                <c:pt idx="4">
                  <c:v>14.069921745545349</c:v>
                </c:pt>
                <c:pt idx="5">
                  <c:v>14.549939188230807</c:v>
                </c:pt>
                <c:pt idx="6">
                  <c:v>15.029956630916265</c:v>
                </c:pt>
                <c:pt idx="7">
                  <c:v>15.509972790628824</c:v>
                </c:pt>
                <c:pt idx="8">
                  <c:v>15.989986384395579</c:v>
                </c:pt>
                <c:pt idx="9">
                  <c:v>16.469996129243629</c:v>
                </c:pt>
                <c:pt idx="10">
                  <c:v>16.950000742200078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0.89983857276667101</c:v>
                </c:pt>
                <c:pt idx="1">
                  <c:v>0.59984241293773233</c:v>
                </c:pt>
                <c:pt idx="2">
                  <c:v>0.29985446413707167</c:v>
                </c:pt>
                <c:pt idx="3">
                  <c:v>-1.2732639238040663E-4</c:v>
                </c:pt>
                <c:pt idx="4">
                  <c:v>-0.30010501140769341</c:v>
                </c:pt>
                <c:pt idx="5">
                  <c:v>-0.60008064366593694</c:v>
                </c:pt>
                <c:pt idx="6">
                  <c:v>-0.90005627592418047</c:v>
                </c:pt>
                <c:pt idx="7">
                  <c:v>-1.2000339609394934</c:v>
                </c:pt>
                <c:pt idx="8">
                  <c:v>-1.5000157514689454</c:v>
                </c:pt>
                <c:pt idx="9">
                  <c:v>-1.8000037002696061</c:v>
                </c:pt>
                <c:pt idx="10">
                  <c:v>-2.0999998600985452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9C95-4996-8772-BE09E6EA23E4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21.749877634170446</c:v>
                </c:pt>
                <c:pt idx="1">
                  <c:v>21.269882262882859</c:v>
                </c:pt>
                <c:pt idx="2">
                  <c:v>20.789892012988975</c:v>
                </c:pt>
                <c:pt idx="3">
                  <c:v>20.309905604140365</c:v>
                </c:pt>
                <c:pt idx="4">
                  <c:v>19.829921755988604</c:v>
                </c:pt>
                <c:pt idx="5">
                  <c:v>19.349939188185267</c:v>
                </c:pt>
                <c:pt idx="6">
                  <c:v>18.869956620381931</c:v>
                </c:pt>
                <c:pt idx="7">
                  <c:v>18.38997277223017</c:v>
                </c:pt>
                <c:pt idx="8">
                  <c:v>17.909986363381559</c:v>
                </c:pt>
                <c:pt idx="9">
                  <c:v>17.429996113487672</c:v>
                </c:pt>
                <c:pt idx="10">
                  <c:v>16.950000742200086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0.90016122028250023</c:v>
                </c:pt>
                <c:pt idx="1">
                  <c:v>0.6001574035867151</c:v>
                </c:pt>
                <c:pt idx="2">
                  <c:v>0.30014539266271706</c:v>
                </c:pt>
                <c:pt idx="3">
                  <c:v>1.2723606755933494E-4</c:v>
                </c:pt>
                <c:pt idx="4">
                  <c:v>-0.2998950176417049</c:v>
                </c:pt>
                <c:pt idx="5">
                  <c:v>-0.59991931990802227</c:v>
                </c:pt>
                <c:pt idx="6">
                  <c:v>-0.89994362217433976</c:v>
                </c:pt>
                <c:pt idx="7">
                  <c:v>-1.1999658758836038</c:v>
                </c:pt>
                <c:pt idx="8">
                  <c:v>-1.4999840324787617</c:v>
                </c:pt>
                <c:pt idx="9">
                  <c:v>-1.7999960434027598</c:v>
                </c:pt>
                <c:pt idx="10">
                  <c:v>-2.0999998600985452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9C95-4996-8772-BE09E6EA23E4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16.9498786494683</c:v>
                </c:pt>
                <c:pt idx="1">
                  <c:v>17.087054148712333</c:v>
                </c:pt>
                <c:pt idx="2">
                  <c:v>17.224229647968972</c:v>
                </c:pt>
                <c:pt idx="3">
                  <c:v>17.361405147251396</c:v>
                </c:pt>
                <c:pt idx="4">
                  <c:v>17.498580646572783</c:v>
                </c:pt>
                <c:pt idx="5">
                  <c:v>17.635756145946321</c:v>
                </c:pt>
                <c:pt idx="6">
                  <c:v>17.772931645385189</c:v>
                </c:pt>
                <c:pt idx="7">
                  <c:v>17.910107144902565</c:v>
                </c:pt>
                <c:pt idx="8">
                  <c:v>18.047282644511636</c:v>
                </c:pt>
                <c:pt idx="9">
                  <c:v>18.18445814422558</c:v>
                </c:pt>
                <c:pt idx="10">
                  <c:v>18.321633644057584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0.89999979789398332</c:v>
                </c:pt>
                <c:pt idx="1">
                  <c:v>0.89997707472302801</c:v>
                </c:pt>
                <c:pt idx="2">
                  <c:v>0.8999544569651311</c:v>
                </c:pt>
                <c:pt idx="3">
                  <c:v>0.89993205487722638</c:v>
                </c:pt>
                <c:pt idx="4">
                  <c:v>0.89990997871624778</c:v>
                </c:pt>
                <c:pt idx="5">
                  <c:v>0.89988833873912921</c:v>
                </c:pt>
                <c:pt idx="6">
                  <c:v>0.89986724520280448</c:v>
                </c:pt>
                <c:pt idx="7">
                  <c:v>0.8998468083642075</c:v>
                </c:pt>
                <c:pt idx="8">
                  <c:v>0.89982713848027218</c:v>
                </c:pt>
                <c:pt idx="9">
                  <c:v>0.89980834580793223</c:v>
                </c:pt>
                <c:pt idx="10">
                  <c:v>0.89979054060412178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9C95-4996-8772-BE09E6EA23E4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16.350000000000001</c:v>
                </c:pt>
                <c:pt idx="1">
                  <c:v>16.358562438822148</c:v>
                </c:pt>
                <c:pt idx="2">
                  <c:v>16.367124908153912</c:v>
                </c:pt>
                <c:pt idx="3">
                  <c:v>16.375687438504915</c:v>
                </c:pt>
                <c:pt idx="4">
                  <c:v>16.38425006038478</c:v>
                </c:pt>
                <c:pt idx="5">
                  <c:v>16.392812804303126</c:v>
                </c:pt>
                <c:pt idx="6">
                  <c:v>16.40137570076957</c:v>
                </c:pt>
                <c:pt idx="7">
                  <c:v>16.409938780293732</c:v>
                </c:pt>
                <c:pt idx="8">
                  <c:v>16.418502073385234</c:v>
                </c:pt>
                <c:pt idx="9">
                  <c:v>16.427065610553694</c:v>
                </c:pt>
                <c:pt idx="10">
                  <c:v>16.435629422308736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3.6</c:v>
                </c:pt>
                <c:pt idx="1">
                  <c:v>3.5129328480501969</c:v>
                </c:pt>
                <c:pt idx="2">
                  <c:v>3.4258656991017049</c:v>
                </c:pt>
                <c:pt idx="3">
                  <c:v>3.3387985561558366</c:v>
                </c:pt>
                <c:pt idx="4">
                  <c:v>3.2517314222139024</c:v>
                </c:pt>
                <c:pt idx="5">
                  <c:v>3.1646643002772148</c:v>
                </c:pt>
                <c:pt idx="6">
                  <c:v>3.0775971933470854</c:v>
                </c:pt>
                <c:pt idx="7">
                  <c:v>2.9905301044248249</c:v>
                </c:pt>
                <c:pt idx="8">
                  <c:v>2.9034630365117455</c:v>
                </c:pt>
                <c:pt idx="9">
                  <c:v>2.8163959926091588</c:v>
                </c:pt>
                <c:pt idx="10">
                  <c:v>2.7293289757183761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9C95-4996-8772-BE09E6EA23E4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17.549999</c:v>
                </c:pt>
                <c:pt idx="1">
                  <c:v>17.540596824617861</c:v>
                </c:pt>
                <c:pt idx="2">
                  <c:v>17.531194680211048</c:v>
                </c:pt>
                <c:pt idx="3">
                  <c:v>17.521792597754892</c:v>
                </c:pt>
                <c:pt idx="4">
                  <c:v>17.51239060822472</c:v>
                </c:pt>
                <c:pt idx="5">
                  <c:v>17.502988742595861</c:v>
                </c:pt>
                <c:pt idx="6">
                  <c:v>17.493587031843642</c:v>
                </c:pt>
                <c:pt idx="7">
                  <c:v>17.484185506943394</c:v>
                </c:pt>
                <c:pt idx="8">
                  <c:v>17.474784198870442</c:v>
                </c:pt>
                <c:pt idx="9">
                  <c:v>17.465383138600117</c:v>
                </c:pt>
                <c:pt idx="10">
                  <c:v>17.455982357107743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3.6</c:v>
                </c:pt>
                <c:pt idx="1">
                  <c:v>3.5144829830721034</c:v>
                </c:pt>
                <c:pt idx="2">
                  <c:v>3.4289659627395652</c:v>
                </c:pt>
                <c:pt idx="3">
                  <c:v>3.343448935597745</c:v>
                </c:pt>
                <c:pt idx="4">
                  <c:v>3.2579318982420027</c:v>
                </c:pt>
                <c:pt idx="5">
                  <c:v>3.1724148472676967</c:v>
                </c:pt>
                <c:pt idx="6">
                  <c:v>3.0868977792701862</c:v>
                </c:pt>
                <c:pt idx="7">
                  <c:v>3.0013806908448308</c:v>
                </c:pt>
                <c:pt idx="8">
                  <c:v>2.9158635785869893</c:v>
                </c:pt>
                <c:pt idx="9">
                  <c:v>2.8303464390920205</c:v>
                </c:pt>
                <c:pt idx="10">
                  <c:v>2.7448292689552845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9C95-4996-8772-BE09E6EA23E4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15.600694644044374</c:v>
                </c:pt>
                <c:pt idx="1">
                  <c:v>15.735613044220601</c:v>
                </c:pt>
                <c:pt idx="2">
                  <c:v>15.870531444512221</c:v>
                </c:pt>
                <c:pt idx="3">
                  <c:v>16.005449844906472</c:v>
                </c:pt>
                <c:pt idx="4">
                  <c:v>16.140368245390597</c:v>
                </c:pt>
                <c:pt idx="5">
                  <c:v>16.275286645951844</c:v>
                </c:pt>
                <c:pt idx="6">
                  <c:v>16.410205046577449</c:v>
                </c:pt>
                <c:pt idx="7">
                  <c:v>16.545123447254653</c:v>
                </c:pt>
                <c:pt idx="8">
                  <c:v>16.680041847970703</c:v>
                </c:pt>
                <c:pt idx="9">
                  <c:v>16.814960248712836</c:v>
                </c:pt>
                <c:pt idx="10">
                  <c:v>16.9498786494683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0.89988041905588745</c:v>
                </c:pt>
                <c:pt idx="1">
                  <c:v>0.89989536928672087</c:v>
                </c:pt>
                <c:pt idx="2">
                  <c:v>0.89990937022303463</c:v>
                </c:pt>
                <c:pt idx="3">
                  <c:v>0.89992252682135487</c:v>
                </c:pt>
                <c:pt idx="4">
                  <c:v>0.89993494403820795</c:v>
                </c:pt>
                <c:pt idx="5">
                  <c:v>0.89994672683012011</c:v>
                </c:pt>
                <c:pt idx="6">
                  <c:v>0.89995798015361739</c:v>
                </c:pt>
                <c:pt idx="7">
                  <c:v>0.89996880896522624</c:v>
                </c:pt>
                <c:pt idx="8">
                  <c:v>0.8999793182214727</c:v>
                </c:pt>
                <c:pt idx="9">
                  <c:v>0.89998961287888302</c:v>
                </c:pt>
                <c:pt idx="10">
                  <c:v>0.89999979789398354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9C95-4996-8772-BE09E6EA23E4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18.32163364405757</c:v>
                </c:pt>
                <c:pt idx="1">
                  <c:v>18.66445804400362</c:v>
                </c:pt>
                <c:pt idx="2">
                  <c:v>19.007282443654486</c:v>
                </c:pt>
                <c:pt idx="3">
                  <c:v>19.350106843042958</c:v>
                </c:pt>
                <c:pt idx="4">
                  <c:v>19.692931242201841</c:v>
                </c:pt>
                <c:pt idx="5">
                  <c:v>20.035755641163931</c:v>
                </c:pt>
                <c:pt idx="6">
                  <c:v>20.378580039962031</c:v>
                </c:pt>
                <c:pt idx="7">
                  <c:v>20.721404438628934</c:v>
                </c:pt>
                <c:pt idx="8">
                  <c:v>21.06422883719744</c:v>
                </c:pt>
                <c:pt idx="9">
                  <c:v>21.407053235700349</c:v>
                </c:pt>
                <c:pt idx="10">
                  <c:v>21.74987763417046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0.899790540604122</c:v>
                </c:pt>
                <c:pt idx="1">
                  <c:v>0.89980806837480787</c:v>
                </c:pt>
                <c:pt idx="2">
                  <c:v>0.89983176673406817</c:v>
                </c:pt>
                <c:pt idx="3">
                  <c:v>0.8998609500609499</c:v>
                </c:pt>
                <c:pt idx="4">
                  <c:v>0.89989493273450061</c:v>
                </c:pt>
                <c:pt idx="5">
                  <c:v>0.8999330291337676</c:v>
                </c:pt>
                <c:pt idx="6">
                  <c:v>0.89997455363779799</c:v>
                </c:pt>
                <c:pt idx="7">
                  <c:v>0.90001882062563909</c:v>
                </c:pt>
                <c:pt idx="8">
                  <c:v>0.90006514447633845</c:v>
                </c:pt>
                <c:pt idx="9">
                  <c:v>0.90011283956894306</c:v>
                </c:pt>
                <c:pt idx="10">
                  <c:v>0.90016122028250045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9C95-4996-8772-BE09E6EA23E4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16.435629422308725</c:v>
                </c:pt>
                <c:pt idx="1">
                  <c:v>16.487059879914984</c:v>
                </c:pt>
                <c:pt idx="2">
                  <c:v>16.538492442960816</c:v>
                </c:pt>
                <c:pt idx="3">
                  <c:v>16.589926878104958</c:v>
                </c:pt>
                <c:pt idx="4">
                  <c:v>16.641362952006137</c:v>
                </c:pt>
                <c:pt idx="5">
                  <c:v>16.692800431323089</c:v>
                </c:pt>
                <c:pt idx="6">
                  <c:v>16.744239082714543</c:v>
                </c:pt>
                <c:pt idx="7">
                  <c:v>16.795678672839237</c:v>
                </c:pt>
                <c:pt idx="8">
                  <c:v>16.8471189683559</c:v>
                </c:pt>
                <c:pt idx="9">
                  <c:v>16.898559735923268</c:v>
                </c:pt>
                <c:pt idx="10">
                  <c:v>16.950000742200068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2.7293289757183756</c:v>
                </c:pt>
                <c:pt idx="1">
                  <c:v>2.246395381277249</c:v>
                </c:pt>
                <c:pt idx="2">
                  <c:v>1.7634620110773158</c:v>
                </c:pt>
                <c:pt idx="3">
                  <c:v>1.2805288402664154</c:v>
                </c:pt>
                <c:pt idx="4">
                  <c:v>0.79759584399238603</c:v>
                </c:pt>
                <c:pt idx="5">
                  <c:v>0.31466299740306619</c:v>
                </c:pt>
                <c:pt idx="6">
                  <c:v>-0.16826972435370577</c:v>
                </c:pt>
                <c:pt idx="7">
                  <c:v>-0.6512023461300912</c:v>
                </c:pt>
                <c:pt idx="8">
                  <c:v>-1.134134892778252</c:v>
                </c:pt>
                <c:pt idx="9">
                  <c:v>-1.6170673891503493</c:v>
                </c:pt>
                <c:pt idx="10">
                  <c:v>-2.0999998600985452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9C95-4996-8772-BE09E6EA23E4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17.455982357107761</c:v>
                </c:pt>
                <c:pt idx="1">
                  <c:v>17.405377456130886</c:v>
                </c:pt>
                <c:pt idx="2">
                  <c:v>17.354774685687108</c:v>
                </c:pt>
                <c:pt idx="3">
                  <c:v>17.304173808450351</c:v>
                </c:pt>
                <c:pt idx="4">
                  <c:v>17.253574587094551</c:v>
                </c:pt>
                <c:pt idx="5">
                  <c:v>17.202976784293639</c:v>
                </c:pt>
                <c:pt idx="6">
                  <c:v>17.152380162721553</c:v>
                </c:pt>
                <c:pt idx="7">
                  <c:v>17.101784485052221</c:v>
                </c:pt>
                <c:pt idx="8">
                  <c:v>17.051189513959578</c:v>
                </c:pt>
                <c:pt idx="9">
                  <c:v>17.000595012117557</c:v>
                </c:pt>
                <c:pt idx="10">
                  <c:v>16.950000742200093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2.7448292689552862</c:v>
                </c:pt>
                <c:pt idx="1">
                  <c:v>2.2603470599333328</c:v>
                </c:pt>
                <c:pt idx="2">
                  <c:v>1.7758646283948682</c:v>
                </c:pt>
                <c:pt idx="3">
                  <c:v>1.2913819991266311</c:v>
                </c:pt>
                <c:pt idx="4">
                  <c:v>0.80689919691536083</c:v>
                </c:pt>
                <c:pt idx="5">
                  <c:v>0.32241624654779705</c:v>
                </c:pt>
                <c:pt idx="6">
                  <c:v>-0.16206682718932081</c:v>
                </c:pt>
                <c:pt idx="7">
                  <c:v>-0.6465499995092534</c:v>
                </c:pt>
                <c:pt idx="8">
                  <c:v>-1.1310332456252612</c:v>
                </c:pt>
                <c:pt idx="9">
                  <c:v>-1.6155165407506049</c:v>
                </c:pt>
                <c:pt idx="10">
                  <c:v>-2.0999998600985452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9C95-4996-8772-BE09E6EA23E4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16.435629422308725</c:v>
                </c:pt>
                <c:pt idx="1">
                  <c:v>16.352141501091985</c:v>
                </c:pt>
                <c:pt idx="2">
                  <c:v>16.268649438079809</c:v>
                </c:pt>
                <c:pt idx="3">
                  <c:v>16.185154323394677</c:v>
                </c:pt>
                <c:pt idx="4">
                  <c:v>16.101657247159068</c:v>
                </c:pt>
                <c:pt idx="5">
                  <c:v>16.018159299495469</c:v>
                </c:pt>
                <c:pt idx="6">
                  <c:v>15.934661570526355</c:v>
                </c:pt>
                <c:pt idx="7">
                  <c:v>15.851165150374207</c:v>
                </c:pt>
                <c:pt idx="8">
                  <c:v>15.767671129161508</c:v>
                </c:pt>
                <c:pt idx="9">
                  <c:v>15.684180597010737</c:v>
                </c:pt>
                <c:pt idx="10">
                  <c:v>15.600694644044372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2.7293289757183756</c:v>
                </c:pt>
                <c:pt idx="1">
                  <c:v>2.5463815844665461</c:v>
                </c:pt>
                <c:pt idx="2">
                  <c:v>2.3634360831939238</c:v>
                </c:pt>
                <c:pt idx="3">
                  <c:v>2.1804919744571039</c:v>
                </c:pt>
                <c:pt idx="4">
                  <c:v>1.9975487608126827</c:v>
                </c:pt>
                <c:pt idx="5">
                  <c:v>1.8146059448172556</c:v>
                </c:pt>
                <c:pt idx="6">
                  <c:v>1.6316630290274186</c:v>
                </c:pt>
                <c:pt idx="7">
                  <c:v>1.4487195159997674</c:v>
                </c:pt>
                <c:pt idx="8">
                  <c:v>1.265774908290898</c:v>
                </c:pt>
                <c:pt idx="9">
                  <c:v>1.082828708457406</c:v>
                </c:pt>
                <c:pt idx="10">
                  <c:v>0.89988041905588734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9C95-4996-8772-BE09E6EA23E4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17.455982357107761</c:v>
                </c:pt>
                <c:pt idx="1">
                  <c:v>17.542553006076147</c:v>
                </c:pt>
                <c:pt idx="2">
                  <c:v>17.629119529660731</c:v>
                </c:pt>
                <c:pt idx="3">
                  <c:v>17.715683014857653</c:v>
                </c:pt>
                <c:pt idx="4">
                  <c:v>17.802244548663058</c:v>
                </c:pt>
                <c:pt idx="5">
                  <c:v>17.888805218073085</c:v>
                </c:pt>
                <c:pt idx="6">
                  <c:v>17.975366110083879</c:v>
                </c:pt>
                <c:pt idx="7">
                  <c:v>18.061928311691581</c:v>
                </c:pt>
                <c:pt idx="8">
                  <c:v>18.148492909892333</c:v>
                </c:pt>
                <c:pt idx="9">
                  <c:v>18.235060991682282</c:v>
                </c:pt>
                <c:pt idx="10">
                  <c:v>18.321633644057567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2.7448292689552862</c:v>
                </c:pt>
                <c:pt idx="1">
                  <c:v>2.5603279864814574</c:v>
                </c:pt>
                <c:pt idx="2">
                  <c:v>2.375824768191463</c:v>
                </c:pt>
                <c:pt idx="3">
                  <c:v>2.1913201241529237</c:v>
                </c:pt>
                <c:pt idx="4">
                  <c:v>2.0068145644334612</c:v>
                </c:pt>
                <c:pt idx="5">
                  <c:v>1.822308599100698</c:v>
                </c:pt>
                <c:pt idx="6">
                  <c:v>1.6378027382222551</c:v>
                </c:pt>
                <c:pt idx="7">
                  <c:v>1.4532974918657542</c:v>
                </c:pt>
                <c:pt idx="8">
                  <c:v>1.2687933700988172</c:v>
                </c:pt>
                <c:pt idx="9">
                  <c:v>1.0842908829890658</c:v>
                </c:pt>
                <c:pt idx="10">
                  <c:v>0.89979054060412167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9C95-4996-8772-BE09E6EA23E4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16.435629422308725</c:v>
                </c:pt>
                <c:pt idx="1">
                  <c:v>16.53766473380459</c:v>
                </c:pt>
                <c:pt idx="2">
                  <c:v>16.639700033255313</c:v>
                </c:pt>
                <c:pt idx="3">
                  <c:v>16.74173532367649</c:v>
                </c:pt>
                <c:pt idx="4">
                  <c:v>16.843770608083727</c:v>
                </c:pt>
                <c:pt idx="5">
                  <c:v>16.945805889492611</c:v>
                </c:pt>
                <c:pt idx="6">
                  <c:v>17.047841170918748</c:v>
                </c:pt>
                <c:pt idx="7">
                  <c:v>17.149876455377733</c:v>
                </c:pt>
                <c:pt idx="8">
                  <c:v>17.251911745885167</c:v>
                </c:pt>
                <c:pt idx="9">
                  <c:v>17.353947045456646</c:v>
                </c:pt>
                <c:pt idx="10">
                  <c:v>17.455982357107768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2.7293289757183756</c:v>
                </c:pt>
                <c:pt idx="1">
                  <c:v>2.7308778187591707</c:v>
                </c:pt>
                <c:pt idx="2">
                  <c:v>2.7324274549270244</c:v>
                </c:pt>
                <c:pt idx="3">
                  <c:v>2.733977685656197</c:v>
                </c:pt>
                <c:pt idx="4">
                  <c:v>2.7355283123809508</c:v>
                </c:pt>
                <c:pt idx="5">
                  <c:v>2.737079136535546</c:v>
                </c:pt>
                <c:pt idx="6">
                  <c:v>2.738629959554244</c:v>
                </c:pt>
                <c:pt idx="7">
                  <c:v>2.7401805828713059</c:v>
                </c:pt>
                <c:pt idx="8">
                  <c:v>2.7417308079209932</c:v>
                </c:pt>
                <c:pt idx="9">
                  <c:v>2.7432804361375669</c:v>
                </c:pt>
                <c:pt idx="10">
                  <c:v>2.744829268955288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9C95-4996-8772-BE09E6EA23E4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9C95-4996-8772-BE09E6EA23E4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9C95-4996-8772-BE09E6EA23E4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9C95-4996-8772-BE09E6EA23E4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9C95-4996-8772-BE09E6EA23E4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9C95-4996-8772-BE09E6EA23E4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9C95-4996-8772-BE09E6EA23E4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9C95-4996-8772-BE09E6EA23E4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9C95-4996-8772-BE09E6EA23E4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-0.89999997615814209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0.95586188224648228</c:v>
                </c:pt>
                <c:pt idx="1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9C95-4996-8772-BE09E6EA23E4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8.6998774435266721</c:v>
                </c:pt>
                <c:pt idx="1">
                  <c:v>8.6998774435266721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4.3524356111529094</c:v>
                </c:pt>
                <c:pt idx="1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9C95-4996-8772-BE09E6EA23E4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3.899595284019405</c:v>
                </c:pt>
                <c:pt idx="1">
                  <c:v>3.899595284019405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-2.0997801137178165</c:v>
                </c:pt>
                <c:pt idx="1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9C95-4996-8772-BE09E6EA23E4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3.9000172623814056</c:v>
                </c:pt>
                <c:pt idx="1">
                  <c:v>3.9000172623814056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0.71199134690652988</c:v>
                </c:pt>
                <c:pt idx="1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9C95-4996-8772-BE09E6EA23E4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3.2999999523162842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9C95-4996-8772-BE09E6EA23E4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9C95-4996-8772-BE09E6EA23E4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2.5508135058442862</c:v>
                </c:pt>
                <c:pt idx="1">
                  <c:v>2.5508135058442862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0.8819063423581377</c:v>
                </c:pt>
                <c:pt idx="1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9C95-4996-8772-BE09E6EA23E4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5.2717980643062301</c:v>
                </c:pt>
                <c:pt idx="1">
                  <c:v>5.2717980643062301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0.91863725774052185</c:v>
                </c:pt>
                <c:pt idx="1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9C95-4996-8772-BE09E6EA23E4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3.3533233680977133</c:v>
                </c:pt>
                <c:pt idx="1">
                  <c:v>3.3533233680977133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2.7261509686366132</c:v>
                </c:pt>
                <c:pt idx="1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9C95-4996-8772-BE09E6EA23E4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4.3735740188221861</c:v>
                </c:pt>
                <c:pt idx="1">
                  <c:v>4.3735740188221861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2.7483914883909044</c:v>
                </c:pt>
                <c:pt idx="1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9C95-4996-8772-BE09E6EA23E4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-6.4499998092651367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9C95-4996-8772-BE09E6EA23E4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-5.8499999046325684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9C95-4996-8772-BE09E6EA23E4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9C95-4996-8772-BE09E6EA23E4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-5.5500001907348633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9C95-4996-8772-BE09E6EA23E4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-4.6500000953674316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9C95-4996-8772-BE09E6EA23E4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12.149877252791809</c:v>
                </c:pt>
                <c:pt idx="1">
                  <c:v>12.149877252791809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0.89983854892481308</c:v>
                </c:pt>
                <c:pt idx="1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9C95-4996-8772-BE09E6EA23E4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21.749877634170446</c:v>
                </c:pt>
                <c:pt idx="1">
                  <c:v>21.749877634170446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0.9001611964406423</c:v>
                </c:pt>
                <c:pt idx="1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9C95-4996-8772-BE09E6EA23E4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16.950000505139531</c:v>
                </c:pt>
                <c:pt idx="1">
                  <c:v>16.950000505139531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-2.099999764731113</c:v>
                </c:pt>
                <c:pt idx="1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9C95-4996-8772-BE09E6EA23E4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16.949878412407752</c:v>
                </c:pt>
                <c:pt idx="1">
                  <c:v>16.949878412407752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0.89999977405212539</c:v>
                </c:pt>
                <c:pt idx="1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9C95-4996-8772-BE09E6EA23E4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-3.75</c:v>
                </c:pt>
                <c:pt idx="1">
                  <c:v>-3.75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9C95-4996-8772-BE09E6EA23E4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-0.89999997615814209</c:v>
                </c:pt>
                <c:pt idx="1">
                  <c:v>-0.89999997615814209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0.95586188224648228</c:v>
                </c:pt>
                <c:pt idx="1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9C95-4996-8772-BE09E6EA23E4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8.6998774435266721</c:v>
                </c:pt>
                <c:pt idx="1">
                  <c:v>8.6998774435266721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4.3524356111529094</c:v>
                </c:pt>
                <c:pt idx="1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9C95-4996-8772-BE09E6EA23E4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3.899595284019405</c:v>
                </c:pt>
                <c:pt idx="1">
                  <c:v>3.899595284019405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-2.0997801137178165</c:v>
                </c:pt>
                <c:pt idx="1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9C95-4996-8772-BE09E6EA23E4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3.9000172623814056</c:v>
                </c:pt>
                <c:pt idx="1">
                  <c:v>3.9000172623814056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0.71199134690652988</c:v>
                </c:pt>
                <c:pt idx="1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9C95-4996-8772-BE09E6EA23E4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3.2999999523162842</c:v>
                </c:pt>
                <c:pt idx="1">
                  <c:v>3.2999999523162842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9C95-4996-8772-BE09E6EA23E4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3.5999999046325684</c:v>
                </c:pt>
                <c:pt idx="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9C95-4996-8772-BE09E6EA23E4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2.5508135058442862</c:v>
                </c:pt>
                <c:pt idx="1">
                  <c:v>2.5508135058442862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0.8819063423581377</c:v>
                </c:pt>
                <c:pt idx="1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9C95-4996-8772-BE09E6EA23E4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5.2717980643062301</c:v>
                </c:pt>
                <c:pt idx="1">
                  <c:v>5.2717980643062301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0.91863725774052185</c:v>
                </c:pt>
                <c:pt idx="1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9C95-4996-8772-BE09E6EA23E4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3.3533233680977133</c:v>
                </c:pt>
                <c:pt idx="1">
                  <c:v>3.3533233680977133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2.7261509686366132</c:v>
                </c:pt>
                <c:pt idx="1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9C95-4996-8772-BE09E6EA23E4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4.3735740188221861</c:v>
                </c:pt>
                <c:pt idx="1">
                  <c:v>4.3735740188221861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2.7483914883909044</c:v>
                </c:pt>
                <c:pt idx="1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9C95-4996-8772-BE09E6EA23E4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-6.4499998092651367</c:v>
                </c:pt>
                <c:pt idx="1">
                  <c:v>-6.4499998092651367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9C95-4996-8772-BE09E6EA23E4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-5.8499999046325684</c:v>
                </c:pt>
                <c:pt idx="1">
                  <c:v>-5.8499999046325684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9C95-4996-8772-BE09E6EA23E4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-4.3499999046325684</c:v>
                </c:pt>
                <c:pt idx="1">
                  <c:v>-4.3499999046325684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0.89999997615814209</c:v>
                </c:pt>
                <c:pt idx="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9C95-4996-8772-BE09E6EA23E4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-5.5500001907348633</c:v>
                </c:pt>
                <c:pt idx="1">
                  <c:v>-5.5500001907348633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9C95-4996-8772-BE09E6EA23E4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-4.6500000953674316</c:v>
                </c:pt>
                <c:pt idx="1">
                  <c:v>-4.6500000953674316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2.8499999046325684</c:v>
                </c:pt>
                <c:pt idx="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9C95-4996-8772-BE09E6EA23E4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12.149877252791809</c:v>
                </c:pt>
                <c:pt idx="1">
                  <c:v>12.149877252791809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0.89983854892481308</c:v>
                </c:pt>
                <c:pt idx="1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9C95-4996-8772-BE09E6EA23E4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21.749877634170446</c:v>
                </c:pt>
                <c:pt idx="1">
                  <c:v>21.749877634170446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0.9001611964406423</c:v>
                </c:pt>
                <c:pt idx="1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9C95-4996-8772-BE09E6EA23E4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16.950000505139531</c:v>
                </c:pt>
                <c:pt idx="1">
                  <c:v>16.950000505139531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-2.099999764731113</c:v>
                </c:pt>
                <c:pt idx="1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9C95-4996-8772-BE09E6EA23E4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16.949878412407752</c:v>
                </c:pt>
                <c:pt idx="1">
                  <c:v>16.949878412407752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0.89999977405212539</c:v>
                </c:pt>
                <c:pt idx="1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9C95-4996-8772-BE09E6EA23E4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9C95-4996-8772-BE09E6EA23E4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9C95-4996-8772-BE09E6EA23E4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9C95-4996-8772-BE09E6EA23E4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9C95-4996-8772-BE09E6EA23E4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9C95-4996-8772-BE09E6EA23E4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9C95-4996-8772-BE09E6EA23E4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9C95-4996-8772-BE09E6EA23E4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9C95-4996-8772-BE09E6EA23E4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9C95-4996-8772-BE09E6EA23E4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9C95-4996-8772-BE09E6EA23E4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9C95-4996-8772-BE09E6EA23E4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9C95-4996-8772-BE09E6EA23E4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9C95-4996-8772-BE09E6EA23E4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9C95-4996-8772-BE09E6EA23E4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9C95-4996-8772-BE09E6EA23E4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9C95-4996-8772-BE09E6EA23E4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9C95-4996-8772-BE09E6EA23E4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9C95-4996-8772-BE09E6EA23E4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9C95-4996-8772-BE09E6EA23E4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9C95-4996-8772-BE09E6EA23E4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9C95-4996-8772-BE09E6EA23E4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9C95-4996-8772-BE09E6EA23E4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9C95-4996-8772-BE09E6EA23E4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9C95-4996-8772-BE09E6EA23E4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9C95-4996-8772-BE09E6EA23E4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9C95-4996-8772-BE09E6EA23E4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9C95-4996-8772-BE09E6EA23E4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9C95-4996-8772-BE09E6EA23E4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9C95-4996-8772-BE09E6EA23E4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9C95-4996-8772-BE09E6EA23E4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9C95-4996-8772-BE09E6EA23E4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9C95-4996-8772-BE09E6EA23E4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9C95-4996-8772-BE09E6EA23E4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9C95-4996-8772-BE09E6EA23E4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9C95-4996-8772-BE09E6EA23E4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9C95-4996-8772-BE09E6EA23E4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9C95-4996-8772-BE09E6EA23E4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9C95-4996-8772-BE09E6EA23E4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9C95-4996-8772-BE09E6EA23E4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9C95-4996-8772-BE09E6EA23E4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-3.75</c:v>
                </c:pt>
                <c:pt idx="1">
                  <c:v>-3.75</c:v>
                </c:pt>
                <c:pt idx="2">
                  <c:v>-3.75</c:v>
                </c:pt>
                <c:pt idx="3">
                  <c:v>-3.75</c:v>
                </c:pt>
                <c:pt idx="4">
                  <c:v>-3.75</c:v>
                </c:pt>
                <c:pt idx="5">
                  <c:v>-3.75</c:v>
                </c:pt>
                <c:pt idx="6">
                  <c:v>-3.75</c:v>
                </c:pt>
                <c:pt idx="7">
                  <c:v>-3.75</c:v>
                </c:pt>
                <c:pt idx="8">
                  <c:v>-3.75</c:v>
                </c:pt>
                <c:pt idx="9">
                  <c:v>-3.75</c:v>
                </c:pt>
                <c:pt idx="10">
                  <c:v>-3.75</c:v>
                </c:pt>
                <c:pt idx="11">
                  <c:v>-3.75</c:v>
                </c:pt>
                <c:pt idx="12">
                  <c:v>-3.75</c:v>
                </c:pt>
                <c:pt idx="13">
                  <c:v>-3.75</c:v>
                </c:pt>
                <c:pt idx="14">
                  <c:v>-3.75</c:v>
                </c:pt>
                <c:pt idx="15">
                  <c:v>-3.75</c:v>
                </c:pt>
                <c:pt idx="16">
                  <c:v>-3.75</c:v>
                </c:pt>
                <c:pt idx="17">
                  <c:v>-3.75</c:v>
                </c:pt>
                <c:pt idx="18">
                  <c:v>-3.75</c:v>
                </c:pt>
                <c:pt idx="19">
                  <c:v>-3.75</c:v>
                </c:pt>
                <c:pt idx="20">
                  <c:v>-3.75</c:v>
                </c:pt>
                <c:pt idx="21">
                  <c:v>-3.75</c:v>
                </c:pt>
                <c:pt idx="22">
                  <c:v>-3.75</c:v>
                </c:pt>
                <c:pt idx="23">
                  <c:v>-3.75</c:v>
                </c:pt>
                <c:pt idx="24">
                  <c:v>-3.75</c:v>
                </c:pt>
                <c:pt idx="25">
                  <c:v>-3.75</c:v>
                </c:pt>
                <c:pt idx="26">
                  <c:v>-3.75</c:v>
                </c:pt>
                <c:pt idx="27">
                  <c:v>-3.75</c:v>
                </c:pt>
                <c:pt idx="28">
                  <c:v>-3.75</c:v>
                </c:pt>
                <c:pt idx="29">
                  <c:v>-3.75</c:v>
                </c:pt>
                <c:pt idx="30">
                  <c:v>-3.75</c:v>
                </c:pt>
                <c:pt idx="31">
                  <c:v>-3.75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  <c:pt idx="5">
                  <c:v>0.89999997615814209</c:v>
                </c:pt>
                <c:pt idx="6">
                  <c:v>0.89999997615814209</c:v>
                </c:pt>
                <c:pt idx="7">
                  <c:v>0.89999997615814209</c:v>
                </c:pt>
                <c:pt idx="8">
                  <c:v>0.89999997615814209</c:v>
                </c:pt>
                <c:pt idx="9">
                  <c:v>0.89999997615814209</c:v>
                </c:pt>
                <c:pt idx="10">
                  <c:v>0.89999997615814209</c:v>
                </c:pt>
                <c:pt idx="11">
                  <c:v>0.89999997615814209</c:v>
                </c:pt>
                <c:pt idx="12">
                  <c:v>0.89999997615814209</c:v>
                </c:pt>
                <c:pt idx="13">
                  <c:v>0.89999997615814209</c:v>
                </c:pt>
                <c:pt idx="14">
                  <c:v>0.89999997615814209</c:v>
                </c:pt>
                <c:pt idx="15">
                  <c:v>0.89999997615814209</c:v>
                </c:pt>
                <c:pt idx="16">
                  <c:v>0.89999997615814209</c:v>
                </c:pt>
                <c:pt idx="17">
                  <c:v>0.89999997615814209</c:v>
                </c:pt>
                <c:pt idx="18">
                  <c:v>0.89999997615814209</c:v>
                </c:pt>
                <c:pt idx="19">
                  <c:v>0.89999997615814209</c:v>
                </c:pt>
                <c:pt idx="20">
                  <c:v>0.89999997615814209</c:v>
                </c:pt>
                <c:pt idx="21">
                  <c:v>0.89999997615814209</c:v>
                </c:pt>
                <c:pt idx="22">
                  <c:v>0.89999997615814209</c:v>
                </c:pt>
                <c:pt idx="23">
                  <c:v>0.89999997615814209</c:v>
                </c:pt>
                <c:pt idx="24">
                  <c:v>0.89999997615814209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0.89999997615814209</c:v>
                </c:pt>
                <c:pt idx="28">
                  <c:v>0.89999997615814209</c:v>
                </c:pt>
                <c:pt idx="29">
                  <c:v>0.89999997615814209</c:v>
                </c:pt>
                <c:pt idx="30">
                  <c:v>0.89999997615814209</c:v>
                </c:pt>
                <c:pt idx="3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9C95-4996-8772-BE09E6EA23E4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-0.89999997615814209</c:v>
                </c:pt>
                <c:pt idx="1">
                  <c:v>-0.89999997615814209</c:v>
                </c:pt>
                <c:pt idx="2">
                  <c:v>-0.89999997615814209</c:v>
                </c:pt>
                <c:pt idx="3">
                  <c:v>-0.89999997615814209</c:v>
                </c:pt>
                <c:pt idx="4">
                  <c:v>-0.89999997615814209</c:v>
                </c:pt>
                <c:pt idx="5">
                  <c:v>-0.89999997615814209</c:v>
                </c:pt>
                <c:pt idx="6">
                  <c:v>-0.89999997615814209</c:v>
                </c:pt>
                <c:pt idx="7">
                  <c:v>-0.89999997615814209</c:v>
                </c:pt>
                <c:pt idx="8">
                  <c:v>-0.89999997615814209</c:v>
                </c:pt>
                <c:pt idx="9">
                  <c:v>-0.89999997615814209</c:v>
                </c:pt>
                <c:pt idx="10">
                  <c:v>-0.89999997615814209</c:v>
                </c:pt>
                <c:pt idx="11">
                  <c:v>-0.89999997615814209</c:v>
                </c:pt>
                <c:pt idx="12">
                  <c:v>-0.89999997615814209</c:v>
                </c:pt>
                <c:pt idx="13">
                  <c:v>-0.89999997615814209</c:v>
                </c:pt>
                <c:pt idx="14">
                  <c:v>-0.89999997615814209</c:v>
                </c:pt>
                <c:pt idx="15">
                  <c:v>-0.89999997615814209</c:v>
                </c:pt>
                <c:pt idx="16">
                  <c:v>-0.89999997615814209</c:v>
                </c:pt>
                <c:pt idx="17">
                  <c:v>-0.89999997615814209</c:v>
                </c:pt>
                <c:pt idx="18">
                  <c:v>-0.89999997615814209</c:v>
                </c:pt>
                <c:pt idx="19">
                  <c:v>-0.89999997615814209</c:v>
                </c:pt>
                <c:pt idx="20">
                  <c:v>-0.89999997615814209</c:v>
                </c:pt>
                <c:pt idx="21">
                  <c:v>-0.89999997615814209</c:v>
                </c:pt>
                <c:pt idx="22">
                  <c:v>-0.89999997615814209</c:v>
                </c:pt>
                <c:pt idx="23">
                  <c:v>-0.89999997615814209</c:v>
                </c:pt>
                <c:pt idx="24">
                  <c:v>-0.89999997615814209</c:v>
                </c:pt>
                <c:pt idx="25">
                  <c:v>-0.89999997615814209</c:v>
                </c:pt>
                <c:pt idx="26">
                  <c:v>-0.89999997615814209</c:v>
                </c:pt>
                <c:pt idx="27">
                  <c:v>-0.89999997615814209</c:v>
                </c:pt>
                <c:pt idx="28">
                  <c:v>-0.89999997615814209</c:v>
                </c:pt>
                <c:pt idx="29">
                  <c:v>-0.89999997615814209</c:v>
                </c:pt>
                <c:pt idx="30">
                  <c:v>-0.89999997615814209</c:v>
                </c:pt>
                <c:pt idx="31">
                  <c:v>-0.89999997615814209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0.95586188224648228</c:v>
                </c:pt>
                <c:pt idx="1">
                  <c:v>0.95586188224648228</c:v>
                </c:pt>
                <c:pt idx="2">
                  <c:v>0.95586188224648228</c:v>
                </c:pt>
                <c:pt idx="3">
                  <c:v>0.95586188224648228</c:v>
                </c:pt>
                <c:pt idx="4">
                  <c:v>0.95586188224648228</c:v>
                </c:pt>
                <c:pt idx="5">
                  <c:v>0.95586188224648228</c:v>
                </c:pt>
                <c:pt idx="6">
                  <c:v>0.95586188224648228</c:v>
                </c:pt>
                <c:pt idx="7">
                  <c:v>0.95586188224648228</c:v>
                </c:pt>
                <c:pt idx="8">
                  <c:v>0.95586188224648228</c:v>
                </c:pt>
                <c:pt idx="9">
                  <c:v>0.95586188224648228</c:v>
                </c:pt>
                <c:pt idx="10">
                  <c:v>0.95586188224648228</c:v>
                </c:pt>
                <c:pt idx="11">
                  <c:v>0.95586188224648228</c:v>
                </c:pt>
                <c:pt idx="12">
                  <c:v>0.95586188224648228</c:v>
                </c:pt>
                <c:pt idx="13">
                  <c:v>0.95586188224648228</c:v>
                </c:pt>
                <c:pt idx="14">
                  <c:v>0.95586188224648228</c:v>
                </c:pt>
                <c:pt idx="15">
                  <c:v>0.95586188224648228</c:v>
                </c:pt>
                <c:pt idx="16">
                  <c:v>0.95586188224648228</c:v>
                </c:pt>
                <c:pt idx="17">
                  <c:v>0.95586188224648228</c:v>
                </c:pt>
                <c:pt idx="18">
                  <c:v>0.95586188224648228</c:v>
                </c:pt>
                <c:pt idx="19">
                  <c:v>0.95586188224648228</c:v>
                </c:pt>
                <c:pt idx="20">
                  <c:v>0.95586188224648228</c:v>
                </c:pt>
                <c:pt idx="21">
                  <c:v>0.95586188224648228</c:v>
                </c:pt>
                <c:pt idx="22">
                  <c:v>0.95586188224648228</c:v>
                </c:pt>
                <c:pt idx="23">
                  <c:v>0.95586188224648228</c:v>
                </c:pt>
                <c:pt idx="24">
                  <c:v>0.95586188224648228</c:v>
                </c:pt>
                <c:pt idx="25">
                  <c:v>0.95586188224648228</c:v>
                </c:pt>
                <c:pt idx="26">
                  <c:v>0.95586188224648228</c:v>
                </c:pt>
                <c:pt idx="27">
                  <c:v>0.95586188224648228</c:v>
                </c:pt>
                <c:pt idx="28">
                  <c:v>0.95586188224648228</c:v>
                </c:pt>
                <c:pt idx="29">
                  <c:v>0.95586188224648228</c:v>
                </c:pt>
                <c:pt idx="30">
                  <c:v>0.95586188224648228</c:v>
                </c:pt>
                <c:pt idx="31">
                  <c:v>0.95586188224648228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9C95-4996-8772-BE09E6EA23E4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8.6998774435266721</c:v>
                </c:pt>
                <c:pt idx="1">
                  <c:v>8.6998774435266721</c:v>
                </c:pt>
                <c:pt idx="2">
                  <c:v>8.6998774435266721</c:v>
                </c:pt>
                <c:pt idx="3">
                  <c:v>8.6998774435266721</c:v>
                </c:pt>
                <c:pt idx="4">
                  <c:v>8.6998774435266721</c:v>
                </c:pt>
                <c:pt idx="5">
                  <c:v>8.6998774435266721</c:v>
                </c:pt>
                <c:pt idx="6">
                  <c:v>8.6998774435266721</c:v>
                </c:pt>
                <c:pt idx="7">
                  <c:v>8.6998774435266721</c:v>
                </c:pt>
                <c:pt idx="8">
                  <c:v>8.6998774435266721</c:v>
                </c:pt>
                <c:pt idx="9">
                  <c:v>8.6998774435266721</c:v>
                </c:pt>
                <c:pt idx="10">
                  <c:v>8.6998774435266721</c:v>
                </c:pt>
                <c:pt idx="11">
                  <c:v>8.6998774435266721</c:v>
                </c:pt>
                <c:pt idx="12">
                  <c:v>8.6998774435266721</c:v>
                </c:pt>
                <c:pt idx="13">
                  <c:v>8.6998774435266721</c:v>
                </c:pt>
                <c:pt idx="14">
                  <c:v>8.6998774435266721</c:v>
                </c:pt>
                <c:pt idx="15">
                  <c:v>8.6998774435266721</c:v>
                </c:pt>
                <c:pt idx="16">
                  <c:v>8.6998774435266721</c:v>
                </c:pt>
                <c:pt idx="17">
                  <c:v>8.6998774435266721</c:v>
                </c:pt>
                <c:pt idx="18">
                  <c:v>8.6998774435266721</c:v>
                </c:pt>
                <c:pt idx="19">
                  <c:v>8.6998774435266721</c:v>
                </c:pt>
                <c:pt idx="20">
                  <c:v>8.6998774435266721</c:v>
                </c:pt>
                <c:pt idx="21">
                  <c:v>8.6998774435266721</c:v>
                </c:pt>
                <c:pt idx="22">
                  <c:v>8.6998774435266721</c:v>
                </c:pt>
                <c:pt idx="23">
                  <c:v>8.6998774435266721</c:v>
                </c:pt>
                <c:pt idx="24">
                  <c:v>8.6998774435266721</c:v>
                </c:pt>
                <c:pt idx="25">
                  <c:v>8.6998774435266721</c:v>
                </c:pt>
                <c:pt idx="26">
                  <c:v>8.6998774435266721</c:v>
                </c:pt>
                <c:pt idx="27">
                  <c:v>8.6998774435266721</c:v>
                </c:pt>
                <c:pt idx="28">
                  <c:v>8.6998774435266721</c:v>
                </c:pt>
                <c:pt idx="29">
                  <c:v>8.6998774435266721</c:v>
                </c:pt>
                <c:pt idx="30">
                  <c:v>8.6998774435266721</c:v>
                </c:pt>
                <c:pt idx="31">
                  <c:v>8.6998774435266721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4.3524356111529094</c:v>
                </c:pt>
                <c:pt idx="1">
                  <c:v>4.3524356111529094</c:v>
                </c:pt>
                <c:pt idx="2">
                  <c:v>4.3524356111529094</c:v>
                </c:pt>
                <c:pt idx="3">
                  <c:v>4.3524356111529094</c:v>
                </c:pt>
                <c:pt idx="4">
                  <c:v>4.3524356111529094</c:v>
                </c:pt>
                <c:pt idx="5">
                  <c:v>4.3524356111529094</c:v>
                </c:pt>
                <c:pt idx="6">
                  <c:v>4.3524356111529094</c:v>
                </c:pt>
                <c:pt idx="7">
                  <c:v>4.3524356111529094</c:v>
                </c:pt>
                <c:pt idx="8">
                  <c:v>4.3524356111529094</c:v>
                </c:pt>
                <c:pt idx="9">
                  <c:v>4.3524356111529094</c:v>
                </c:pt>
                <c:pt idx="10">
                  <c:v>4.3524356111529094</c:v>
                </c:pt>
                <c:pt idx="11">
                  <c:v>4.3524356111529094</c:v>
                </c:pt>
                <c:pt idx="12">
                  <c:v>4.3524356111529094</c:v>
                </c:pt>
                <c:pt idx="13">
                  <c:v>4.3524356111529094</c:v>
                </c:pt>
                <c:pt idx="14">
                  <c:v>4.3524356111529094</c:v>
                </c:pt>
                <c:pt idx="15">
                  <c:v>4.3524356111529094</c:v>
                </c:pt>
                <c:pt idx="16">
                  <c:v>4.3524356111529094</c:v>
                </c:pt>
                <c:pt idx="17">
                  <c:v>4.3524356111529094</c:v>
                </c:pt>
                <c:pt idx="18">
                  <c:v>4.3524356111529094</c:v>
                </c:pt>
                <c:pt idx="19">
                  <c:v>4.3524356111529094</c:v>
                </c:pt>
                <c:pt idx="20">
                  <c:v>4.3524356111529094</c:v>
                </c:pt>
                <c:pt idx="21">
                  <c:v>4.3524356111529094</c:v>
                </c:pt>
                <c:pt idx="22">
                  <c:v>4.3524356111529094</c:v>
                </c:pt>
                <c:pt idx="23">
                  <c:v>4.3524356111529094</c:v>
                </c:pt>
                <c:pt idx="24">
                  <c:v>4.3524356111529094</c:v>
                </c:pt>
                <c:pt idx="25">
                  <c:v>4.3524356111529094</c:v>
                </c:pt>
                <c:pt idx="26">
                  <c:v>4.3524356111529094</c:v>
                </c:pt>
                <c:pt idx="27">
                  <c:v>4.3524356111529094</c:v>
                </c:pt>
                <c:pt idx="28">
                  <c:v>4.3524356111529094</c:v>
                </c:pt>
                <c:pt idx="29">
                  <c:v>4.3524356111529094</c:v>
                </c:pt>
                <c:pt idx="30">
                  <c:v>4.3524356111529094</c:v>
                </c:pt>
                <c:pt idx="31">
                  <c:v>4.3524356111529094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9C95-4996-8772-BE09E6EA23E4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3.899595284019405</c:v>
                </c:pt>
                <c:pt idx="1">
                  <c:v>3.899595284019405</c:v>
                </c:pt>
                <c:pt idx="2">
                  <c:v>3.899595284019405</c:v>
                </c:pt>
                <c:pt idx="3">
                  <c:v>3.899595284019405</c:v>
                </c:pt>
                <c:pt idx="4">
                  <c:v>3.899595284019405</c:v>
                </c:pt>
                <c:pt idx="5">
                  <c:v>3.899595284019405</c:v>
                </c:pt>
                <c:pt idx="6">
                  <c:v>3.899595284019405</c:v>
                </c:pt>
                <c:pt idx="7">
                  <c:v>3.899595284019405</c:v>
                </c:pt>
                <c:pt idx="8">
                  <c:v>3.899595284019405</c:v>
                </c:pt>
                <c:pt idx="9">
                  <c:v>3.899595284019405</c:v>
                </c:pt>
                <c:pt idx="10">
                  <c:v>3.899595284019405</c:v>
                </c:pt>
                <c:pt idx="11">
                  <c:v>3.899595284019405</c:v>
                </c:pt>
                <c:pt idx="12">
                  <c:v>3.899595284019405</c:v>
                </c:pt>
                <c:pt idx="13">
                  <c:v>3.899595284019405</c:v>
                </c:pt>
                <c:pt idx="14">
                  <c:v>3.899595284019405</c:v>
                </c:pt>
                <c:pt idx="15">
                  <c:v>3.899595284019405</c:v>
                </c:pt>
                <c:pt idx="16">
                  <c:v>3.899595284019405</c:v>
                </c:pt>
                <c:pt idx="17">
                  <c:v>3.899595284019405</c:v>
                </c:pt>
                <c:pt idx="18">
                  <c:v>3.899595284019405</c:v>
                </c:pt>
                <c:pt idx="19">
                  <c:v>3.899595284019405</c:v>
                </c:pt>
                <c:pt idx="20">
                  <c:v>3.899595284019405</c:v>
                </c:pt>
                <c:pt idx="21">
                  <c:v>3.899595284019405</c:v>
                </c:pt>
                <c:pt idx="22">
                  <c:v>3.899595284019405</c:v>
                </c:pt>
                <c:pt idx="23">
                  <c:v>3.899595284019405</c:v>
                </c:pt>
                <c:pt idx="24">
                  <c:v>3.899595284019405</c:v>
                </c:pt>
                <c:pt idx="25">
                  <c:v>3.899595284019405</c:v>
                </c:pt>
                <c:pt idx="26">
                  <c:v>3.899595284019405</c:v>
                </c:pt>
                <c:pt idx="27">
                  <c:v>3.899595284019405</c:v>
                </c:pt>
                <c:pt idx="28">
                  <c:v>3.899595284019405</c:v>
                </c:pt>
                <c:pt idx="29">
                  <c:v>3.899595284019405</c:v>
                </c:pt>
                <c:pt idx="30">
                  <c:v>3.899595284019405</c:v>
                </c:pt>
                <c:pt idx="31">
                  <c:v>3.899595284019405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-2.0997801137178165</c:v>
                </c:pt>
                <c:pt idx="1">
                  <c:v>-2.0997801137178165</c:v>
                </c:pt>
                <c:pt idx="2">
                  <c:v>-2.0997801137178165</c:v>
                </c:pt>
                <c:pt idx="3">
                  <c:v>-2.0997801137178165</c:v>
                </c:pt>
                <c:pt idx="4">
                  <c:v>-2.0997801137178165</c:v>
                </c:pt>
                <c:pt idx="5">
                  <c:v>-2.0997801137178165</c:v>
                </c:pt>
                <c:pt idx="6">
                  <c:v>-2.0997801137178165</c:v>
                </c:pt>
                <c:pt idx="7">
                  <c:v>-2.0997801137178165</c:v>
                </c:pt>
                <c:pt idx="8">
                  <c:v>-2.0997801137178165</c:v>
                </c:pt>
                <c:pt idx="9">
                  <c:v>-2.0997801137178165</c:v>
                </c:pt>
                <c:pt idx="10">
                  <c:v>-2.0997801137178165</c:v>
                </c:pt>
                <c:pt idx="11">
                  <c:v>-2.0997801137178165</c:v>
                </c:pt>
                <c:pt idx="12">
                  <c:v>-2.0997801137178165</c:v>
                </c:pt>
                <c:pt idx="13">
                  <c:v>-2.0997801137178165</c:v>
                </c:pt>
                <c:pt idx="14">
                  <c:v>-2.0997801137178165</c:v>
                </c:pt>
                <c:pt idx="15">
                  <c:v>-2.0997801137178165</c:v>
                </c:pt>
                <c:pt idx="16">
                  <c:v>-2.0997801137178165</c:v>
                </c:pt>
                <c:pt idx="17">
                  <c:v>-2.0997801137178165</c:v>
                </c:pt>
                <c:pt idx="18">
                  <c:v>-2.0997801137178165</c:v>
                </c:pt>
                <c:pt idx="19">
                  <c:v>-2.0997801137178165</c:v>
                </c:pt>
                <c:pt idx="20">
                  <c:v>-2.0997801137178165</c:v>
                </c:pt>
                <c:pt idx="21">
                  <c:v>-2.0997801137178165</c:v>
                </c:pt>
                <c:pt idx="22">
                  <c:v>-2.0997801137178165</c:v>
                </c:pt>
                <c:pt idx="23">
                  <c:v>-2.0997801137178165</c:v>
                </c:pt>
                <c:pt idx="24">
                  <c:v>-2.0997801137178165</c:v>
                </c:pt>
                <c:pt idx="25">
                  <c:v>-2.0997801137178165</c:v>
                </c:pt>
                <c:pt idx="26">
                  <c:v>-2.0997801137178165</c:v>
                </c:pt>
                <c:pt idx="27">
                  <c:v>-2.0997801137178165</c:v>
                </c:pt>
                <c:pt idx="28">
                  <c:v>-2.0997801137178165</c:v>
                </c:pt>
                <c:pt idx="29">
                  <c:v>-2.0997801137178165</c:v>
                </c:pt>
                <c:pt idx="30">
                  <c:v>-2.0997801137178165</c:v>
                </c:pt>
                <c:pt idx="31">
                  <c:v>-2.0997801137178165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9C95-4996-8772-BE09E6EA23E4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3.9000172623814056</c:v>
                </c:pt>
                <c:pt idx="1">
                  <c:v>3.9000172623814056</c:v>
                </c:pt>
                <c:pt idx="2">
                  <c:v>3.9000172623814056</c:v>
                </c:pt>
                <c:pt idx="3">
                  <c:v>3.9000172623814056</c:v>
                </c:pt>
                <c:pt idx="4">
                  <c:v>3.9000172623814056</c:v>
                </c:pt>
                <c:pt idx="5">
                  <c:v>3.9000172623814056</c:v>
                </c:pt>
                <c:pt idx="6">
                  <c:v>3.9000172623814056</c:v>
                </c:pt>
                <c:pt idx="7">
                  <c:v>3.9000172623814056</c:v>
                </c:pt>
                <c:pt idx="8">
                  <c:v>3.9000172623814056</c:v>
                </c:pt>
                <c:pt idx="9">
                  <c:v>3.9000172623814056</c:v>
                </c:pt>
                <c:pt idx="10">
                  <c:v>3.9000172623814056</c:v>
                </c:pt>
                <c:pt idx="11">
                  <c:v>3.9000172623814056</c:v>
                </c:pt>
                <c:pt idx="12">
                  <c:v>3.9000172623814056</c:v>
                </c:pt>
                <c:pt idx="13">
                  <c:v>3.9000172623814056</c:v>
                </c:pt>
                <c:pt idx="14">
                  <c:v>3.9000172623814056</c:v>
                </c:pt>
                <c:pt idx="15">
                  <c:v>3.9000172623814056</c:v>
                </c:pt>
                <c:pt idx="16">
                  <c:v>3.9000172623814056</c:v>
                </c:pt>
                <c:pt idx="17">
                  <c:v>3.9000172623814056</c:v>
                </c:pt>
                <c:pt idx="18">
                  <c:v>3.9000172623814056</c:v>
                </c:pt>
                <c:pt idx="19">
                  <c:v>3.9000172623814056</c:v>
                </c:pt>
                <c:pt idx="20">
                  <c:v>3.9000172623814056</c:v>
                </c:pt>
                <c:pt idx="21">
                  <c:v>3.9000172623814056</c:v>
                </c:pt>
                <c:pt idx="22">
                  <c:v>3.9000172623814056</c:v>
                </c:pt>
                <c:pt idx="23">
                  <c:v>3.9000172623814056</c:v>
                </c:pt>
                <c:pt idx="24">
                  <c:v>3.9000172623814056</c:v>
                </c:pt>
                <c:pt idx="25">
                  <c:v>3.9000172623814056</c:v>
                </c:pt>
                <c:pt idx="26">
                  <c:v>3.9000172623814056</c:v>
                </c:pt>
                <c:pt idx="27">
                  <c:v>3.9000172623814056</c:v>
                </c:pt>
                <c:pt idx="28">
                  <c:v>3.9000172623814056</c:v>
                </c:pt>
                <c:pt idx="29">
                  <c:v>3.9000172623814056</c:v>
                </c:pt>
                <c:pt idx="30">
                  <c:v>3.9000172623814056</c:v>
                </c:pt>
                <c:pt idx="31">
                  <c:v>3.9000172623814056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0.71199134690652988</c:v>
                </c:pt>
                <c:pt idx="1">
                  <c:v>0.71199134690652988</c:v>
                </c:pt>
                <c:pt idx="2">
                  <c:v>0.71199134690652988</c:v>
                </c:pt>
                <c:pt idx="3">
                  <c:v>0.71199134690652988</c:v>
                </c:pt>
                <c:pt idx="4">
                  <c:v>0.71199134690652988</c:v>
                </c:pt>
                <c:pt idx="5">
                  <c:v>0.71199134690652988</c:v>
                </c:pt>
                <c:pt idx="6">
                  <c:v>0.71199134690652988</c:v>
                </c:pt>
                <c:pt idx="7">
                  <c:v>0.71199134690652988</c:v>
                </c:pt>
                <c:pt idx="8">
                  <c:v>0.71199134690652988</c:v>
                </c:pt>
                <c:pt idx="9">
                  <c:v>0.71199134690652988</c:v>
                </c:pt>
                <c:pt idx="10">
                  <c:v>0.71199134690652988</c:v>
                </c:pt>
                <c:pt idx="11">
                  <c:v>0.71199134690652988</c:v>
                </c:pt>
                <c:pt idx="12">
                  <c:v>0.71199134690652988</c:v>
                </c:pt>
                <c:pt idx="13">
                  <c:v>0.71199134690652988</c:v>
                </c:pt>
                <c:pt idx="14">
                  <c:v>0.71199134690652988</c:v>
                </c:pt>
                <c:pt idx="15">
                  <c:v>0.71199134690652988</c:v>
                </c:pt>
                <c:pt idx="16">
                  <c:v>0.71199134690652988</c:v>
                </c:pt>
                <c:pt idx="17">
                  <c:v>0.71199134690652988</c:v>
                </c:pt>
                <c:pt idx="18">
                  <c:v>0.71199134690652988</c:v>
                </c:pt>
                <c:pt idx="19">
                  <c:v>0.71199134690652988</c:v>
                </c:pt>
                <c:pt idx="20">
                  <c:v>0.71199134690652988</c:v>
                </c:pt>
                <c:pt idx="21">
                  <c:v>0.71199134690652988</c:v>
                </c:pt>
                <c:pt idx="22">
                  <c:v>0.71199134690652988</c:v>
                </c:pt>
                <c:pt idx="23">
                  <c:v>0.71199134690652988</c:v>
                </c:pt>
                <c:pt idx="24">
                  <c:v>0.71199134690652988</c:v>
                </c:pt>
                <c:pt idx="25">
                  <c:v>0.71199134690652988</c:v>
                </c:pt>
                <c:pt idx="26">
                  <c:v>0.71199134690652988</c:v>
                </c:pt>
                <c:pt idx="27">
                  <c:v>0.71199134690652988</c:v>
                </c:pt>
                <c:pt idx="28">
                  <c:v>0.71199134690652988</c:v>
                </c:pt>
                <c:pt idx="29">
                  <c:v>0.71199134690652988</c:v>
                </c:pt>
                <c:pt idx="30">
                  <c:v>0.71199134690652988</c:v>
                </c:pt>
                <c:pt idx="31">
                  <c:v>0.71199134690652988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9C95-4996-8772-BE09E6EA23E4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3.2999999523162842</c:v>
                </c:pt>
                <c:pt idx="1">
                  <c:v>3.2999999523162842</c:v>
                </c:pt>
                <c:pt idx="2">
                  <c:v>3.2999999523162842</c:v>
                </c:pt>
                <c:pt idx="3">
                  <c:v>3.2999999523162842</c:v>
                </c:pt>
                <c:pt idx="4">
                  <c:v>3.2999999523162842</c:v>
                </c:pt>
                <c:pt idx="5">
                  <c:v>3.2999999523162842</c:v>
                </c:pt>
                <c:pt idx="6">
                  <c:v>3.2999999523162842</c:v>
                </c:pt>
                <c:pt idx="7">
                  <c:v>3.2999999523162842</c:v>
                </c:pt>
                <c:pt idx="8">
                  <c:v>3.2999999523162842</c:v>
                </c:pt>
                <c:pt idx="9">
                  <c:v>3.2999999523162842</c:v>
                </c:pt>
                <c:pt idx="10">
                  <c:v>3.2999999523162842</c:v>
                </c:pt>
                <c:pt idx="11">
                  <c:v>3.2999999523162842</c:v>
                </c:pt>
                <c:pt idx="12">
                  <c:v>3.2999999523162842</c:v>
                </c:pt>
                <c:pt idx="13">
                  <c:v>3.2999999523162842</c:v>
                </c:pt>
                <c:pt idx="14">
                  <c:v>3.2999999523162842</c:v>
                </c:pt>
                <c:pt idx="15">
                  <c:v>3.2999999523162842</c:v>
                </c:pt>
                <c:pt idx="16">
                  <c:v>3.2999999523162842</c:v>
                </c:pt>
                <c:pt idx="17">
                  <c:v>3.2999999523162842</c:v>
                </c:pt>
                <c:pt idx="18">
                  <c:v>3.2999999523162842</c:v>
                </c:pt>
                <c:pt idx="19">
                  <c:v>3.2999999523162842</c:v>
                </c:pt>
                <c:pt idx="20">
                  <c:v>3.2999999523162842</c:v>
                </c:pt>
                <c:pt idx="21">
                  <c:v>3.2999999523162842</c:v>
                </c:pt>
                <c:pt idx="22">
                  <c:v>3.2999999523162842</c:v>
                </c:pt>
                <c:pt idx="23">
                  <c:v>3.2999999523162842</c:v>
                </c:pt>
                <c:pt idx="24">
                  <c:v>3.2999999523162842</c:v>
                </c:pt>
                <c:pt idx="25">
                  <c:v>3.2999999523162842</c:v>
                </c:pt>
                <c:pt idx="26">
                  <c:v>3.2999999523162842</c:v>
                </c:pt>
                <c:pt idx="27">
                  <c:v>3.2999999523162842</c:v>
                </c:pt>
                <c:pt idx="28">
                  <c:v>3.2999999523162842</c:v>
                </c:pt>
                <c:pt idx="29">
                  <c:v>3.2999999523162842</c:v>
                </c:pt>
                <c:pt idx="30">
                  <c:v>3.2999999523162842</c:v>
                </c:pt>
                <c:pt idx="31">
                  <c:v>3.2999999523162842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  <c:pt idx="5">
                  <c:v>3.5999999046325684</c:v>
                </c:pt>
                <c:pt idx="6">
                  <c:v>3.5999999046325684</c:v>
                </c:pt>
                <c:pt idx="7">
                  <c:v>3.5999999046325684</c:v>
                </c:pt>
                <c:pt idx="8">
                  <c:v>3.5999999046325684</c:v>
                </c:pt>
                <c:pt idx="9">
                  <c:v>3.5999999046325684</c:v>
                </c:pt>
                <c:pt idx="10">
                  <c:v>3.5999999046325684</c:v>
                </c:pt>
                <c:pt idx="11">
                  <c:v>3.5999999046325684</c:v>
                </c:pt>
                <c:pt idx="12">
                  <c:v>3.5999999046325684</c:v>
                </c:pt>
                <c:pt idx="13">
                  <c:v>3.5999999046325684</c:v>
                </c:pt>
                <c:pt idx="14">
                  <c:v>3.5999999046325684</c:v>
                </c:pt>
                <c:pt idx="15">
                  <c:v>3.5999999046325684</c:v>
                </c:pt>
                <c:pt idx="16">
                  <c:v>3.5999999046325684</c:v>
                </c:pt>
                <c:pt idx="17">
                  <c:v>3.5999999046325684</c:v>
                </c:pt>
                <c:pt idx="18">
                  <c:v>3.5999999046325684</c:v>
                </c:pt>
                <c:pt idx="19">
                  <c:v>3.5999999046325684</c:v>
                </c:pt>
                <c:pt idx="20">
                  <c:v>3.5999999046325684</c:v>
                </c:pt>
                <c:pt idx="21">
                  <c:v>3.5999999046325684</c:v>
                </c:pt>
                <c:pt idx="22">
                  <c:v>3.5999999046325684</c:v>
                </c:pt>
                <c:pt idx="23">
                  <c:v>3.5999999046325684</c:v>
                </c:pt>
                <c:pt idx="24">
                  <c:v>3.5999999046325684</c:v>
                </c:pt>
                <c:pt idx="25">
                  <c:v>3.5999999046325684</c:v>
                </c:pt>
                <c:pt idx="26">
                  <c:v>3.5999999046325684</c:v>
                </c:pt>
                <c:pt idx="27">
                  <c:v>3.5999999046325684</c:v>
                </c:pt>
                <c:pt idx="28">
                  <c:v>3.5999999046325684</c:v>
                </c:pt>
                <c:pt idx="29">
                  <c:v>3.5999999046325684</c:v>
                </c:pt>
                <c:pt idx="30">
                  <c:v>3.5999999046325684</c:v>
                </c:pt>
                <c:pt idx="3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9C95-4996-8772-BE09E6EA23E4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3.5999999046325684</c:v>
                </c:pt>
                <c:pt idx="1">
                  <c:v>3.5999999046325684</c:v>
                </c:pt>
                <c:pt idx="2">
                  <c:v>3.5999999046325684</c:v>
                </c:pt>
                <c:pt idx="3">
                  <c:v>3.5999999046325684</c:v>
                </c:pt>
                <c:pt idx="4">
                  <c:v>3.5999999046325684</c:v>
                </c:pt>
                <c:pt idx="5">
                  <c:v>3.5999999046325684</c:v>
                </c:pt>
                <c:pt idx="6">
                  <c:v>3.5999999046325684</c:v>
                </c:pt>
                <c:pt idx="7">
                  <c:v>3.5999999046325684</c:v>
                </c:pt>
                <c:pt idx="8">
                  <c:v>3.5999999046325684</c:v>
                </c:pt>
                <c:pt idx="9">
                  <c:v>3.5999999046325684</c:v>
                </c:pt>
                <c:pt idx="10">
                  <c:v>3.5999999046325684</c:v>
                </c:pt>
                <c:pt idx="11">
                  <c:v>3.5999999046325684</c:v>
                </c:pt>
                <c:pt idx="12">
                  <c:v>3.5999999046325684</c:v>
                </c:pt>
                <c:pt idx="13">
                  <c:v>3.5999999046325684</c:v>
                </c:pt>
                <c:pt idx="14">
                  <c:v>3.5999999046325684</c:v>
                </c:pt>
                <c:pt idx="15">
                  <c:v>3.5999999046325684</c:v>
                </c:pt>
                <c:pt idx="16">
                  <c:v>3.5999999046325684</c:v>
                </c:pt>
                <c:pt idx="17">
                  <c:v>3.5999999046325684</c:v>
                </c:pt>
                <c:pt idx="18">
                  <c:v>3.5999999046325684</c:v>
                </c:pt>
                <c:pt idx="19">
                  <c:v>3.5999999046325684</c:v>
                </c:pt>
                <c:pt idx="20">
                  <c:v>3.5999999046325684</c:v>
                </c:pt>
                <c:pt idx="21">
                  <c:v>3.5999999046325684</c:v>
                </c:pt>
                <c:pt idx="22">
                  <c:v>3.5999999046325684</c:v>
                </c:pt>
                <c:pt idx="23">
                  <c:v>3.5999999046325684</c:v>
                </c:pt>
                <c:pt idx="24">
                  <c:v>3.5999999046325684</c:v>
                </c:pt>
                <c:pt idx="25">
                  <c:v>3.5999999046325684</c:v>
                </c:pt>
                <c:pt idx="26">
                  <c:v>3.5999999046325684</c:v>
                </c:pt>
                <c:pt idx="27">
                  <c:v>3.5999999046325684</c:v>
                </c:pt>
                <c:pt idx="28">
                  <c:v>3.5999999046325684</c:v>
                </c:pt>
                <c:pt idx="29">
                  <c:v>3.5999999046325684</c:v>
                </c:pt>
                <c:pt idx="30">
                  <c:v>3.5999999046325684</c:v>
                </c:pt>
                <c:pt idx="31">
                  <c:v>3.5999999046325684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9C95-4996-8772-BE09E6EA23E4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2.5508135058442862</c:v>
                </c:pt>
                <c:pt idx="1">
                  <c:v>2.5508135058442862</c:v>
                </c:pt>
                <c:pt idx="2">
                  <c:v>2.5508135058442862</c:v>
                </c:pt>
                <c:pt idx="3">
                  <c:v>2.5508135058442862</c:v>
                </c:pt>
                <c:pt idx="4">
                  <c:v>2.5508135058442862</c:v>
                </c:pt>
                <c:pt idx="5">
                  <c:v>2.5508135058442862</c:v>
                </c:pt>
                <c:pt idx="6">
                  <c:v>2.5508135058442862</c:v>
                </c:pt>
                <c:pt idx="7">
                  <c:v>2.5508135058442862</c:v>
                </c:pt>
                <c:pt idx="8">
                  <c:v>2.5508135058442862</c:v>
                </c:pt>
                <c:pt idx="9">
                  <c:v>2.5508135058442862</c:v>
                </c:pt>
                <c:pt idx="10">
                  <c:v>2.5508135058442862</c:v>
                </c:pt>
                <c:pt idx="11">
                  <c:v>2.5508135058442862</c:v>
                </c:pt>
                <c:pt idx="12">
                  <c:v>2.5508135058442862</c:v>
                </c:pt>
                <c:pt idx="13">
                  <c:v>2.5508135058442862</c:v>
                </c:pt>
                <c:pt idx="14">
                  <c:v>2.5508135058442862</c:v>
                </c:pt>
                <c:pt idx="15">
                  <c:v>2.5508135058442862</c:v>
                </c:pt>
                <c:pt idx="16">
                  <c:v>2.5508135058442862</c:v>
                </c:pt>
                <c:pt idx="17">
                  <c:v>2.5508135058442862</c:v>
                </c:pt>
                <c:pt idx="18">
                  <c:v>2.5508135058442862</c:v>
                </c:pt>
                <c:pt idx="19">
                  <c:v>2.5508135058442862</c:v>
                </c:pt>
                <c:pt idx="20">
                  <c:v>2.5508135058442862</c:v>
                </c:pt>
                <c:pt idx="21">
                  <c:v>2.5508135058442862</c:v>
                </c:pt>
                <c:pt idx="22">
                  <c:v>2.5508135058442862</c:v>
                </c:pt>
                <c:pt idx="23">
                  <c:v>2.5508135058442862</c:v>
                </c:pt>
                <c:pt idx="24">
                  <c:v>2.5508135058442862</c:v>
                </c:pt>
                <c:pt idx="25">
                  <c:v>2.5508135058442862</c:v>
                </c:pt>
                <c:pt idx="26">
                  <c:v>2.5508135058442862</c:v>
                </c:pt>
                <c:pt idx="27">
                  <c:v>2.5508135058442862</c:v>
                </c:pt>
                <c:pt idx="28">
                  <c:v>2.5508135058442862</c:v>
                </c:pt>
                <c:pt idx="29">
                  <c:v>2.5508135058442862</c:v>
                </c:pt>
                <c:pt idx="30">
                  <c:v>2.5508135058442862</c:v>
                </c:pt>
                <c:pt idx="31">
                  <c:v>2.5508135058442862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0.8819063423581377</c:v>
                </c:pt>
                <c:pt idx="1">
                  <c:v>0.8819063423581377</c:v>
                </c:pt>
                <c:pt idx="2">
                  <c:v>0.8819063423581377</c:v>
                </c:pt>
                <c:pt idx="3">
                  <c:v>0.8819063423581377</c:v>
                </c:pt>
                <c:pt idx="4">
                  <c:v>0.8819063423581377</c:v>
                </c:pt>
                <c:pt idx="5">
                  <c:v>0.8819063423581377</c:v>
                </c:pt>
                <c:pt idx="6">
                  <c:v>0.8819063423581377</c:v>
                </c:pt>
                <c:pt idx="7">
                  <c:v>0.8819063423581377</c:v>
                </c:pt>
                <c:pt idx="8">
                  <c:v>0.8819063423581377</c:v>
                </c:pt>
                <c:pt idx="9">
                  <c:v>0.8819063423581377</c:v>
                </c:pt>
                <c:pt idx="10">
                  <c:v>0.8819063423581377</c:v>
                </c:pt>
                <c:pt idx="11">
                  <c:v>0.8819063423581377</c:v>
                </c:pt>
                <c:pt idx="12">
                  <c:v>0.8819063423581377</c:v>
                </c:pt>
                <c:pt idx="13">
                  <c:v>0.8819063423581377</c:v>
                </c:pt>
                <c:pt idx="14">
                  <c:v>0.8819063423581377</c:v>
                </c:pt>
                <c:pt idx="15">
                  <c:v>0.8819063423581377</c:v>
                </c:pt>
                <c:pt idx="16">
                  <c:v>0.8819063423581377</c:v>
                </c:pt>
                <c:pt idx="17">
                  <c:v>0.8819063423581377</c:v>
                </c:pt>
                <c:pt idx="18">
                  <c:v>0.8819063423581377</c:v>
                </c:pt>
                <c:pt idx="19">
                  <c:v>0.8819063423581377</c:v>
                </c:pt>
                <c:pt idx="20">
                  <c:v>0.8819063423581377</c:v>
                </c:pt>
                <c:pt idx="21">
                  <c:v>0.8819063423581377</c:v>
                </c:pt>
                <c:pt idx="22">
                  <c:v>0.8819063423581377</c:v>
                </c:pt>
                <c:pt idx="23">
                  <c:v>0.8819063423581377</c:v>
                </c:pt>
                <c:pt idx="24">
                  <c:v>0.8819063423581377</c:v>
                </c:pt>
                <c:pt idx="25">
                  <c:v>0.8819063423581377</c:v>
                </c:pt>
                <c:pt idx="26">
                  <c:v>0.8819063423581377</c:v>
                </c:pt>
                <c:pt idx="27">
                  <c:v>0.8819063423581377</c:v>
                </c:pt>
                <c:pt idx="28">
                  <c:v>0.8819063423581377</c:v>
                </c:pt>
                <c:pt idx="29">
                  <c:v>0.8819063423581377</c:v>
                </c:pt>
                <c:pt idx="30">
                  <c:v>0.8819063423581377</c:v>
                </c:pt>
                <c:pt idx="31">
                  <c:v>0.8819063423581377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9C95-4996-8772-BE09E6EA23E4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5.2717980643062301</c:v>
                </c:pt>
                <c:pt idx="1">
                  <c:v>5.2717980643062301</c:v>
                </c:pt>
                <c:pt idx="2">
                  <c:v>5.2717980643062301</c:v>
                </c:pt>
                <c:pt idx="3">
                  <c:v>5.2717980643062301</c:v>
                </c:pt>
                <c:pt idx="4">
                  <c:v>5.2717980643062301</c:v>
                </c:pt>
                <c:pt idx="5">
                  <c:v>5.2717980643062301</c:v>
                </c:pt>
                <c:pt idx="6">
                  <c:v>5.2717980643062301</c:v>
                </c:pt>
                <c:pt idx="7">
                  <c:v>5.2717980643062301</c:v>
                </c:pt>
                <c:pt idx="8">
                  <c:v>5.2717980643062301</c:v>
                </c:pt>
                <c:pt idx="9">
                  <c:v>5.2717980643062301</c:v>
                </c:pt>
                <c:pt idx="10">
                  <c:v>5.2717980643062301</c:v>
                </c:pt>
                <c:pt idx="11">
                  <c:v>5.2717980643062301</c:v>
                </c:pt>
                <c:pt idx="12">
                  <c:v>5.2717980643062301</c:v>
                </c:pt>
                <c:pt idx="13">
                  <c:v>5.2717980643062301</c:v>
                </c:pt>
                <c:pt idx="14">
                  <c:v>5.2717980643062301</c:v>
                </c:pt>
                <c:pt idx="15">
                  <c:v>5.2717980643062301</c:v>
                </c:pt>
                <c:pt idx="16">
                  <c:v>5.2717980643062301</c:v>
                </c:pt>
                <c:pt idx="17">
                  <c:v>5.2717980643062301</c:v>
                </c:pt>
                <c:pt idx="18">
                  <c:v>5.2717980643062301</c:v>
                </c:pt>
                <c:pt idx="19">
                  <c:v>5.2717980643062301</c:v>
                </c:pt>
                <c:pt idx="20">
                  <c:v>5.2717980643062301</c:v>
                </c:pt>
                <c:pt idx="21">
                  <c:v>5.2717980643062301</c:v>
                </c:pt>
                <c:pt idx="22">
                  <c:v>5.2717980643062301</c:v>
                </c:pt>
                <c:pt idx="23">
                  <c:v>5.2717980643062301</c:v>
                </c:pt>
                <c:pt idx="24">
                  <c:v>5.2717980643062301</c:v>
                </c:pt>
                <c:pt idx="25">
                  <c:v>5.2717980643062301</c:v>
                </c:pt>
                <c:pt idx="26">
                  <c:v>5.2717980643062301</c:v>
                </c:pt>
                <c:pt idx="27">
                  <c:v>5.2717980643062301</c:v>
                </c:pt>
                <c:pt idx="28">
                  <c:v>5.2717980643062301</c:v>
                </c:pt>
                <c:pt idx="29">
                  <c:v>5.2717980643062301</c:v>
                </c:pt>
                <c:pt idx="30">
                  <c:v>5.2717980643062301</c:v>
                </c:pt>
                <c:pt idx="31">
                  <c:v>5.2717980643062301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0.91863725774052185</c:v>
                </c:pt>
                <c:pt idx="1">
                  <c:v>0.91863725774052185</c:v>
                </c:pt>
                <c:pt idx="2">
                  <c:v>0.91863725774052185</c:v>
                </c:pt>
                <c:pt idx="3">
                  <c:v>0.91863725774052185</c:v>
                </c:pt>
                <c:pt idx="4">
                  <c:v>0.91863725774052185</c:v>
                </c:pt>
                <c:pt idx="5">
                  <c:v>0.91863725774052185</c:v>
                </c:pt>
                <c:pt idx="6">
                  <c:v>0.91863725774052185</c:v>
                </c:pt>
                <c:pt idx="7">
                  <c:v>0.91863725774052185</c:v>
                </c:pt>
                <c:pt idx="8">
                  <c:v>0.91863725774052185</c:v>
                </c:pt>
                <c:pt idx="9">
                  <c:v>0.91863725774052185</c:v>
                </c:pt>
                <c:pt idx="10">
                  <c:v>0.91863725774052185</c:v>
                </c:pt>
                <c:pt idx="11">
                  <c:v>0.91863725774052185</c:v>
                </c:pt>
                <c:pt idx="12">
                  <c:v>0.91863725774052185</c:v>
                </c:pt>
                <c:pt idx="13">
                  <c:v>0.91863725774052185</c:v>
                </c:pt>
                <c:pt idx="14">
                  <c:v>0.91863725774052185</c:v>
                </c:pt>
                <c:pt idx="15">
                  <c:v>0.91863725774052185</c:v>
                </c:pt>
                <c:pt idx="16">
                  <c:v>0.91863725774052185</c:v>
                </c:pt>
                <c:pt idx="17">
                  <c:v>0.91863725774052185</c:v>
                </c:pt>
                <c:pt idx="18">
                  <c:v>0.91863725774052185</c:v>
                </c:pt>
                <c:pt idx="19">
                  <c:v>0.91863725774052185</c:v>
                </c:pt>
                <c:pt idx="20">
                  <c:v>0.91863725774052185</c:v>
                </c:pt>
                <c:pt idx="21">
                  <c:v>0.91863725774052185</c:v>
                </c:pt>
                <c:pt idx="22">
                  <c:v>0.91863725774052185</c:v>
                </c:pt>
                <c:pt idx="23">
                  <c:v>0.91863725774052185</c:v>
                </c:pt>
                <c:pt idx="24">
                  <c:v>0.91863725774052185</c:v>
                </c:pt>
                <c:pt idx="25">
                  <c:v>0.91863725774052185</c:v>
                </c:pt>
                <c:pt idx="26">
                  <c:v>0.91863725774052185</c:v>
                </c:pt>
                <c:pt idx="27">
                  <c:v>0.91863725774052185</c:v>
                </c:pt>
                <c:pt idx="28">
                  <c:v>0.91863725774052185</c:v>
                </c:pt>
                <c:pt idx="29">
                  <c:v>0.91863725774052185</c:v>
                </c:pt>
                <c:pt idx="30">
                  <c:v>0.91863725774052185</c:v>
                </c:pt>
                <c:pt idx="31">
                  <c:v>0.91863725774052185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9C95-4996-8772-BE09E6EA23E4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3.3533233680977133</c:v>
                </c:pt>
                <c:pt idx="1">
                  <c:v>3.3533233680977133</c:v>
                </c:pt>
                <c:pt idx="2">
                  <c:v>3.3533233680977133</c:v>
                </c:pt>
                <c:pt idx="3">
                  <c:v>3.3533233680977133</c:v>
                </c:pt>
                <c:pt idx="4">
                  <c:v>3.3533233680977133</c:v>
                </c:pt>
                <c:pt idx="5">
                  <c:v>3.3533233680977133</c:v>
                </c:pt>
                <c:pt idx="6">
                  <c:v>3.3533233680977133</c:v>
                </c:pt>
                <c:pt idx="7">
                  <c:v>3.3533233680977133</c:v>
                </c:pt>
                <c:pt idx="8">
                  <c:v>3.3533233680977133</c:v>
                </c:pt>
                <c:pt idx="9">
                  <c:v>3.3533233680977133</c:v>
                </c:pt>
                <c:pt idx="10">
                  <c:v>3.3533233680977133</c:v>
                </c:pt>
                <c:pt idx="11">
                  <c:v>3.3533233680977133</c:v>
                </c:pt>
                <c:pt idx="12">
                  <c:v>3.3533233680977133</c:v>
                </c:pt>
                <c:pt idx="13">
                  <c:v>3.3533233680977133</c:v>
                </c:pt>
                <c:pt idx="14">
                  <c:v>3.3533233680977133</c:v>
                </c:pt>
                <c:pt idx="15">
                  <c:v>3.3533233680977133</c:v>
                </c:pt>
                <c:pt idx="16">
                  <c:v>3.3533233680977133</c:v>
                </c:pt>
                <c:pt idx="17">
                  <c:v>3.3533233680977133</c:v>
                </c:pt>
                <c:pt idx="18">
                  <c:v>3.3533233680977133</c:v>
                </c:pt>
                <c:pt idx="19">
                  <c:v>3.3533233680977133</c:v>
                </c:pt>
                <c:pt idx="20">
                  <c:v>3.3533233680977133</c:v>
                </c:pt>
                <c:pt idx="21">
                  <c:v>3.3533233680977133</c:v>
                </c:pt>
                <c:pt idx="22">
                  <c:v>3.3533233680977133</c:v>
                </c:pt>
                <c:pt idx="23">
                  <c:v>3.3533233680977133</c:v>
                </c:pt>
                <c:pt idx="24">
                  <c:v>3.3533233680977133</c:v>
                </c:pt>
                <c:pt idx="25">
                  <c:v>3.3533233680977133</c:v>
                </c:pt>
                <c:pt idx="26">
                  <c:v>3.3533233680977133</c:v>
                </c:pt>
                <c:pt idx="27">
                  <c:v>3.3533233680977133</c:v>
                </c:pt>
                <c:pt idx="28">
                  <c:v>3.3533233680977133</c:v>
                </c:pt>
                <c:pt idx="29">
                  <c:v>3.3533233680977133</c:v>
                </c:pt>
                <c:pt idx="30">
                  <c:v>3.3533233680977133</c:v>
                </c:pt>
                <c:pt idx="31">
                  <c:v>3.3533233680977133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2.7261509686366132</c:v>
                </c:pt>
                <c:pt idx="1">
                  <c:v>2.7261509686366132</c:v>
                </c:pt>
                <c:pt idx="2">
                  <c:v>2.7261509686366132</c:v>
                </c:pt>
                <c:pt idx="3">
                  <c:v>2.7261509686366132</c:v>
                </c:pt>
                <c:pt idx="4">
                  <c:v>2.7261509686366132</c:v>
                </c:pt>
                <c:pt idx="5">
                  <c:v>2.7261509686366132</c:v>
                </c:pt>
                <c:pt idx="6">
                  <c:v>2.7261509686366132</c:v>
                </c:pt>
                <c:pt idx="7">
                  <c:v>2.7261509686366132</c:v>
                </c:pt>
                <c:pt idx="8">
                  <c:v>2.7261509686366132</c:v>
                </c:pt>
                <c:pt idx="9">
                  <c:v>2.7261509686366132</c:v>
                </c:pt>
                <c:pt idx="10">
                  <c:v>2.7261509686366132</c:v>
                </c:pt>
                <c:pt idx="11">
                  <c:v>2.7261509686366132</c:v>
                </c:pt>
                <c:pt idx="12">
                  <c:v>2.7261509686366132</c:v>
                </c:pt>
                <c:pt idx="13">
                  <c:v>2.7261509686366132</c:v>
                </c:pt>
                <c:pt idx="14">
                  <c:v>2.7261509686366132</c:v>
                </c:pt>
                <c:pt idx="15">
                  <c:v>2.7261509686366132</c:v>
                </c:pt>
                <c:pt idx="16">
                  <c:v>2.7261509686366132</c:v>
                </c:pt>
                <c:pt idx="17">
                  <c:v>2.7261509686366132</c:v>
                </c:pt>
                <c:pt idx="18">
                  <c:v>2.7261509686366132</c:v>
                </c:pt>
                <c:pt idx="19">
                  <c:v>2.7261509686366132</c:v>
                </c:pt>
                <c:pt idx="20">
                  <c:v>2.7261509686366132</c:v>
                </c:pt>
                <c:pt idx="21">
                  <c:v>2.7261509686366132</c:v>
                </c:pt>
                <c:pt idx="22">
                  <c:v>2.7261509686366132</c:v>
                </c:pt>
                <c:pt idx="23">
                  <c:v>2.7261509686366132</c:v>
                </c:pt>
                <c:pt idx="24">
                  <c:v>2.7261509686366132</c:v>
                </c:pt>
                <c:pt idx="25">
                  <c:v>2.7261509686366132</c:v>
                </c:pt>
                <c:pt idx="26">
                  <c:v>2.7261509686366132</c:v>
                </c:pt>
                <c:pt idx="27">
                  <c:v>2.7261509686366132</c:v>
                </c:pt>
                <c:pt idx="28">
                  <c:v>2.7261509686366132</c:v>
                </c:pt>
                <c:pt idx="29">
                  <c:v>2.7261509686366132</c:v>
                </c:pt>
                <c:pt idx="30">
                  <c:v>2.7261509686366132</c:v>
                </c:pt>
                <c:pt idx="31">
                  <c:v>2.7261509686366132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9C95-4996-8772-BE09E6EA23E4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4.3735740188221861</c:v>
                </c:pt>
                <c:pt idx="1">
                  <c:v>4.3735740188221861</c:v>
                </c:pt>
                <c:pt idx="2">
                  <c:v>4.3735740188221861</c:v>
                </c:pt>
                <c:pt idx="3">
                  <c:v>4.3735740188221861</c:v>
                </c:pt>
                <c:pt idx="4">
                  <c:v>4.3735740188221861</c:v>
                </c:pt>
                <c:pt idx="5">
                  <c:v>4.3735740188221861</c:v>
                </c:pt>
                <c:pt idx="6">
                  <c:v>4.3735740188221861</c:v>
                </c:pt>
                <c:pt idx="7">
                  <c:v>4.3735740188221861</c:v>
                </c:pt>
                <c:pt idx="8">
                  <c:v>4.3735740188221861</c:v>
                </c:pt>
                <c:pt idx="9">
                  <c:v>4.3735740188221861</c:v>
                </c:pt>
                <c:pt idx="10">
                  <c:v>4.3735740188221861</c:v>
                </c:pt>
                <c:pt idx="11">
                  <c:v>4.3735740188221861</c:v>
                </c:pt>
                <c:pt idx="12">
                  <c:v>4.3735740188221861</c:v>
                </c:pt>
                <c:pt idx="13">
                  <c:v>4.3735740188221861</c:v>
                </c:pt>
                <c:pt idx="14">
                  <c:v>4.3735740188221861</c:v>
                </c:pt>
                <c:pt idx="15">
                  <c:v>4.3735740188221861</c:v>
                </c:pt>
                <c:pt idx="16">
                  <c:v>4.3735740188221861</c:v>
                </c:pt>
                <c:pt idx="17">
                  <c:v>4.3735740188221861</c:v>
                </c:pt>
                <c:pt idx="18">
                  <c:v>4.3735740188221861</c:v>
                </c:pt>
                <c:pt idx="19">
                  <c:v>4.3735740188221861</c:v>
                </c:pt>
                <c:pt idx="20">
                  <c:v>4.3735740188221861</c:v>
                </c:pt>
                <c:pt idx="21">
                  <c:v>4.3735740188221861</c:v>
                </c:pt>
                <c:pt idx="22">
                  <c:v>4.3735740188221861</c:v>
                </c:pt>
                <c:pt idx="23">
                  <c:v>4.3735740188221861</c:v>
                </c:pt>
                <c:pt idx="24">
                  <c:v>4.3735740188221861</c:v>
                </c:pt>
                <c:pt idx="25">
                  <c:v>4.3735740188221861</c:v>
                </c:pt>
                <c:pt idx="26">
                  <c:v>4.3735740188221861</c:v>
                </c:pt>
                <c:pt idx="27">
                  <c:v>4.3735740188221861</c:v>
                </c:pt>
                <c:pt idx="28">
                  <c:v>4.3735740188221861</c:v>
                </c:pt>
                <c:pt idx="29">
                  <c:v>4.3735740188221861</c:v>
                </c:pt>
                <c:pt idx="30">
                  <c:v>4.3735740188221861</c:v>
                </c:pt>
                <c:pt idx="31">
                  <c:v>4.3735740188221861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2.7483914883909044</c:v>
                </c:pt>
                <c:pt idx="1">
                  <c:v>2.7483914883909044</c:v>
                </c:pt>
                <c:pt idx="2">
                  <c:v>2.7483914883909044</c:v>
                </c:pt>
                <c:pt idx="3">
                  <c:v>2.7483914883909044</c:v>
                </c:pt>
                <c:pt idx="4">
                  <c:v>2.7483914883909044</c:v>
                </c:pt>
                <c:pt idx="5">
                  <c:v>2.7483914883909044</c:v>
                </c:pt>
                <c:pt idx="6">
                  <c:v>2.7483914883909044</c:v>
                </c:pt>
                <c:pt idx="7">
                  <c:v>2.7483914883909044</c:v>
                </c:pt>
                <c:pt idx="8">
                  <c:v>2.7483914883909044</c:v>
                </c:pt>
                <c:pt idx="9">
                  <c:v>2.7483914883909044</c:v>
                </c:pt>
                <c:pt idx="10">
                  <c:v>2.7483914883909044</c:v>
                </c:pt>
                <c:pt idx="11">
                  <c:v>2.7483914883909044</c:v>
                </c:pt>
                <c:pt idx="12">
                  <c:v>2.7483914883909044</c:v>
                </c:pt>
                <c:pt idx="13">
                  <c:v>2.7483914883909044</c:v>
                </c:pt>
                <c:pt idx="14">
                  <c:v>2.7483914883909044</c:v>
                </c:pt>
                <c:pt idx="15">
                  <c:v>2.7483914883909044</c:v>
                </c:pt>
                <c:pt idx="16">
                  <c:v>2.7483914883909044</c:v>
                </c:pt>
                <c:pt idx="17">
                  <c:v>2.7483914883909044</c:v>
                </c:pt>
                <c:pt idx="18">
                  <c:v>2.7483914883909044</c:v>
                </c:pt>
                <c:pt idx="19">
                  <c:v>2.7483914883909044</c:v>
                </c:pt>
                <c:pt idx="20">
                  <c:v>2.7483914883909044</c:v>
                </c:pt>
                <c:pt idx="21">
                  <c:v>2.7483914883909044</c:v>
                </c:pt>
                <c:pt idx="22">
                  <c:v>2.7483914883909044</c:v>
                </c:pt>
                <c:pt idx="23">
                  <c:v>2.7483914883909044</c:v>
                </c:pt>
                <c:pt idx="24">
                  <c:v>2.7483914883909044</c:v>
                </c:pt>
                <c:pt idx="25">
                  <c:v>2.7483914883909044</c:v>
                </c:pt>
                <c:pt idx="26">
                  <c:v>2.7483914883909044</c:v>
                </c:pt>
                <c:pt idx="27">
                  <c:v>2.7483914883909044</c:v>
                </c:pt>
                <c:pt idx="28">
                  <c:v>2.7483914883909044</c:v>
                </c:pt>
                <c:pt idx="29">
                  <c:v>2.7483914883909044</c:v>
                </c:pt>
                <c:pt idx="30">
                  <c:v>2.7483914883909044</c:v>
                </c:pt>
                <c:pt idx="31">
                  <c:v>2.7483914883909044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9C95-4996-8772-BE09E6EA23E4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-6.4499998092651367</c:v>
                </c:pt>
                <c:pt idx="1">
                  <c:v>-6.4499998092651367</c:v>
                </c:pt>
                <c:pt idx="2">
                  <c:v>-6.4499998092651367</c:v>
                </c:pt>
                <c:pt idx="3">
                  <c:v>-6.4499998092651367</c:v>
                </c:pt>
                <c:pt idx="4">
                  <c:v>-6.4499998092651367</c:v>
                </c:pt>
                <c:pt idx="5">
                  <c:v>-6.4499998092651367</c:v>
                </c:pt>
                <c:pt idx="6">
                  <c:v>-6.4499998092651367</c:v>
                </c:pt>
                <c:pt idx="7">
                  <c:v>-6.4499998092651367</c:v>
                </c:pt>
                <c:pt idx="8">
                  <c:v>-6.4499998092651367</c:v>
                </c:pt>
                <c:pt idx="9">
                  <c:v>-6.4499998092651367</c:v>
                </c:pt>
                <c:pt idx="10">
                  <c:v>-6.4499998092651367</c:v>
                </c:pt>
                <c:pt idx="11">
                  <c:v>-6.4499998092651367</c:v>
                </c:pt>
                <c:pt idx="12">
                  <c:v>-6.4499998092651367</c:v>
                </c:pt>
                <c:pt idx="13">
                  <c:v>-6.4499998092651367</c:v>
                </c:pt>
                <c:pt idx="14">
                  <c:v>-6.4499998092651367</c:v>
                </c:pt>
                <c:pt idx="15">
                  <c:v>-6.4499998092651367</c:v>
                </c:pt>
                <c:pt idx="16">
                  <c:v>-6.4499998092651367</c:v>
                </c:pt>
                <c:pt idx="17">
                  <c:v>-6.4499998092651367</c:v>
                </c:pt>
                <c:pt idx="18">
                  <c:v>-6.4499998092651367</c:v>
                </c:pt>
                <c:pt idx="19">
                  <c:v>-6.4499998092651367</c:v>
                </c:pt>
                <c:pt idx="20">
                  <c:v>-6.4499998092651367</c:v>
                </c:pt>
                <c:pt idx="21">
                  <c:v>-6.4499998092651367</c:v>
                </c:pt>
                <c:pt idx="22">
                  <c:v>-6.4499998092651367</c:v>
                </c:pt>
                <c:pt idx="23">
                  <c:v>-6.4499998092651367</c:v>
                </c:pt>
                <c:pt idx="24">
                  <c:v>-6.4499998092651367</c:v>
                </c:pt>
                <c:pt idx="25">
                  <c:v>-6.4499998092651367</c:v>
                </c:pt>
                <c:pt idx="26">
                  <c:v>-6.4499998092651367</c:v>
                </c:pt>
                <c:pt idx="27">
                  <c:v>-6.4499998092651367</c:v>
                </c:pt>
                <c:pt idx="28">
                  <c:v>-6.4499998092651367</c:v>
                </c:pt>
                <c:pt idx="29">
                  <c:v>-6.4499998092651367</c:v>
                </c:pt>
                <c:pt idx="30">
                  <c:v>-6.4499998092651367</c:v>
                </c:pt>
                <c:pt idx="31">
                  <c:v>-6.4499998092651367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  <c:pt idx="5">
                  <c:v>0.89999997615814209</c:v>
                </c:pt>
                <c:pt idx="6">
                  <c:v>0.89999997615814209</c:v>
                </c:pt>
                <c:pt idx="7">
                  <c:v>0.89999997615814209</c:v>
                </c:pt>
                <c:pt idx="8">
                  <c:v>0.89999997615814209</c:v>
                </c:pt>
                <c:pt idx="9">
                  <c:v>0.89999997615814209</c:v>
                </c:pt>
                <c:pt idx="10">
                  <c:v>0.89999997615814209</c:v>
                </c:pt>
                <c:pt idx="11">
                  <c:v>0.89999997615814209</c:v>
                </c:pt>
                <c:pt idx="12">
                  <c:v>0.89999997615814209</c:v>
                </c:pt>
                <c:pt idx="13">
                  <c:v>0.89999997615814209</c:v>
                </c:pt>
                <c:pt idx="14">
                  <c:v>0.89999997615814209</c:v>
                </c:pt>
                <c:pt idx="15">
                  <c:v>0.89999997615814209</c:v>
                </c:pt>
                <c:pt idx="16">
                  <c:v>0.89999997615814209</c:v>
                </c:pt>
                <c:pt idx="17">
                  <c:v>0.89999997615814209</c:v>
                </c:pt>
                <c:pt idx="18">
                  <c:v>0.89999997615814209</c:v>
                </c:pt>
                <c:pt idx="19">
                  <c:v>0.89999997615814209</c:v>
                </c:pt>
                <c:pt idx="20">
                  <c:v>0.89999997615814209</c:v>
                </c:pt>
                <c:pt idx="21">
                  <c:v>0.89999997615814209</c:v>
                </c:pt>
                <c:pt idx="22">
                  <c:v>0.89999997615814209</c:v>
                </c:pt>
                <c:pt idx="23">
                  <c:v>0.89999997615814209</c:v>
                </c:pt>
                <c:pt idx="24">
                  <c:v>0.89999997615814209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0.89999997615814209</c:v>
                </c:pt>
                <c:pt idx="28">
                  <c:v>0.89999997615814209</c:v>
                </c:pt>
                <c:pt idx="29">
                  <c:v>0.89999997615814209</c:v>
                </c:pt>
                <c:pt idx="30">
                  <c:v>0.89999997615814209</c:v>
                </c:pt>
                <c:pt idx="3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9C95-4996-8772-BE09E6EA23E4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-5.8499999046325684</c:v>
                </c:pt>
                <c:pt idx="1">
                  <c:v>-5.8499999046325684</c:v>
                </c:pt>
                <c:pt idx="2">
                  <c:v>-5.8499999046325684</c:v>
                </c:pt>
                <c:pt idx="3">
                  <c:v>-5.8499999046325684</c:v>
                </c:pt>
                <c:pt idx="4">
                  <c:v>-5.8499999046325684</c:v>
                </c:pt>
                <c:pt idx="5">
                  <c:v>-5.8499999046325684</c:v>
                </c:pt>
                <c:pt idx="6">
                  <c:v>-5.8499999046325684</c:v>
                </c:pt>
                <c:pt idx="7">
                  <c:v>-5.8499999046325684</c:v>
                </c:pt>
                <c:pt idx="8">
                  <c:v>-5.8499999046325684</c:v>
                </c:pt>
                <c:pt idx="9">
                  <c:v>-5.8499999046325684</c:v>
                </c:pt>
                <c:pt idx="10">
                  <c:v>-5.8499999046325684</c:v>
                </c:pt>
                <c:pt idx="11">
                  <c:v>-5.8499999046325684</c:v>
                </c:pt>
                <c:pt idx="12">
                  <c:v>-5.8499999046325684</c:v>
                </c:pt>
                <c:pt idx="13">
                  <c:v>-5.8499999046325684</c:v>
                </c:pt>
                <c:pt idx="14">
                  <c:v>-5.8499999046325684</c:v>
                </c:pt>
                <c:pt idx="15">
                  <c:v>-5.8499999046325684</c:v>
                </c:pt>
                <c:pt idx="16">
                  <c:v>-5.8499999046325684</c:v>
                </c:pt>
                <c:pt idx="17">
                  <c:v>-5.8499999046325684</c:v>
                </c:pt>
                <c:pt idx="18">
                  <c:v>-5.8499999046325684</c:v>
                </c:pt>
                <c:pt idx="19">
                  <c:v>-5.8499999046325684</c:v>
                </c:pt>
                <c:pt idx="20">
                  <c:v>-5.8499999046325684</c:v>
                </c:pt>
                <c:pt idx="21">
                  <c:v>-5.8499999046325684</c:v>
                </c:pt>
                <c:pt idx="22">
                  <c:v>-5.8499999046325684</c:v>
                </c:pt>
                <c:pt idx="23">
                  <c:v>-5.8499999046325684</c:v>
                </c:pt>
                <c:pt idx="24">
                  <c:v>-5.8499999046325684</c:v>
                </c:pt>
                <c:pt idx="25">
                  <c:v>-5.8499999046325684</c:v>
                </c:pt>
                <c:pt idx="26">
                  <c:v>-5.8499999046325684</c:v>
                </c:pt>
                <c:pt idx="27">
                  <c:v>-5.8499999046325684</c:v>
                </c:pt>
                <c:pt idx="28">
                  <c:v>-5.8499999046325684</c:v>
                </c:pt>
                <c:pt idx="29">
                  <c:v>-5.8499999046325684</c:v>
                </c:pt>
                <c:pt idx="30">
                  <c:v>-5.8499999046325684</c:v>
                </c:pt>
                <c:pt idx="31">
                  <c:v>-5.8499999046325684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  <c:pt idx="5">
                  <c:v>0.89999997615814209</c:v>
                </c:pt>
                <c:pt idx="6">
                  <c:v>0.89999997615814209</c:v>
                </c:pt>
                <c:pt idx="7">
                  <c:v>0.89999997615814209</c:v>
                </c:pt>
                <c:pt idx="8">
                  <c:v>0.89999997615814209</c:v>
                </c:pt>
                <c:pt idx="9">
                  <c:v>0.89999997615814209</c:v>
                </c:pt>
                <c:pt idx="10">
                  <c:v>0.89999997615814209</c:v>
                </c:pt>
                <c:pt idx="11">
                  <c:v>0.89999997615814209</c:v>
                </c:pt>
                <c:pt idx="12">
                  <c:v>0.89999997615814209</c:v>
                </c:pt>
                <c:pt idx="13">
                  <c:v>0.89999997615814209</c:v>
                </c:pt>
                <c:pt idx="14">
                  <c:v>0.89999997615814209</c:v>
                </c:pt>
                <c:pt idx="15">
                  <c:v>0.89999997615814209</c:v>
                </c:pt>
                <c:pt idx="16">
                  <c:v>0.89999997615814209</c:v>
                </c:pt>
                <c:pt idx="17">
                  <c:v>0.89999997615814209</c:v>
                </c:pt>
                <c:pt idx="18">
                  <c:v>0.89999997615814209</c:v>
                </c:pt>
                <c:pt idx="19">
                  <c:v>0.89999997615814209</c:v>
                </c:pt>
                <c:pt idx="20">
                  <c:v>0.89999997615814209</c:v>
                </c:pt>
                <c:pt idx="21">
                  <c:v>0.89999997615814209</c:v>
                </c:pt>
                <c:pt idx="22">
                  <c:v>0.89999997615814209</c:v>
                </c:pt>
                <c:pt idx="23">
                  <c:v>0.89999997615814209</c:v>
                </c:pt>
                <c:pt idx="24">
                  <c:v>0.89999997615814209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0.89999997615814209</c:v>
                </c:pt>
                <c:pt idx="28">
                  <c:v>0.89999997615814209</c:v>
                </c:pt>
                <c:pt idx="29">
                  <c:v>0.89999997615814209</c:v>
                </c:pt>
                <c:pt idx="30">
                  <c:v>0.89999997615814209</c:v>
                </c:pt>
                <c:pt idx="3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9C95-4996-8772-BE09E6EA23E4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-4.3499999046325684</c:v>
                </c:pt>
                <c:pt idx="1">
                  <c:v>-4.3499999046325684</c:v>
                </c:pt>
                <c:pt idx="2">
                  <c:v>-4.3499999046325684</c:v>
                </c:pt>
                <c:pt idx="3">
                  <c:v>-4.3499999046325684</c:v>
                </c:pt>
                <c:pt idx="4">
                  <c:v>-4.3499999046325684</c:v>
                </c:pt>
                <c:pt idx="5">
                  <c:v>-4.3499999046325684</c:v>
                </c:pt>
                <c:pt idx="6">
                  <c:v>-4.3499999046325684</c:v>
                </c:pt>
                <c:pt idx="7">
                  <c:v>-4.3499999046325684</c:v>
                </c:pt>
                <c:pt idx="8">
                  <c:v>-4.3499999046325684</c:v>
                </c:pt>
                <c:pt idx="9">
                  <c:v>-4.3499999046325684</c:v>
                </c:pt>
                <c:pt idx="10">
                  <c:v>-4.3499999046325684</c:v>
                </c:pt>
                <c:pt idx="11">
                  <c:v>-4.3499999046325684</c:v>
                </c:pt>
                <c:pt idx="12">
                  <c:v>-4.3499999046325684</c:v>
                </c:pt>
                <c:pt idx="13">
                  <c:v>-4.3499999046325684</c:v>
                </c:pt>
                <c:pt idx="14">
                  <c:v>-4.3499999046325684</c:v>
                </c:pt>
                <c:pt idx="15">
                  <c:v>-4.3499999046325684</c:v>
                </c:pt>
                <c:pt idx="16">
                  <c:v>-4.3499999046325684</c:v>
                </c:pt>
                <c:pt idx="17">
                  <c:v>-4.3499999046325684</c:v>
                </c:pt>
                <c:pt idx="18">
                  <c:v>-4.3499999046325684</c:v>
                </c:pt>
                <c:pt idx="19">
                  <c:v>-4.3499999046325684</c:v>
                </c:pt>
                <c:pt idx="20">
                  <c:v>-4.3499999046325684</c:v>
                </c:pt>
                <c:pt idx="21">
                  <c:v>-4.3499999046325684</c:v>
                </c:pt>
                <c:pt idx="22">
                  <c:v>-4.3499999046325684</c:v>
                </c:pt>
                <c:pt idx="23">
                  <c:v>-4.3499999046325684</c:v>
                </c:pt>
                <c:pt idx="24">
                  <c:v>-4.3499999046325684</c:v>
                </c:pt>
                <c:pt idx="25">
                  <c:v>-4.3499999046325684</c:v>
                </c:pt>
                <c:pt idx="26">
                  <c:v>-4.3499999046325684</c:v>
                </c:pt>
                <c:pt idx="27">
                  <c:v>-4.3499999046325684</c:v>
                </c:pt>
                <c:pt idx="28">
                  <c:v>-4.3499999046325684</c:v>
                </c:pt>
                <c:pt idx="29">
                  <c:v>-4.3499999046325684</c:v>
                </c:pt>
                <c:pt idx="30">
                  <c:v>-4.3499999046325684</c:v>
                </c:pt>
                <c:pt idx="31">
                  <c:v>-4.3499999046325684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0.89999997615814209</c:v>
                </c:pt>
                <c:pt idx="1">
                  <c:v>0.89999997615814209</c:v>
                </c:pt>
                <c:pt idx="2">
                  <c:v>0.89999997615814209</c:v>
                </c:pt>
                <c:pt idx="3">
                  <c:v>0.89999997615814209</c:v>
                </c:pt>
                <c:pt idx="4">
                  <c:v>0.89999997615814209</c:v>
                </c:pt>
                <c:pt idx="5">
                  <c:v>0.89999997615814209</c:v>
                </c:pt>
                <c:pt idx="6">
                  <c:v>0.89999997615814209</c:v>
                </c:pt>
                <c:pt idx="7">
                  <c:v>0.89999997615814209</c:v>
                </c:pt>
                <c:pt idx="8">
                  <c:v>0.89999997615814209</c:v>
                </c:pt>
                <c:pt idx="9">
                  <c:v>0.89999997615814209</c:v>
                </c:pt>
                <c:pt idx="10">
                  <c:v>0.89999997615814209</c:v>
                </c:pt>
                <c:pt idx="11">
                  <c:v>0.89999997615814209</c:v>
                </c:pt>
                <c:pt idx="12">
                  <c:v>0.89999997615814209</c:v>
                </c:pt>
                <c:pt idx="13">
                  <c:v>0.89999997615814209</c:v>
                </c:pt>
                <c:pt idx="14">
                  <c:v>0.89999997615814209</c:v>
                </c:pt>
                <c:pt idx="15">
                  <c:v>0.89999997615814209</c:v>
                </c:pt>
                <c:pt idx="16">
                  <c:v>0.89999997615814209</c:v>
                </c:pt>
                <c:pt idx="17">
                  <c:v>0.89999997615814209</c:v>
                </c:pt>
                <c:pt idx="18">
                  <c:v>0.89999997615814209</c:v>
                </c:pt>
                <c:pt idx="19">
                  <c:v>0.89999997615814209</c:v>
                </c:pt>
                <c:pt idx="20">
                  <c:v>0.89999997615814209</c:v>
                </c:pt>
                <c:pt idx="21">
                  <c:v>0.89999997615814209</c:v>
                </c:pt>
                <c:pt idx="22">
                  <c:v>0.89999997615814209</c:v>
                </c:pt>
                <c:pt idx="23">
                  <c:v>0.89999997615814209</c:v>
                </c:pt>
                <c:pt idx="24">
                  <c:v>0.89999997615814209</c:v>
                </c:pt>
                <c:pt idx="25">
                  <c:v>0.89999997615814209</c:v>
                </c:pt>
                <c:pt idx="26">
                  <c:v>0.89999997615814209</c:v>
                </c:pt>
                <c:pt idx="27">
                  <c:v>0.89999997615814209</c:v>
                </c:pt>
                <c:pt idx="28">
                  <c:v>0.89999997615814209</c:v>
                </c:pt>
                <c:pt idx="29">
                  <c:v>0.89999997615814209</c:v>
                </c:pt>
                <c:pt idx="30">
                  <c:v>0.89999997615814209</c:v>
                </c:pt>
                <c:pt idx="31">
                  <c:v>0.89999997615814209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9C95-4996-8772-BE09E6EA23E4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-5.5500001907348633</c:v>
                </c:pt>
                <c:pt idx="1">
                  <c:v>-5.5500001907348633</c:v>
                </c:pt>
                <c:pt idx="2">
                  <c:v>-5.5500001907348633</c:v>
                </c:pt>
                <c:pt idx="3">
                  <c:v>-5.5500001907348633</c:v>
                </c:pt>
                <c:pt idx="4">
                  <c:v>-5.5500001907348633</c:v>
                </c:pt>
                <c:pt idx="5">
                  <c:v>-5.5500001907348633</c:v>
                </c:pt>
                <c:pt idx="6">
                  <c:v>-5.5500001907348633</c:v>
                </c:pt>
                <c:pt idx="7">
                  <c:v>-5.5500001907348633</c:v>
                </c:pt>
                <c:pt idx="8">
                  <c:v>-5.5500001907348633</c:v>
                </c:pt>
                <c:pt idx="9">
                  <c:v>-5.5500001907348633</c:v>
                </c:pt>
                <c:pt idx="10">
                  <c:v>-5.5500001907348633</c:v>
                </c:pt>
                <c:pt idx="11">
                  <c:v>-5.5500001907348633</c:v>
                </c:pt>
                <c:pt idx="12">
                  <c:v>-5.5500001907348633</c:v>
                </c:pt>
                <c:pt idx="13">
                  <c:v>-5.5500001907348633</c:v>
                </c:pt>
                <c:pt idx="14">
                  <c:v>-5.5500001907348633</c:v>
                </c:pt>
                <c:pt idx="15">
                  <c:v>-5.5500001907348633</c:v>
                </c:pt>
                <c:pt idx="16">
                  <c:v>-5.5500001907348633</c:v>
                </c:pt>
                <c:pt idx="17">
                  <c:v>-5.5500001907348633</c:v>
                </c:pt>
                <c:pt idx="18">
                  <c:v>-5.5500001907348633</c:v>
                </c:pt>
                <c:pt idx="19">
                  <c:v>-5.5500001907348633</c:v>
                </c:pt>
                <c:pt idx="20">
                  <c:v>-5.5500001907348633</c:v>
                </c:pt>
                <c:pt idx="21">
                  <c:v>-5.5500001907348633</c:v>
                </c:pt>
                <c:pt idx="22">
                  <c:v>-5.5500001907348633</c:v>
                </c:pt>
                <c:pt idx="23">
                  <c:v>-5.5500001907348633</c:v>
                </c:pt>
                <c:pt idx="24">
                  <c:v>-5.5500001907348633</c:v>
                </c:pt>
                <c:pt idx="25">
                  <c:v>-5.5500001907348633</c:v>
                </c:pt>
                <c:pt idx="26">
                  <c:v>-5.5500001907348633</c:v>
                </c:pt>
                <c:pt idx="27">
                  <c:v>-5.5500001907348633</c:v>
                </c:pt>
                <c:pt idx="28">
                  <c:v>-5.5500001907348633</c:v>
                </c:pt>
                <c:pt idx="29">
                  <c:v>-5.5500001907348633</c:v>
                </c:pt>
                <c:pt idx="30">
                  <c:v>-5.5500001907348633</c:v>
                </c:pt>
                <c:pt idx="31">
                  <c:v>-5.5500001907348633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  <c:pt idx="5">
                  <c:v>2.8499999046325684</c:v>
                </c:pt>
                <c:pt idx="6">
                  <c:v>2.8499999046325684</c:v>
                </c:pt>
                <c:pt idx="7">
                  <c:v>2.8499999046325684</c:v>
                </c:pt>
                <c:pt idx="8">
                  <c:v>2.8499999046325684</c:v>
                </c:pt>
                <c:pt idx="9">
                  <c:v>2.8499999046325684</c:v>
                </c:pt>
                <c:pt idx="10">
                  <c:v>2.8499999046325684</c:v>
                </c:pt>
                <c:pt idx="11">
                  <c:v>2.8499999046325684</c:v>
                </c:pt>
                <c:pt idx="12">
                  <c:v>2.8499999046325684</c:v>
                </c:pt>
                <c:pt idx="13">
                  <c:v>2.8499999046325684</c:v>
                </c:pt>
                <c:pt idx="14">
                  <c:v>2.8499999046325684</c:v>
                </c:pt>
                <c:pt idx="15">
                  <c:v>2.8499999046325684</c:v>
                </c:pt>
                <c:pt idx="16">
                  <c:v>2.8499999046325684</c:v>
                </c:pt>
                <c:pt idx="17">
                  <c:v>2.8499999046325684</c:v>
                </c:pt>
                <c:pt idx="18">
                  <c:v>2.8499999046325684</c:v>
                </c:pt>
                <c:pt idx="19">
                  <c:v>2.8499999046325684</c:v>
                </c:pt>
                <c:pt idx="20">
                  <c:v>2.8499999046325684</c:v>
                </c:pt>
                <c:pt idx="21">
                  <c:v>2.8499999046325684</c:v>
                </c:pt>
                <c:pt idx="22">
                  <c:v>2.8499999046325684</c:v>
                </c:pt>
                <c:pt idx="23">
                  <c:v>2.8499999046325684</c:v>
                </c:pt>
                <c:pt idx="24">
                  <c:v>2.8499999046325684</c:v>
                </c:pt>
                <c:pt idx="25">
                  <c:v>2.8499999046325684</c:v>
                </c:pt>
                <c:pt idx="26">
                  <c:v>2.8499999046325684</c:v>
                </c:pt>
                <c:pt idx="27">
                  <c:v>2.8499999046325684</c:v>
                </c:pt>
                <c:pt idx="28">
                  <c:v>2.8499999046325684</c:v>
                </c:pt>
                <c:pt idx="29">
                  <c:v>2.8499999046325684</c:v>
                </c:pt>
                <c:pt idx="30">
                  <c:v>2.8499999046325684</c:v>
                </c:pt>
                <c:pt idx="3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9C95-4996-8772-BE09E6EA23E4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-4.6500000953674316</c:v>
                </c:pt>
                <c:pt idx="1">
                  <c:v>-4.6500000953674316</c:v>
                </c:pt>
                <c:pt idx="2">
                  <c:v>-4.6500000953674316</c:v>
                </c:pt>
                <c:pt idx="3">
                  <c:v>-4.6500000953674316</c:v>
                </c:pt>
                <c:pt idx="4">
                  <c:v>-4.6500000953674316</c:v>
                </c:pt>
                <c:pt idx="5">
                  <c:v>-4.6500000953674316</c:v>
                </c:pt>
                <c:pt idx="6">
                  <c:v>-4.6500000953674316</c:v>
                </c:pt>
                <c:pt idx="7">
                  <c:v>-4.6500000953674316</c:v>
                </c:pt>
                <c:pt idx="8">
                  <c:v>-4.6500000953674316</c:v>
                </c:pt>
                <c:pt idx="9">
                  <c:v>-4.6500000953674316</c:v>
                </c:pt>
                <c:pt idx="10">
                  <c:v>-4.6500000953674316</c:v>
                </c:pt>
                <c:pt idx="11">
                  <c:v>-4.6500000953674316</c:v>
                </c:pt>
                <c:pt idx="12">
                  <c:v>-4.6500000953674316</c:v>
                </c:pt>
                <c:pt idx="13">
                  <c:v>-4.6500000953674316</c:v>
                </c:pt>
                <c:pt idx="14">
                  <c:v>-4.6500000953674316</c:v>
                </c:pt>
                <c:pt idx="15">
                  <c:v>-4.6500000953674316</c:v>
                </c:pt>
                <c:pt idx="16">
                  <c:v>-4.6500000953674316</c:v>
                </c:pt>
                <c:pt idx="17">
                  <c:v>-4.6500000953674316</c:v>
                </c:pt>
                <c:pt idx="18">
                  <c:v>-4.6500000953674316</c:v>
                </c:pt>
                <c:pt idx="19">
                  <c:v>-4.6500000953674316</c:v>
                </c:pt>
                <c:pt idx="20">
                  <c:v>-4.6500000953674316</c:v>
                </c:pt>
                <c:pt idx="21">
                  <c:v>-4.6500000953674316</c:v>
                </c:pt>
                <c:pt idx="22">
                  <c:v>-4.6500000953674316</c:v>
                </c:pt>
                <c:pt idx="23">
                  <c:v>-4.6500000953674316</c:v>
                </c:pt>
                <c:pt idx="24">
                  <c:v>-4.6500000953674316</c:v>
                </c:pt>
                <c:pt idx="25">
                  <c:v>-4.6500000953674316</c:v>
                </c:pt>
                <c:pt idx="26">
                  <c:v>-4.6500000953674316</c:v>
                </c:pt>
                <c:pt idx="27">
                  <c:v>-4.6500000953674316</c:v>
                </c:pt>
                <c:pt idx="28">
                  <c:v>-4.6500000953674316</c:v>
                </c:pt>
                <c:pt idx="29">
                  <c:v>-4.6500000953674316</c:v>
                </c:pt>
                <c:pt idx="30">
                  <c:v>-4.6500000953674316</c:v>
                </c:pt>
                <c:pt idx="31">
                  <c:v>-4.6500000953674316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2.8499999046325684</c:v>
                </c:pt>
                <c:pt idx="1">
                  <c:v>2.8499999046325684</c:v>
                </c:pt>
                <c:pt idx="2">
                  <c:v>2.8499999046325684</c:v>
                </c:pt>
                <c:pt idx="3">
                  <c:v>2.8499999046325684</c:v>
                </c:pt>
                <c:pt idx="4">
                  <c:v>2.8499999046325684</c:v>
                </c:pt>
                <c:pt idx="5">
                  <c:v>2.8499999046325684</c:v>
                </c:pt>
                <c:pt idx="6">
                  <c:v>2.8499999046325684</c:v>
                </c:pt>
                <c:pt idx="7">
                  <c:v>2.8499999046325684</c:v>
                </c:pt>
                <c:pt idx="8">
                  <c:v>2.8499999046325684</c:v>
                </c:pt>
                <c:pt idx="9">
                  <c:v>2.8499999046325684</c:v>
                </c:pt>
                <c:pt idx="10">
                  <c:v>2.8499999046325684</c:v>
                </c:pt>
                <c:pt idx="11">
                  <c:v>2.8499999046325684</c:v>
                </c:pt>
                <c:pt idx="12">
                  <c:v>2.8499999046325684</c:v>
                </c:pt>
                <c:pt idx="13">
                  <c:v>2.8499999046325684</c:v>
                </c:pt>
                <c:pt idx="14">
                  <c:v>2.8499999046325684</c:v>
                </c:pt>
                <c:pt idx="15">
                  <c:v>2.8499999046325684</c:v>
                </c:pt>
                <c:pt idx="16">
                  <c:v>2.8499999046325684</c:v>
                </c:pt>
                <c:pt idx="17">
                  <c:v>2.8499999046325684</c:v>
                </c:pt>
                <c:pt idx="18">
                  <c:v>2.8499999046325684</c:v>
                </c:pt>
                <c:pt idx="19">
                  <c:v>2.8499999046325684</c:v>
                </c:pt>
                <c:pt idx="20">
                  <c:v>2.8499999046325684</c:v>
                </c:pt>
                <c:pt idx="21">
                  <c:v>2.8499999046325684</c:v>
                </c:pt>
                <c:pt idx="22">
                  <c:v>2.8499999046325684</c:v>
                </c:pt>
                <c:pt idx="23">
                  <c:v>2.8499999046325684</c:v>
                </c:pt>
                <c:pt idx="24">
                  <c:v>2.8499999046325684</c:v>
                </c:pt>
                <c:pt idx="25">
                  <c:v>2.8499999046325684</c:v>
                </c:pt>
                <c:pt idx="26">
                  <c:v>2.8499999046325684</c:v>
                </c:pt>
                <c:pt idx="27">
                  <c:v>2.8499999046325684</c:v>
                </c:pt>
                <c:pt idx="28">
                  <c:v>2.8499999046325684</c:v>
                </c:pt>
                <c:pt idx="29">
                  <c:v>2.8499999046325684</c:v>
                </c:pt>
                <c:pt idx="30">
                  <c:v>2.8499999046325684</c:v>
                </c:pt>
                <c:pt idx="31">
                  <c:v>2.8499999046325684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9C95-4996-8772-BE09E6EA23E4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12.149877252791809</c:v>
                </c:pt>
                <c:pt idx="1">
                  <c:v>12.149877252791809</c:v>
                </c:pt>
                <c:pt idx="2">
                  <c:v>12.149877252791809</c:v>
                </c:pt>
                <c:pt idx="3">
                  <c:v>12.149877252791809</c:v>
                </c:pt>
                <c:pt idx="4">
                  <c:v>12.149877252791809</c:v>
                </c:pt>
                <c:pt idx="5">
                  <c:v>12.149877252791809</c:v>
                </c:pt>
                <c:pt idx="6">
                  <c:v>12.149877252791809</c:v>
                </c:pt>
                <c:pt idx="7">
                  <c:v>12.149877252791809</c:v>
                </c:pt>
                <c:pt idx="8">
                  <c:v>12.149877252791809</c:v>
                </c:pt>
                <c:pt idx="9">
                  <c:v>12.149877252791809</c:v>
                </c:pt>
                <c:pt idx="10">
                  <c:v>12.149877252791809</c:v>
                </c:pt>
                <c:pt idx="11">
                  <c:v>12.149877252791809</c:v>
                </c:pt>
                <c:pt idx="12">
                  <c:v>12.149877252791809</c:v>
                </c:pt>
                <c:pt idx="13">
                  <c:v>12.149877252791809</c:v>
                </c:pt>
                <c:pt idx="14">
                  <c:v>12.149877252791809</c:v>
                </c:pt>
                <c:pt idx="15">
                  <c:v>12.149877252791809</c:v>
                </c:pt>
                <c:pt idx="16">
                  <c:v>12.149877252791809</c:v>
                </c:pt>
                <c:pt idx="17">
                  <c:v>12.149877252791809</c:v>
                </c:pt>
                <c:pt idx="18">
                  <c:v>12.149877252791809</c:v>
                </c:pt>
                <c:pt idx="19">
                  <c:v>12.149877252791809</c:v>
                </c:pt>
                <c:pt idx="20">
                  <c:v>12.149877252791809</c:v>
                </c:pt>
                <c:pt idx="21">
                  <c:v>12.149877252791809</c:v>
                </c:pt>
                <c:pt idx="22">
                  <c:v>12.149877252791809</c:v>
                </c:pt>
                <c:pt idx="23">
                  <c:v>12.149877252791809</c:v>
                </c:pt>
                <c:pt idx="24">
                  <c:v>12.149877252791809</c:v>
                </c:pt>
                <c:pt idx="25">
                  <c:v>12.149877252791809</c:v>
                </c:pt>
                <c:pt idx="26">
                  <c:v>12.149877252791809</c:v>
                </c:pt>
                <c:pt idx="27">
                  <c:v>12.149877252791809</c:v>
                </c:pt>
                <c:pt idx="28">
                  <c:v>12.149877252791809</c:v>
                </c:pt>
                <c:pt idx="29">
                  <c:v>12.149877252791809</c:v>
                </c:pt>
                <c:pt idx="30">
                  <c:v>12.149877252791809</c:v>
                </c:pt>
                <c:pt idx="31">
                  <c:v>12.149877252791809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0.89983854892481308</c:v>
                </c:pt>
                <c:pt idx="1">
                  <c:v>0.89983854892481308</c:v>
                </c:pt>
                <c:pt idx="2">
                  <c:v>0.89983854892481308</c:v>
                </c:pt>
                <c:pt idx="3">
                  <c:v>0.89983854892481308</c:v>
                </c:pt>
                <c:pt idx="4">
                  <c:v>0.89983854892481308</c:v>
                </c:pt>
                <c:pt idx="5">
                  <c:v>0.89983854892481308</c:v>
                </c:pt>
                <c:pt idx="6">
                  <c:v>0.89983854892481308</c:v>
                </c:pt>
                <c:pt idx="7">
                  <c:v>0.89983854892481308</c:v>
                </c:pt>
                <c:pt idx="8">
                  <c:v>0.89983854892481308</c:v>
                </c:pt>
                <c:pt idx="9">
                  <c:v>0.89983854892481308</c:v>
                </c:pt>
                <c:pt idx="10">
                  <c:v>0.89983854892481308</c:v>
                </c:pt>
                <c:pt idx="11">
                  <c:v>0.89983854892481308</c:v>
                </c:pt>
                <c:pt idx="12">
                  <c:v>0.89983854892481308</c:v>
                </c:pt>
                <c:pt idx="13">
                  <c:v>0.89983854892481308</c:v>
                </c:pt>
                <c:pt idx="14">
                  <c:v>0.89983854892481308</c:v>
                </c:pt>
                <c:pt idx="15">
                  <c:v>0.89983854892481308</c:v>
                </c:pt>
                <c:pt idx="16">
                  <c:v>0.89983854892481308</c:v>
                </c:pt>
                <c:pt idx="17">
                  <c:v>0.89983854892481308</c:v>
                </c:pt>
                <c:pt idx="18">
                  <c:v>0.89983854892481308</c:v>
                </c:pt>
                <c:pt idx="19">
                  <c:v>0.89983854892481308</c:v>
                </c:pt>
                <c:pt idx="20">
                  <c:v>0.89983854892481308</c:v>
                </c:pt>
                <c:pt idx="21">
                  <c:v>0.89983854892481308</c:v>
                </c:pt>
                <c:pt idx="22">
                  <c:v>0.89983854892481308</c:v>
                </c:pt>
                <c:pt idx="23">
                  <c:v>0.89983854892481308</c:v>
                </c:pt>
                <c:pt idx="24">
                  <c:v>0.89983854892481308</c:v>
                </c:pt>
                <c:pt idx="25">
                  <c:v>0.89983854892481308</c:v>
                </c:pt>
                <c:pt idx="26">
                  <c:v>0.89983854892481308</c:v>
                </c:pt>
                <c:pt idx="27">
                  <c:v>0.89983854892481308</c:v>
                </c:pt>
                <c:pt idx="28">
                  <c:v>0.89983854892481308</c:v>
                </c:pt>
                <c:pt idx="29">
                  <c:v>0.89983854892481308</c:v>
                </c:pt>
                <c:pt idx="30">
                  <c:v>0.89983854892481308</c:v>
                </c:pt>
                <c:pt idx="31">
                  <c:v>0.89983854892481308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9C95-4996-8772-BE09E6EA23E4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21.749877634170446</c:v>
                </c:pt>
                <c:pt idx="1">
                  <c:v>21.749877634170446</c:v>
                </c:pt>
                <c:pt idx="2">
                  <c:v>21.749877634170446</c:v>
                </c:pt>
                <c:pt idx="3">
                  <c:v>21.749877634170446</c:v>
                </c:pt>
                <c:pt idx="4">
                  <c:v>21.749877634170446</c:v>
                </c:pt>
                <c:pt idx="5">
                  <c:v>21.749877634170446</c:v>
                </c:pt>
                <c:pt idx="6">
                  <c:v>21.749877634170446</c:v>
                </c:pt>
                <c:pt idx="7">
                  <c:v>21.749877634170446</c:v>
                </c:pt>
                <c:pt idx="8">
                  <c:v>21.749877634170446</c:v>
                </c:pt>
                <c:pt idx="9">
                  <c:v>21.749877634170446</c:v>
                </c:pt>
                <c:pt idx="10">
                  <c:v>21.749877634170446</c:v>
                </c:pt>
                <c:pt idx="11">
                  <c:v>21.749877634170446</c:v>
                </c:pt>
                <c:pt idx="12">
                  <c:v>21.749877634170446</c:v>
                </c:pt>
                <c:pt idx="13">
                  <c:v>21.749877634170446</c:v>
                </c:pt>
                <c:pt idx="14">
                  <c:v>21.749877634170446</c:v>
                </c:pt>
                <c:pt idx="15">
                  <c:v>21.749877634170446</c:v>
                </c:pt>
                <c:pt idx="16">
                  <c:v>21.749877634170446</c:v>
                </c:pt>
                <c:pt idx="17">
                  <c:v>21.749877634170446</c:v>
                </c:pt>
                <c:pt idx="18">
                  <c:v>21.749877634170446</c:v>
                </c:pt>
                <c:pt idx="19">
                  <c:v>21.749877634170446</c:v>
                </c:pt>
                <c:pt idx="20">
                  <c:v>21.749877634170446</c:v>
                </c:pt>
                <c:pt idx="21">
                  <c:v>21.749877634170446</c:v>
                </c:pt>
                <c:pt idx="22">
                  <c:v>21.749877634170446</c:v>
                </c:pt>
                <c:pt idx="23">
                  <c:v>21.749877634170446</c:v>
                </c:pt>
                <c:pt idx="24">
                  <c:v>21.749877634170446</c:v>
                </c:pt>
                <c:pt idx="25">
                  <c:v>21.749877634170446</c:v>
                </c:pt>
                <c:pt idx="26">
                  <c:v>21.749877634170446</c:v>
                </c:pt>
                <c:pt idx="27">
                  <c:v>21.749877634170446</c:v>
                </c:pt>
                <c:pt idx="28">
                  <c:v>21.749877634170446</c:v>
                </c:pt>
                <c:pt idx="29">
                  <c:v>21.749877634170446</c:v>
                </c:pt>
                <c:pt idx="30">
                  <c:v>21.749877634170446</c:v>
                </c:pt>
                <c:pt idx="31">
                  <c:v>21.749877634170446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0.9001611964406423</c:v>
                </c:pt>
                <c:pt idx="1">
                  <c:v>0.9001611964406423</c:v>
                </c:pt>
                <c:pt idx="2">
                  <c:v>0.9001611964406423</c:v>
                </c:pt>
                <c:pt idx="3">
                  <c:v>0.9001611964406423</c:v>
                </c:pt>
                <c:pt idx="4">
                  <c:v>0.9001611964406423</c:v>
                </c:pt>
                <c:pt idx="5">
                  <c:v>0.9001611964406423</c:v>
                </c:pt>
                <c:pt idx="6">
                  <c:v>0.9001611964406423</c:v>
                </c:pt>
                <c:pt idx="7">
                  <c:v>0.9001611964406423</c:v>
                </c:pt>
                <c:pt idx="8">
                  <c:v>0.9001611964406423</c:v>
                </c:pt>
                <c:pt idx="9">
                  <c:v>0.9001611964406423</c:v>
                </c:pt>
                <c:pt idx="10">
                  <c:v>0.9001611964406423</c:v>
                </c:pt>
                <c:pt idx="11">
                  <c:v>0.9001611964406423</c:v>
                </c:pt>
                <c:pt idx="12">
                  <c:v>0.9001611964406423</c:v>
                </c:pt>
                <c:pt idx="13">
                  <c:v>0.9001611964406423</c:v>
                </c:pt>
                <c:pt idx="14">
                  <c:v>0.9001611964406423</c:v>
                </c:pt>
                <c:pt idx="15">
                  <c:v>0.9001611964406423</c:v>
                </c:pt>
                <c:pt idx="16">
                  <c:v>0.9001611964406423</c:v>
                </c:pt>
                <c:pt idx="17">
                  <c:v>0.9001611964406423</c:v>
                </c:pt>
                <c:pt idx="18">
                  <c:v>0.9001611964406423</c:v>
                </c:pt>
                <c:pt idx="19">
                  <c:v>0.9001611964406423</c:v>
                </c:pt>
                <c:pt idx="20">
                  <c:v>0.9001611964406423</c:v>
                </c:pt>
                <c:pt idx="21">
                  <c:v>0.9001611964406423</c:v>
                </c:pt>
                <c:pt idx="22">
                  <c:v>0.9001611964406423</c:v>
                </c:pt>
                <c:pt idx="23">
                  <c:v>0.9001611964406423</c:v>
                </c:pt>
                <c:pt idx="24">
                  <c:v>0.9001611964406423</c:v>
                </c:pt>
                <c:pt idx="25">
                  <c:v>0.9001611964406423</c:v>
                </c:pt>
                <c:pt idx="26">
                  <c:v>0.9001611964406423</c:v>
                </c:pt>
                <c:pt idx="27">
                  <c:v>0.9001611964406423</c:v>
                </c:pt>
                <c:pt idx="28">
                  <c:v>0.9001611964406423</c:v>
                </c:pt>
                <c:pt idx="29">
                  <c:v>0.9001611964406423</c:v>
                </c:pt>
                <c:pt idx="30">
                  <c:v>0.9001611964406423</c:v>
                </c:pt>
                <c:pt idx="31">
                  <c:v>0.9001611964406423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9C95-4996-8772-BE09E6EA23E4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16.950000505139531</c:v>
                </c:pt>
                <c:pt idx="1">
                  <c:v>16.950000505139531</c:v>
                </c:pt>
                <c:pt idx="2">
                  <c:v>16.950000505139531</c:v>
                </c:pt>
                <c:pt idx="3">
                  <c:v>16.950000505139531</c:v>
                </c:pt>
                <c:pt idx="4">
                  <c:v>16.950000505139531</c:v>
                </c:pt>
                <c:pt idx="5">
                  <c:v>16.950000505139531</c:v>
                </c:pt>
                <c:pt idx="6">
                  <c:v>16.950000505139531</c:v>
                </c:pt>
                <c:pt idx="7">
                  <c:v>16.950000505139531</c:v>
                </c:pt>
                <c:pt idx="8">
                  <c:v>16.950000505139531</c:v>
                </c:pt>
                <c:pt idx="9">
                  <c:v>16.950000505139531</c:v>
                </c:pt>
                <c:pt idx="10">
                  <c:v>16.950000505139531</c:v>
                </c:pt>
                <c:pt idx="11">
                  <c:v>16.950000505139531</c:v>
                </c:pt>
                <c:pt idx="12">
                  <c:v>16.950000505139531</c:v>
                </c:pt>
                <c:pt idx="13">
                  <c:v>16.950000505139531</c:v>
                </c:pt>
                <c:pt idx="14">
                  <c:v>16.950000505139531</c:v>
                </c:pt>
                <c:pt idx="15">
                  <c:v>16.950000505139531</c:v>
                </c:pt>
                <c:pt idx="16">
                  <c:v>16.950000505139531</c:v>
                </c:pt>
                <c:pt idx="17">
                  <c:v>16.950000505139531</c:v>
                </c:pt>
                <c:pt idx="18">
                  <c:v>16.950000505139531</c:v>
                </c:pt>
                <c:pt idx="19">
                  <c:v>16.950000505139531</c:v>
                </c:pt>
                <c:pt idx="20">
                  <c:v>16.950000505139531</c:v>
                </c:pt>
                <c:pt idx="21">
                  <c:v>16.950000505139531</c:v>
                </c:pt>
                <c:pt idx="22">
                  <c:v>16.950000505139531</c:v>
                </c:pt>
                <c:pt idx="23">
                  <c:v>16.950000505139531</c:v>
                </c:pt>
                <c:pt idx="24">
                  <c:v>16.950000505139531</c:v>
                </c:pt>
                <c:pt idx="25">
                  <c:v>16.950000505139531</c:v>
                </c:pt>
                <c:pt idx="26">
                  <c:v>16.950000505139531</c:v>
                </c:pt>
                <c:pt idx="27">
                  <c:v>16.950000505139531</c:v>
                </c:pt>
                <c:pt idx="28">
                  <c:v>16.950000505139531</c:v>
                </c:pt>
                <c:pt idx="29">
                  <c:v>16.950000505139531</c:v>
                </c:pt>
                <c:pt idx="30">
                  <c:v>16.950000505139531</c:v>
                </c:pt>
                <c:pt idx="31">
                  <c:v>16.950000505139531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-2.099999764731113</c:v>
                </c:pt>
                <c:pt idx="1">
                  <c:v>-2.099999764731113</c:v>
                </c:pt>
                <c:pt idx="2">
                  <c:v>-2.099999764731113</c:v>
                </c:pt>
                <c:pt idx="3">
                  <c:v>-2.099999764731113</c:v>
                </c:pt>
                <c:pt idx="4">
                  <c:v>-2.099999764731113</c:v>
                </c:pt>
                <c:pt idx="5">
                  <c:v>-2.099999764731113</c:v>
                </c:pt>
                <c:pt idx="6">
                  <c:v>-2.099999764731113</c:v>
                </c:pt>
                <c:pt idx="7">
                  <c:v>-2.099999764731113</c:v>
                </c:pt>
                <c:pt idx="8">
                  <c:v>-2.099999764731113</c:v>
                </c:pt>
                <c:pt idx="9">
                  <c:v>-2.099999764731113</c:v>
                </c:pt>
                <c:pt idx="10">
                  <c:v>-2.099999764731113</c:v>
                </c:pt>
                <c:pt idx="11">
                  <c:v>-2.099999764731113</c:v>
                </c:pt>
                <c:pt idx="12">
                  <c:v>-2.099999764731113</c:v>
                </c:pt>
                <c:pt idx="13">
                  <c:v>-2.099999764731113</c:v>
                </c:pt>
                <c:pt idx="14">
                  <c:v>-2.099999764731113</c:v>
                </c:pt>
                <c:pt idx="15">
                  <c:v>-2.099999764731113</c:v>
                </c:pt>
                <c:pt idx="16">
                  <c:v>-2.099999764731113</c:v>
                </c:pt>
                <c:pt idx="17">
                  <c:v>-2.099999764731113</c:v>
                </c:pt>
                <c:pt idx="18">
                  <c:v>-2.099999764731113</c:v>
                </c:pt>
                <c:pt idx="19">
                  <c:v>-2.099999764731113</c:v>
                </c:pt>
                <c:pt idx="20">
                  <c:v>-2.099999764731113</c:v>
                </c:pt>
                <c:pt idx="21">
                  <c:v>-2.099999764731113</c:v>
                </c:pt>
                <c:pt idx="22">
                  <c:v>-2.099999764731113</c:v>
                </c:pt>
                <c:pt idx="23">
                  <c:v>-2.099999764731113</c:v>
                </c:pt>
                <c:pt idx="24">
                  <c:v>-2.099999764731113</c:v>
                </c:pt>
                <c:pt idx="25">
                  <c:v>-2.099999764731113</c:v>
                </c:pt>
                <c:pt idx="26">
                  <c:v>-2.099999764731113</c:v>
                </c:pt>
                <c:pt idx="27">
                  <c:v>-2.099999764731113</c:v>
                </c:pt>
                <c:pt idx="28">
                  <c:v>-2.099999764731113</c:v>
                </c:pt>
                <c:pt idx="29">
                  <c:v>-2.099999764731113</c:v>
                </c:pt>
                <c:pt idx="30">
                  <c:v>-2.099999764731113</c:v>
                </c:pt>
                <c:pt idx="31">
                  <c:v>-2.099999764731113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9C95-4996-8772-BE09E6EA23E4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16.949878412407752</c:v>
                </c:pt>
                <c:pt idx="1">
                  <c:v>16.949878412407752</c:v>
                </c:pt>
                <c:pt idx="2">
                  <c:v>16.949878412407752</c:v>
                </c:pt>
                <c:pt idx="3">
                  <c:v>16.949878412407752</c:v>
                </c:pt>
                <c:pt idx="4">
                  <c:v>16.949878412407752</c:v>
                </c:pt>
                <c:pt idx="5">
                  <c:v>16.949878412407752</c:v>
                </c:pt>
                <c:pt idx="6">
                  <c:v>16.949878412407752</c:v>
                </c:pt>
                <c:pt idx="7">
                  <c:v>16.949878412407752</c:v>
                </c:pt>
                <c:pt idx="8">
                  <c:v>16.949878412407752</c:v>
                </c:pt>
                <c:pt idx="9">
                  <c:v>16.949878412407752</c:v>
                </c:pt>
                <c:pt idx="10">
                  <c:v>16.949878412407752</c:v>
                </c:pt>
                <c:pt idx="11">
                  <c:v>16.949878412407752</c:v>
                </c:pt>
                <c:pt idx="12">
                  <c:v>16.949878412407752</c:v>
                </c:pt>
                <c:pt idx="13">
                  <c:v>16.949878412407752</c:v>
                </c:pt>
                <c:pt idx="14">
                  <c:v>16.949878412407752</c:v>
                </c:pt>
                <c:pt idx="15">
                  <c:v>16.949878412407752</c:v>
                </c:pt>
                <c:pt idx="16">
                  <c:v>16.949878412407752</c:v>
                </c:pt>
                <c:pt idx="17">
                  <c:v>16.949878412407752</c:v>
                </c:pt>
                <c:pt idx="18">
                  <c:v>16.949878412407752</c:v>
                </c:pt>
                <c:pt idx="19">
                  <c:v>16.949878412407752</c:v>
                </c:pt>
                <c:pt idx="20">
                  <c:v>16.949878412407752</c:v>
                </c:pt>
                <c:pt idx="21">
                  <c:v>16.949878412407752</c:v>
                </c:pt>
                <c:pt idx="22">
                  <c:v>16.949878412407752</c:v>
                </c:pt>
                <c:pt idx="23">
                  <c:v>16.949878412407752</c:v>
                </c:pt>
                <c:pt idx="24">
                  <c:v>16.949878412407752</c:v>
                </c:pt>
                <c:pt idx="25">
                  <c:v>16.949878412407752</c:v>
                </c:pt>
                <c:pt idx="26">
                  <c:v>16.949878412407752</c:v>
                </c:pt>
                <c:pt idx="27">
                  <c:v>16.949878412407752</c:v>
                </c:pt>
                <c:pt idx="28">
                  <c:v>16.949878412407752</c:v>
                </c:pt>
                <c:pt idx="29">
                  <c:v>16.949878412407752</c:v>
                </c:pt>
                <c:pt idx="30">
                  <c:v>16.949878412407752</c:v>
                </c:pt>
                <c:pt idx="31">
                  <c:v>16.949878412407752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0.89999977405212539</c:v>
                </c:pt>
                <c:pt idx="1">
                  <c:v>0.89999977405212539</c:v>
                </c:pt>
                <c:pt idx="2">
                  <c:v>0.89999977405212539</c:v>
                </c:pt>
                <c:pt idx="3">
                  <c:v>0.89999977405212539</c:v>
                </c:pt>
                <c:pt idx="4">
                  <c:v>0.89999977405212539</c:v>
                </c:pt>
                <c:pt idx="5">
                  <c:v>0.89999977405212539</c:v>
                </c:pt>
                <c:pt idx="6">
                  <c:v>0.89999977405212539</c:v>
                </c:pt>
                <c:pt idx="7">
                  <c:v>0.89999977405212539</c:v>
                </c:pt>
                <c:pt idx="8">
                  <c:v>0.89999977405212539</c:v>
                </c:pt>
                <c:pt idx="9">
                  <c:v>0.89999977405212539</c:v>
                </c:pt>
                <c:pt idx="10">
                  <c:v>0.89999977405212539</c:v>
                </c:pt>
                <c:pt idx="11">
                  <c:v>0.89999977405212539</c:v>
                </c:pt>
                <c:pt idx="12">
                  <c:v>0.89999977405212539</c:v>
                </c:pt>
                <c:pt idx="13">
                  <c:v>0.89999977405212539</c:v>
                </c:pt>
                <c:pt idx="14">
                  <c:v>0.89999977405212539</c:v>
                </c:pt>
                <c:pt idx="15">
                  <c:v>0.89999977405212539</c:v>
                </c:pt>
                <c:pt idx="16">
                  <c:v>0.89999977405212539</c:v>
                </c:pt>
                <c:pt idx="17">
                  <c:v>0.89999977405212539</c:v>
                </c:pt>
                <c:pt idx="18">
                  <c:v>0.89999977405212539</c:v>
                </c:pt>
                <c:pt idx="19">
                  <c:v>0.89999977405212539</c:v>
                </c:pt>
                <c:pt idx="20">
                  <c:v>0.89999977405212539</c:v>
                </c:pt>
                <c:pt idx="21">
                  <c:v>0.89999977405212539</c:v>
                </c:pt>
                <c:pt idx="22">
                  <c:v>0.89999977405212539</c:v>
                </c:pt>
                <c:pt idx="23">
                  <c:v>0.89999977405212539</c:v>
                </c:pt>
                <c:pt idx="24">
                  <c:v>0.89999977405212539</c:v>
                </c:pt>
                <c:pt idx="25">
                  <c:v>0.89999977405212539</c:v>
                </c:pt>
                <c:pt idx="26">
                  <c:v>0.89999977405212539</c:v>
                </c:pt>
                <c:pt idx="27">
                  <c:v>0.89999977405212539</c:v>
                </c:pt>
                <c:pt idx="28">
                  <c:v>0.89999977405212539</c:v>
                </c:pt>
                <c:pt idx="29">
                  <c:v>0.89999977405212539</c:v>
                </c:pt>
                <c:pt idx="30">
                  <c:v>0.89999977405212539</c:v>
                </c:pt>
                <c:pt idx="31">
                  <c:v>0.89999977405212539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9C95-4996-8772-BE09E6EA2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002176"/>
        <c:axId val="756986104"/>
      </c:scatterChart>
      <c:valAx>
        <c:axId val="757002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56986104"/>
        <c:crosses val="max"/>
        <c:crossBetween val="midCat"/>
        <c:majorUnit val="1.0000000000000004E-6"/>
      </c:valAx>
      <c:valAx>
        <c:axId val="75698610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757002176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PlotN!$BH$6:$BH$10</c:f>
              <c:numCache>
                <c:formatCode>General</c:formatCode>
                <c:ptCount val="5"/>
                <c:pt idx="0">
                  <c:v>-7.3000000000000007</c:v>
                </c:pt>
                <c:pt idx="1">
                  <c:v>22.7</c:v>
                </c:pt>
                <c:pt idx="2">
                  <c:v>22.7</c:v>
                </c:pt>
                <c:pt idx="3">
                  <c:v>-7.3000000000000007</c:v>
                </c:pt>
                <c:pt idx="4">
                  <c:v>-7.3000000000000007</c:v>
                </c:pt>
              </c:numCache>
            </c:numRef>
          </c:xVal>
          <c:yVal>
            <c:numRef>
              <c:f>PlotN!$BI$6:$BI$10</c:f>
              <c:numCache>
                <c:formatCode>General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-16.5</c:v>
                </c:pt>
                <c:pt idx="3">
                  <c:v>-16.5</c:v>
                </c:pt>
                <c:pt idx="4">
                  <c:v>13.5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2-4B61-8F67-863EC62A68B1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9C2-4B61-8F67-863EC62A68B1}"/>
              </c:ext>
            </c:extLst>
          </c:dPt>
          <c:xVal>
            <c:numRef>
              <c:f>PlotN!$AB$3:$AO$3</c:f>
              <c:numCache>
                <c:formatCode>General</c:formatCode>
                <c:ptCount val="14"/>
                <c:pt idx="0">
                  <c:v>-3.75</c:v>
                </c:pt>
                <c:pt idx="1">
                  <c:v>-3.4649999999999999</c:v>
                </c:pt>
                <c:pt idx="2">
                  <c:v>-3.1799999999999997</c:v>
                </c:pt>
                <c:pt idx="3">
                  <c:v>-2.8949999999999996</c:v>
                </c:pt>
                <c:pt idx="4">
                  <c:v>-2.6099999999999994</c:v>
                </c:pt>
                <c:pt idx="5">
                  <c:v>-2.3249999999999993</c:v>
                </c:pt>
                <c:pt idx="6">
                  <c:v>-2.0399999999999991</c:v>
                </c:pt>
                <c:pt idx="7">
                  <c:v>-1.754999999999999</c:v>
                </c:pt>
                <c:pt idx="8">
                  <c:v>-1.4699999999999989</c:v>
                </c:pt>
                <c:pt idx="9">
                  <c:v>-1.1849999999999987</c:v>
                </c:pt>
                <c:pt idx="10">
                  <c:v>-0.89999999999999869</c:v>
                </c:pt>
                <c:pt idx="11">
                  <c:v>-0.89999999999999869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PlotN!$AR$3:$BE$3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C2-4B61-8F67-863EC62A68B1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C2-4B61-8F67-863EC62A68B1}"/>
              </c:ext>
            </c:extLst>
          </c:dPt>
          <c:xVal>
            <c:numRef>
              <c:f>PlotN!$AB$4:$AO$4</c:f>
              <c:numCache>
                <c:formatCode>General</c:formatCode>
                <c:ptCount val="14"/>
                <c:pt idx="0">
                  <c:v>-0.9</c:v>
                </c:pt>
                <c:pt idx="1">
                  <c:v>-0.55491829999999998</c:v>
                </c:pt>
                <c:pt idx="2">
                  <c:v>-0.20983659999999998</c:v>
                </c:pt>
                <c:pt idx="3">
                  <c:v>0.13524510000000001</c:v>
                </c:pt>
                <c:pt idx="4">
                  <c:v>0.4803268</c:v>
                </c:pt>
                <c:pt idx="5">
                  <c:v>0.82540849999999999</c:v>
                </c:pt>
                <c:pt idx="6">
                  <c:v>1.1704901999999999</c:v>
                </c:pt>
                <c:pt idx="7">
                  <c:v>1.5155718999999999</c:v>
                </c:pt>
                <c:pt idx="8">
                  <c:v>1.8606535999999998</c:v>
                </c:pt>
                <c:pt idx="9">
                  <c:v>2.2057352999999997</c:v>
                </c:pt>
                <c:pt idx="10">
                  <c:v>2.5508169999999999</c:v>
                </c:pt>
                <c:pt idx="11">
                  <c:v>2.5508169999999999</c:v>
                </c:pt>
                <c:pt idx="12">
                  <c:v>-0.9</c:v>
                </c:pt>
                <c:pt idx="13">
                  <c:v>-0.9</c:v>
                </c:pt>
              </c:numCache>
            </c:numRef>
          </c:xVal>
          <c:yVal>
            <c:numRef>
              <c:f>PlotN!$AR$4:$BE$4</c:f>
              <c:numCache>
                <c:formatCode>General</c:formatCode>
                <c:ptCount val="14"/>
                <c:pt idx="0">
                  <c:v>0.9</c:v>
                </c:pt>
                <c:pt idx="1">
                  <c:v>0.89998359999999999</c:v>
                </c:pt>
                <c:pt idx="2">
                  <c:v>0.89996719999999997</c:v>
                </c:pt>
                <c:pt idx="3">
                  <c:v>0.89995079999999994</c:v>
                </c:pt>
                <c:pt idx="4">
                  <c:v>0.89993439999999991</c:v>
                </c:pt>
                <c:pt idx="5">
                  <c:v>0.89991799999999988</c:v>
                </c:pt>
                <c:pt idx="6">
                  <c:v>0.89990159999999986</c:v>
                </c:pt>
                <c:pt idx="7">
                  <c:v>0.89988519999999983</c:v>
                </c:pt>
                <c:pt idx="8">
                  <c:v>0.8998687999999998</c:v>
                </c:pt>
                <c:pt idx="9">
                  <c:v>0.89985239999999977</c:v>
                </c:pt>
                <c:pt idx="10">
                  <c:v>0.89983599999999975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C2-4B61-8F67-863EC62A68B1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9C2-4B61-8F67-863EC62A68B1}"/>
              </c:ext>
            </c:extLst>
          </c:dPt>
          <c:xVal>
            <c:numRef>
              <c:f>PlotN!$AB$5:$AO$5</c:f>
              <c:numCache>
                <c:formatCode>General</c:formatCode>
                <c:ptCount val="14"/>
                <c:pt idx="0">
                  <c:v>-0.85628246522998241</c:v>
                </c:pt>
                <c:pt idx="1">
                  <c:v>-0.37628246522998232</c:v>
                </c:pt>
                <c:pt idx="2">
                  <c:v>0.10371753477001769</c:v>
                </c:pt>
                <c:pt idx="3">
                  <c:v>0.58371753477001764</c:v>
                </c:pt>
                <c:pt idx="4">
                  <c:v>1.0637175347700176</c:v>
                </c:pt>
                <c:pt idx="5">
                  <c:v>1.5437175347700176</c:v>
                </c:pt>
                <c:pt idx="6">
                  <c:v>2.0237175347700176</c:v>
                </c:pt>
                <c:pt idx="7">
                  <c:v>2.5037175347700176</c:v>
                </c:pt>
                <c:pt idx="8">
                  <c:v>2.9837175347700176</c:v>
                </c:pt>
                <c:pt idx="9">
                  <c:v>3.4637175347700175</c:v>
                </c:pt>
                <c:pt idx="10">
                  <c:v>3.9437175347700175</c:v>
                </c:pt>
                <c:pt idx="11">
                  <c:v>3.9</c:v>
                </c:pt>
                <c:pt idx="12">
                  <c:v>-0.9</c:v>
                </c:pt>
                <c:pt idx="13">
                  <c:v>-0.85628246522998241</c:v>
                </c:pt>
              </c:numCache>
            </c:numRef>
          </c:xVal>
          <c:yVal>
            <c:numRef>
              <c:f>PlotN!$AR$5:$BE$5</c:f>
              <c:numCache>
                <c:formatCode>General</c:formatCode>
                <c:ptCount val="14"/>
                <c:pt idx="0">
                  <c:v>0.96994805563202824</c:v>
                </c:pt>
                <c:pt idx="1">
                  <c:v>0.66994805563202819</c:v>
                </c:pt>
                <c:pt idx="2">
                  <c:v>0.36994805563202815</c:v>
                </c:pt>
                <c:pt idx="3">
                  <c:v>6.9948055632028133E-2</c:v>
                </c:pt>
                <c:pt idx="4">
                  <c:v>-0.23005194436797191</c:v>
                </c:pt>
                <c:pt idx="5">
                  <c:v>-0.53005194436797198</c:v>
                </c:pt>
                <c:pt idx="6">
                  <c:v>-0.83005194436797203</c:v>
                </c:pt>
                <c:pt idx="7">
                  <c:v>-1.130051944367972</c:v>
                </c:pt>
                <c:pt idx="8">
                  <c:v>-1.430051944367972</c:v>
                </c:pt>
                <c:pt idx="9">
                  <c:v>-1.730051944367972</c:v>
                </c:pt>
                <c:pt idx="10">
                  <c:v>-2.0300519443679721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0.96994805563202824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C2-4B61-8F67-863EC62A68B1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C2-4B61-8F67-863EC62A68B1}"/>
              </c:ext>
            </c:extLst>
          </c:dPt>
          <c:xVal>
            <c:numRef>
              <c:f>PlotN!$AB$6:$AO$6</c:f>
              <c:numCache>
                <c:formatCode>General</c:formatCode>
                <c:ptCount val="14"/>
                <c:pt idx="0">
                  <c:v>11.444680840464649</c:v>
                </c:pt>
                <c:pt idx="1">
                  <c:v>10.964680840464649</c:v>
                </c:pt>
                <c:pt idx="2">
                  <c:v>10.484680840464648</c:v>
                </c:pt>
                <c:pt idx="3">
                  <c:v>10.004680840464648</c:v>
                </c:pt>
                <c:pt idx="4">
                  <c:v>9.5246808404646472</c:v>
                </c:pt>
                <c:pt idx="5">
                  <c:v>9.0446808404646468</c:v>
                </c:pt>
                <c:pt idx="6">
                  <c:v>8.5646808404646464</c:v>
                </c:pt>
                <c:pt idx="7">
                  <c:v>8.084680840464646</c:v>
                </c:pt>
                <c:pt idx="8">
                  <c:v>7.6046808404646455</c:v>
                </c:pt>
                <c:pt idx="9">
                  <c:v>7.1246808404646451</c:v>
                </c:pt>
                <c:pt idx="10">
                  <c:v>6.6446808404646447</c:v>
                </c:pt>
                <c:pt idx="11">
                  <c:v>3.8999999999999955</c:v>
                </c:pt>
                <c:pt idx="12">
                  <c:v>8.6999999999999993</c:v>
                </c:pt>
                <c:pt idx="13">
                  <c:v>11.444680840464649</c:v>
                </c:pt>
              </c:numCache>
            </c:numRef>
          </c:xVal>
          <c:yVal>
            <c:numRef>
              <c:f>PlotN!$AR$6:$BE$6</c:f>
              <c:numCache>
                <c:formatCode>General</c:formatCode>
                <c:ptCount val="14"/>
                <c:pt idx="0">
                  <c:v>-3.4914893447434392</c:v>
                </c:pt>
                <c:pt idx="1">
                  <c:v>-3.791489344743439</c:v>
                </c:pt>
                <c:pt idx="2">
                  <c:v>-4.0914893447434393</c:v>
                </c:pt>
                <c:pt idx="3">
                  <c:v>-4.3914893447434391</c:v>
                </c:pt>
                <c:pt idx="4">
                  <c:v>-4.6914893447434389</c:v>
                </c:pt>
                <c:pt idx="5">
                  <c:v>-4.9914893447434396</c:v>
                </c:pt>
                <c:pt idx="6">
                  <c:v>-5.2914893447434395</c:v>
                </c:pt>
                <c:pt idx="7">
                  <c:v>-5.5914893447434393</c:v>
                </c:pt>
                <c:pt idx="8">
                  <c:v>-5.8914893447434391</c:v>
                </c:pt>
                <c:pt idx="9">
                  <c:v>-6.1914893447434398</c:v>
                </c:pt>
                <c:pt idx="10">
                  <c:v>-6.4914893447434396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-3.4914893447434392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9C2-4B61-8F67-863EC62A68B1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9C2-4B61-8F67-863EC62A68B1}"/>
              </c:ext>
            </c:extLst>
          </c:dPt>
          <c:xVal>
            <c:numRef>
              <c:f>PlotN!$AB$7:$AO$7</c:f>
              <c:numCache>
                <c:formatCode>General</c:formatCode>
                <c:ptCount val="14"/>
                <c:pt idx="0">
                  <c:v>3.9</c:v>
                </c:pt>
                <c:pt idx="1">
                  <c:v>4.0371756000000003</c:v>
                </c:pt>
                <c:pt idx="2">
                  <c:v>4.1743512000000003</c:v>
                </c:pt>
                <c:pt idx="3">
                  <c:v>4.3115268000000002</c:v>
                </c:pt>
                <c:pt idx="4">
                  <c:v>4.4487024000000002</c:v>
                </c:pt>
                <c:pt idx="5">
                  <c:v>4.5858780000000001</c:v>
                </c:pt>
                <c:pt idx="6">
                  <c:v>4.7230536000000001</c:v>
                </c:pt>
                <c:pt idx="7">
                  <c:v>4.8602292</c:v>
                </c:pt>
                <c:pt idx="8">
                  <c:v>4.9974048</c:v>
                </c:pt>
                <c:pt idx="9">
                  <c:v>5.1345803999999999</c:v>
                </c:pt>
                <c:pt idx="10">
                  <c:v>5.2717559999999999</c:v>
                </c:pt>
                <c:pt idx="11">
                  <c:v>5.2717559999999999</c:v>
                </c:pt>
                <c:pt idx="12">
                  <c:v>3.9</c:v>
                </c:pt>
                <c:pt idx="13">
                  <c:v>3.9</c:v>
                </c:pt>
              </c:numCache>
            </c:numRef>
          </c:xVal>
          <c:yVal>
            <c:numRef>
              <c:f>PlotN!$AR$7:$BE$7</c:f>
              <c:numCache>
                <c:formatCode>General</c:formatCode>
                <c:ptCount val="14"/>
                <c:pt idx="0">
                  <c:v>0.9</c:v>
                </c:pt>
                <c:pt idx="1">
                  <c:v>0.89998359999999999</c:v>
                </c:pt>
                <c:pt idx="2">
                  <c:v>0.89996719999999997</c:v>
                </c:pt>
                <c:pt idx="3">
                  <c:v>0.89995079999999994</c:v>
                </c:pt>
                <c:pt idx="4">
                  <c:v>0.89993439999999991</c:v>
                </c:pt>
                <c:pt idx="5">
                  <c:v>0.89991799999999988</c:v>
                </c:pt>
                <c:pt idx="6">
                  <c:v>0.89990159999999986</c:v>
                </c:pt>
                <c:pt idx="7">
                  <c:v>0.89988519999999983</c:v>
                </c:pt>
                <c:pt idx="8">
                  <c:v>0.8998687999999998</c:v>
                </c:pt>
                <c:pt idx="9">
                  <c:v>0.89985239999999977</c:v>
                </c:pt>
                <c:pt idx="10">
                  <c:v>0.89983599999999975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9C2-4B61-8F67-863EC62A68B1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9C2-4B61-8F67-863EC62A68B1}"/>
              </c:ext>
            </c:extLst>
          </c:dPt>
          <c:xVal>
            <c:numRef>
              <c:f>PlotN!$AB$8:$AO$8</c:f>
              <c:numCache>
                <c:formatCode>General</c:formatCode>
                <c:ptCount val="14"/>
                <c:pt idx="0">
                  <c:v>3.3</c:v>
                </c:pt>
                <c:pt idx="1">
                  <c:v>3.3085649999999998</c:v>
                </c:pt>
                <c:pt idx="2">
                  <c:v>3.3171299999999997</c:v>
                </c:pt>
                <c:pt idx="3">
                  <c:v>3.3256949999999996</c:v>
                </c:pt>
                <c:pt idx="4">
                  <c:v>3.3342599999999996</c:v>
                </c:pt>
                <c:pt idx="5">
                  <c:v>3.3428249999999995</c:v>
                </c:pt>
                <c:pt idx="6">
                  <c:v>3.3513899999999994</c:v>
                </c:pt>
                <c:pt idx="7">
                  <c:v>3.3599549999999994</c:v>
                </c:pt>
                <c:pt idx="8">
                  <c:v>3.3685199999999993</c:v>
                </c:pt>
                <c:pt idx="9">
                  <c:v>3.3770849999999992</c:v>
                </c:pt>
                <c:pt idx="10">
                  <c:v>3.3856499999999992</c:v>
                </c:pt>
                <c:pt idx="11">
                  <c:v>3.3856499999999992</c:v>
                </c:pt>
                <c:pt idx="12">
                  <c:v>3.3</c:v>
                </c:pt>
                <c:pt idx="13">
                  <c:v>3.3</c:v>
                </c:pt>
              </c:numCache>
            </c:numRef>
          </c:xVal>
          <c:yVal>
            <c:numRef>
              <c:f>PlotN!$AR$8:$BE$8</c:f>
              <c:numCache>
                <c:formatCode>General</c:formatCode>
                <c:ptCount val="14"/>
                <c:pt idx="0">
                  <c:v>3.6</c:v>
                </c:pt>
                <c:pt idx="1">
                  <c:v>3.5129331000000001</c:v>
                </c:pt>
                <c:pt idx="2">
                  <c:v>3.4258662000000002</c:v>
                </c:pt>
                <c:pt idx="3">
                  <c:v>3.3387993000000002</c:v>
                </c:pt>
                <c:pt idx="4">
                  <c:v>3.2517324000000003</c:v>
                </c:pt>
                <c:pt idx="5">
                  <c:v>3.1646655000000004</c:v>
                </c:pt>
                <c:pt idx="6">
                  <c:v>3.0775986000000004</c:v>
                </c:pt>
                <c:pt idx="7">
                  <c:v>2.9905317000000005</c:v>
                </c:pt>
                <c:pt idx="8">
                  <c:v>2.9034648000000005</c:v>
                </c:pt>
                <c:pt idx="9">
                  <c:v>2.8163979000000006</c:v>
                </c:pt>
                <c:pt idx="10">
                  <c:v>2.7293310000000006</c:v>
                </c:pt>
                <c:pt idx="11">
                  <c:v>2.7293310000000006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9C2-4B61-8F67-863EC62A68B1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9C2-4B61-8F67-863EC62A68B1}"/>
              </c:ext>
            </c:extLst>
          </c:dPt>
          <c:xVal>
            <c:numRef>
              <c:f>PlotN!$AB$9:$AO$9</c:f>
              <c:numCache>
                <c:formatCode>General</c:formatCode>
                <c:ptCount val="14"/>
                <c:pt idx="0">
                  <c:v>4.5</c:v>
                </c:pt>
                <c:pt idx="1">
                  <c:v>4.4906002999999997</c:v>
                </c:pt>
                <c:pt idx="2">
                  <c:v>4.4812005999999993</c:v>
                </c:pt>
                <c:pt idx="3">
                  <c:v>4.471800899999999</c:v>
                </c:pt>
                <c:pt idx="4">
                  <c:v>4.4624011999999986</c:v>
                </c:pt>
                <c:pt idx="5">
                  <c:v>4.4530014999999983</c:v>
                </c:pt>
                <c:pt idx="6">
                  <c:v>4.4436017999999979</c:v>
                </c:pt>
                <c:pt idx="7">
                  <c:v>4.4342020999999976</c:v>
                </c:pt>
                <c:pt idx="8">
                  <c:v>4.4248023999999972</c:v>
                </c:pt>
                <c:pt idx="9">
                  <c:v>4.4154026999999969</c:v>
                </c:pt>
                <c:pt idx="10">
                  <c:v>4.4060029999999966</c:v>
                </c:pt>
                <c:pt idx="11">
                  <c:v>4.4060029999999966</c:v>
                </c:pt>
                <c:pt idx="12">
                  <c:v>4.5</c:v>
                </c:pt>
                <c:pt idx="13">
                  <c:v>4.5</c:v>
                </c:pt>
              </c:numCache>
            </c:numRef>
          </c:xVal>
          <c:yVal>
            <c:numRef>
              <c:f>PlotN!$AR$9:$BE$9</c:f>
              <c:numCache>
                <c:formatCode>General</c:formatCode>
                <c:ptCount val="14"/>
                <c:pt idx="0">
                  <c:v>3.6</c:v>
                </c:pt>
                <c:pt idx="1">
                  <c:v>3.5144827000000003</c:v>
                </c:pt>
                <c:pt idx="2">
                  <c:v>3.4289654000000001</c:v>
                </c:pt>
                <c:pt idx="3">
                  <c:v>3.3434480999999998</c:v>
                </c:pt>
                <c:pt idx="4">
                  <c:v>3.2579307999999996</c:v>
                </c:pt>
                <c:pt idx="5">
                  <c:v>3.1724134999999993</c:v>
                </c:pt>
                <c:pt idx="6">
                  <c:v>3.0868961999999991</c:v>
                </c:pt>
                <c:pt idx="7">
                  <c:v>3.0013788999999989</c:v>
                </c:pt>
                <c:pt idx="8">
                  <c:v>2.9158615999999986</c:v>
                </c:pt>
                <c:pt idx="9">
                  <c:v>2.8303442999999984</c:v>
                </c:pt>
                <c:pt idx="10">
                  <c:v>2.7448269999999981</c:v>
                </c:pt>
                <c:pt idx="11">
                  <c:v>2.7448269999999981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9C2-4B61-8F67-863EC62A68B1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9C2-4B61-8F67-863EC62A68B1}"/>
              </c:ext>
            </c:extLst>
          </c:dPt>
          <c:xVal>
            <c:numRef>
              <c:f>PlotN!$AB$10:$AO$10</c:f>
              <c:numCache>
                <c:formatCode>General</c:formatCode>
                <c:ptCount val="14"/>
                <c:pt idx="0">
                  <c:v>2.5508169999999999</c:v>
                </c:pt>
                <c:pt idx="1">
                  <c:v>2.6857352999999997</c:v>
                </c:pt>
                <c:pt idx="2">
                  <c:v>2.8206535999999995</c:v>
                </c:pt>
                <c:pt idx="3">
                  <c:v>2.9555718999999994</c:v>
                </c:pt>
                <c:pt idx="4">
                  <c:v>3.0904901999999992</c:v>
                </c:pt>
                <c:pt idx="5">
                  <c:v>3.225408499999999</c:v>
                </c:pt>
                <c:pt idx="6">
                  <c:v>3.3603267999999988</c:v>
                </c:pt>
                <c:pt idx="7">
                  <c:v>3.4952450999999987</c:v>
                </c:pt>
                <c:pt idx="8">
                  <c:v>3.6301633999999985</c:v>
                </c:pt>
                <c:pt idx="9">
                  <c:v>3.7650816999999983</c:v>
                </c:pt>
                <c:pt idx="10">
                  <c:v>3.8999999999999981</c:v>
                </c:pt>
                <c:pt idx="11">
                  <c:v>3.8999999999999981</c:v>
                </c:pt>
                <c:pt idx="12">
                  <c:v>2.5508169999999999</c:v>
                </c:pt>
                <c:pt idx="13">
                  <c:v>2.5508169999999999</c:v>
                </c:pt>
              </c:numCache>
            </c:numRef>
          </c:xVal>
          <c:yVal>
            <c:numRef>
              <c:f>PlotN!$AR$10:$BE$10</c:f>
              <c:numCache>
                <c:formatCode>General</c:formatCode>
                <c:ptCount val="14"/>
                <c:pt idx="0">
                  <c:v>0.89983599999999997</c:v>
                </c:pt>
                <c:pt idx="1">
                  <c:v>0.8998524</c:v>
                </c:pt>
                <c:pt idx="2">
                  <c:v>0.89986880000000002</c:v>
                </c:pt>
                <c:pt idx="3">
                  <c:v>0.89988520000000005</c:v>
                </c:pt>
                <c:pt idx="4">
                  <c:v>0.89990160000000008</c:v>
                </c:pt>
                <c:pt idx="5">
                  <c:v>0.89991800000000011</c:v>
                </c:pt>
                <c:pt idx="6">
                  <c:v>0.89993440000000013</c:v>
                </c:pt>
                <c:pt idx="7">
                  <c:v>0.89995080000000016</c:v>
                </c:pt>
                <c:pt idx="8">
                  <c:v>0.89996720000000019</c:v>
                </c:pt>
                <c:pt idx="9">
                  <c:v>0.89998360000000022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0.89983599999999997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9C2-4B61-8F67-863EC62A68B1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9C2-4B61-8F67-863EC62A68B1}"/>
              </c:ext>
            </c:extLst>
          </c:dPt>
          <c:xVal>
            <c:numRef>
              <c:f>PlotN!$AB$11:$AO$11</c:f>
              <c:numCache>
                <c:formatCode>General</c:formatCode>
                <c:ptCount val="14"/>
                <c:pt idx="0">
                  <c:v>5.2717559999999999</c:v>
                </c:pt>
                <c:pt idx="1">
                  <c:v>5.6145803999999995</c:v>
                </c:pt>
                <c:pt idx="2">
                  <c:v>5.9574047999999991</c:v>
                </c:pt>
                <c:pt idx="3">
                  <c:v>6.3002291999999986</c:v>
                </c:pt>
                <c:pt idx="4">
                  <c:v>6.6430535999999982</c:v>
                </c:pt>
                <c:pt idx="5">
                  <c:v>6.9858779999999978</c:v>
                </c:pt>
                <c:pt idx="6">
                  <c:v>7.3287023999999974</c:v>
                </c:pt>
                <c:pt idx="7">
                  <c:v>7.671526799999997</c:v>
                </c:pt>
                <c:pt idx="8">
                  <c:v>8.0143511999999966</c:v>
                </c:pt>
                <c:pt idx="9">
                  <c:v>8.3571755999999962</c:v>
                </c:pt>
                <c:pt idx="10">
                  <c:v>8.6999999999999957</c:v>
                </c:pt>
                <c:pt idx="11">
                  <c:v>8.6999999999999957</c:v>
                </c:pt>
                <c:pt idx="12">
                  <c:v>5.2717559999999999</c:v>
                </c:pt>
                <c:pt idx="13">
                  <c:v>5.2717559999999999</c:v>
                </c:pt>
              </c:numCache>
            </c:numRef>
          </c:xVal>
          <c:yVal>
            <c:numRef>
              <c:f>PlotN!$AR$11:$BE$11</c:f>
              <c:numCache>
                <c:formatCode>General</c:formatCode>
                <c:ptCount val="14"/>
                <c:pt idx="0">
                  <c:v>0.89983599999999997</c:v>
                </c:pt>
                <c:pt idx="1">
                  <c:v>0.8998524</c:v>
                </c:pt>
                <c:pt idx="2">
                  <c:v>0.89986880000000002</c:v>
                </c:pt>
                <c:pt idx="3">
                  <c:v>0.89988520000000005</c:v>
                </c:pt>
                <c:pt idx="4">
                  <c:v>0.89990160000000008</c:v>
                </c:pt>
                <c:pt idx="5">
                  <c:v>0.89991800000000011</c:v>
                </c:pt>
                <c:pt idx="6">
                  <c:v>0.89993440000000013</c:v>
                </c:pt>
                <c:pt idx="7">
                  <c:v>0.89995080000000016</c:v>
                </c:pt>
                <c:pt idx="8">
                  <c:v>0.89996720000000019</c:v>
                </c:pt>
                <c:pt idx="9">
                  <c:v>0.89998360000000022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0.89983599999999997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9C2-4B61-8F67-863EC62A68B1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9C2-4B61-8F67-863EC62A68B1}"/>
              </c:ext>
            </c:extLst>
          </c:dPt>
          <c:xVal>
            <c:numRef>
              <c:f>PlotN!$AB$12:$AO$12</c:f>
              <c:numCache>
                <c:formatCode>General</c:formatCode>
                <c:ptCount val="14"/>
                <c:pt idx="0">
                  <c:v>3.38565</c:v>
                </c:pt>
                <c:pt idx="1">
                  <c:v>3.4370850000000002</c:v>
                </c:pt>
                <c:pt idx="2">
                  <c:v>3.4885200000000003</c:v>
                </c:pt>
                <c:pt idx="3">
                  <c:v>3.5399550000000004</c:v>
                </c:pt>
                <c:pt idx="4">
                  <c:v>3.5913900000000005</c:v>
                </c:pt>
                <c:pt idx="5">
                  <c:v>3.6428250000000006</c:v>
                </c:pt>
                <c:pt idx="6">
                  <c:v>3.6942600000000008</c:v>
                </c:pt>
                <c:pt idx="7">
                  <c:v>3.7456950000000009</c:v>
                </c:pt>
                <c:pt idx="8">
                  <c:v>3.797130000000001</c:v>
                </c:pt>
                <c:pt idx="9">
                  <c:v>3.8485650000000011</c:v>
                </c:pt>
                <c:pt idx="10">
                  <c:v>3.9000000000000012</c:v>
                </c:pt>
                <c:pt idx="11">
                  <c:v>3.9000000000000012</c:v>
                </c:pt>
                <c:pt idx="12">
                  <c:v>3.38565</c:v>
                </c:pt>
                <c:pt idx="13">
                  <c:v>3.38565</c:v>
                </c:pt>
              </c:numCache>
            </c:numRef>
          </c:xVal>
          <c:yVal>
            <c:numRef>
              <c:f>PlotN!$AR$12:$BE$12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2.2463979000000003</c:v>
                </c:pt>
                <c:pt idx="2">
                  <c:v>1.7634648000000002</c:v>
                </c:pt>
                <c:pt idx="3">
                  <c:v>1.2805317000000001</c:v>
                </c:pt>
                <c:pt idx="4">
                  <c:v>0.79759859999999994</c:v>
                </c:pt>
                <c:pt idx="5">
                  <c:v>0.31466549999999988</c:v>
                </c:pt>
                <c:pt idx="6">
                  <c:v>-0.16826760000000018</c:v>
                </c:pt>
                <c:pt idx="7">
                  <c:v>-0.65120070000000019</c:v>
                </c:pt>
                <c:pt idx="8">
                  <c:v>-1.1341338000000003</c:v>
                </c:pt>
                <c:pt idx="9">
                  <c:v>-1.6170669000000004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9C2-4B61-8F67-863EC62A68B1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9C2-4B61-8F67-863EC62A68B1}"/>
              </c:ext>
            </c:extLst>
          </c:dPt>
          <c:xVal>
            <c:numRef>
              <c:f>PlotN!$AB$13:$AO$13</c:f>
              <c:numCache>
                <c:formatCode>General</c:formatCode>
                <c:ptCount val="14"/>
                <c:pt idx="0">
                  <c:v>4.4060030000000001</c:v>
                </c:pt>
                <c:pt idx="1">
                  <c:v>4.3554027</c:v>
                </c:pt>
                <c:pt idx="2">
                  <c:v>4.3048023999999998</c:v>
                </c:pt>
                <c:pt idx="3">
                  <c:v>4.2542020999999997</c:v>
                </c:pt>
                <c:pt idx="4">
                  <c:v>4.2036017999999995</c:v>
                </c:pt>
                <c:pt idx="5">
                  <c:v>4.1530014999999993</c:v>
                </c:pt>
                <c:pt idx="6">
                  <c:v>4.1024011999999992</c:v>
                </c:pt>
                <c:pt idx="7">
                  <c:v>4.051800899999999</c:v>
                </c:pt>
                <c:pt idx="8">
                  <c:v>4.0012005999999989</c:v>
                </c:pt>
                <c:pt idx="9">
                  <c:v>3.9506002999999987</c:v>
                </c:pt>
                <c:pt idx="10">
                  <c:v>3.8999999999999986</c:v>
                </c:pt>
                <c:pt idx="11">
                  <c:v>3.8999999999999986</c:v>
                </c:pt>
                <c:pt idx="12">
                  <c:v>4.4060030000000001</c:v>
                </c:pt>
                <c:pt idx="13">
                  <c:v>4.4060030000000001</c:v>
                </c:pt>
              </c:numCache>
            </c:numRef>
          </c:xVal>
          <c:yVal>
            <c:numRef>
              <c:f>PlotN!$AR$13:$BE$13</c:f>
              <c:numCache>
                <c:formatCode>General</c:formatCode>
                <c:ptCount val="14"/>
                <c:pt idx="0">
                  <c:v>2.7448269999999999</c:v>
                </c:pt>
                <c:pt idx="1">
                  <c:v>2.2603442999999999</c:v>
                </c:pt>
                <c:pt idx="2">
                  <c:v>1.7758615999999998</c:v>
                </c:pt>
                <c:pt idx="3">
                  <c:v>1.2913788999999998</c:v>
                </c:pt>
                <c:pt idx="4">
                  <c:v>0.80689619999999973</c:v>
                </c:pt>
                <c:pt idx="5">
                  <c:v>0.32241349999999969</c:v>
                </c:pt>
                <c:pt idx="6">
                  <c:v>-0.16206920000000036</c:v>
                </c:pt>
                <c:pt idx="7">
                  <c:v>-0.6465519000000004</c:v>
                </c:pt>
                <c:pt idx="8">
                  <c:v>-1.1310346000000004</c:v>
                </c:pt>
                <c:pt idx="9">
                  <c:v>-1.6155173000000005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2.7448269999999999</c:v>
                </c:pt>
                <c:pt idx="13">
                  <c:v>2.7448269999999999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9C2-4B61-8F67-863EC62A68B1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9C2-4B61-8F67-863EC62A68B1}"/>
              </c:ext>
            </c:extLst>
          </c:dPt>
          <c:xVal>
            <c:numRef>
              <c:f>PlotN!$AB$14:$AO$14</c:f>
              <c:numCache>
                <c:formatCode>General</c:formatCode>
                <c:ptCount val="14"/>
                <c:pt idx="0">
                  <c:v>3.38565</c:v>
                </c:pt>
                <c:pt idx="1">
                  <c:v>3.3021666999999999</c:v>
                </c:pt>
                <c:pt idx="2">
                  <c:v>3.2186833999999998</c:v>
                </c:pt>
                <c:pt idx="3">
                  <c:v>3.1352000999999996</c:v>
                </c:pt>
                <c:pt idx="4">
                  <c:v>3.0517167999999995</c:v>
                </c:pt>
                <c:pt idx="5">
                  <c:v>2.9682334999999993</c:v>
                </c:pt>
                <c:pt idx="6">
                  <c:v>2.8847501999999992</c:v>
                </c:pt>
                <c:pt idx="7">
                  <c:v>2.801266899999999</c:v>
                </c:pt>
                <c:pt idx="8">
                  <c:v>2.7177835999999989</c:v>
                </c:pt>
                <c:pt idx="9">
                  <c:v>2.6343002999999987</c:v>
                </c:pt>
                <c:pt idx="10">
                  <c:v>2.5508169999999986</c:v>
                </c:pt>
                <c:pt idx="11">
                  <c:v>2.5508169999999986</c:v>
                </c:pt>
                <c:pt idx="12">
                  <c:v>3.38565</c:v>
                </c:pt>
                <c:pt idx="13">
                  <c:v>3.38565</c:v>
                </c:pt>
              </c:numCache>
            </c:numRef>
          </c:xVal>
          <c:yVal>
            <c:numRef>
              <c:f>PlotN!$AR$14:$BE$14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2.5463815000000003</c:v>
                </c:pt>
                <c:pt idx="2">
                  <c:v>2.3634320000000004</c:v>
                </c:pt>
                <c:pt idx="3">
                  <c:v>2.1804825000000005</c:v>
                </c:pt>
                <c:pt idx="4">
                  <c:v>1.9975330000000004</c:v>
                </c:pt>
                <c:pt idx="5">
                  <c:v>1.8145835000000003</c:v>
                </c:pt>
                <c:pt idx="6">
                  <c:v>1.6316340000000003</c:v>
                </c:pt>
                <c:pt idx="7">
                  <c:v>1.4486845000000002</c:v>
                </c:pt>
                <c:pt idx="8">
                  <c:v>1.2657350000000001</c:v>
                </c:pt>
                <c:pt idx="9">
                  <c:v>1.0827855</c:v>
                </c:pt>
                <c:pt idx="10">
                  <c:v>0.89983599999999986</c:v>
                </c:pt>
                <c:pt idx="11">
                  <c:v>0.89983599999999986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9C2-4B61-8F67-863EC62A68B1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9C2-4B61-8F67-863EC62A68B1}"/>
              </c:ext>
            </c:extLst>
          </c:dPt>
          <c:xVal>
            <c:numRef>
              <c:f>PlotN!$AB$15:$AO$15</c:f>
              <c:numCache>
                <c:formatCode>General</c:formatCode>
                <c:ptCount val="14"/>
                <c:pt idx="0">
                  <c:v>4.4060030000000001</c:v>
                </c:pt>
                <c:pt idx="1">
                  <c:v>4.4925782999999999</c:v>
                </c:pt>
                <c:pt idx="2">
                  <c:v>4.5791535999999997</c:v>
                </c:pt>
                <c:pt idx="3">
                  <c:v>4.6657288999999995</c:v>
                </c:pt>
                <c:pt idx="4">
                  <c:v>4.7523041999999993</c:v>
                </c:pt>
                <c:pt idx="5">
                  <c:v>4.8388794999999991</c:v>
                </c:pt>
                <c:pt idx="6">
                  <c:v>4.9254547999999989</c:v>
                </c:pt>
                <c:pt idx="7">
                  <c:v>5.0120300999999987</c:v>
                </c:pt>
                <c:pt idx="8">
                  <c:v>5.0986053999999985</c:v>
                </c:pt>
                <c:pt idx="9">
                  <c:v>5.1851806999999983</c:v>
                </c:pt>
                <c:pt idx="10">
                  <c:v>5.2717559999999981</c:v>
                </c:pt>
                <c:pt idx="11">
                  <c:v>5.2717559999999981</c:v>
                </c:pt>
                <c:pt idx="12">
                  <c:v>4.4060030000000001</c:v>
                </c:pt>
                <c:pt idx="13">
                  <c:v>4.4060030000000001</c:v>
                </c:pt>
              </c:numCache>
            </c:numRef>
          </c:xVal>
          <c:yVal>
            <c:numRef>
              <c:f>PlotN!$AR$15:$BE$15</c:f>
              <c:numCache>
                <c:formatCode>General</c:formatCode>
                <c:ptCount val="14"/>
                <c:pt idx="0">
                  <c:v>2.7448269999999999</c:v>
                </c:pt>
                <c:pt idx="1">
                  <c:v>2.5603278999999999</c:v>
                </c:pt>
                <c:pt idx="2">
                  <c:v>2.3758287999999999</c:v>
                </c:pt>
                <c:pt idx="3">
                  <c:v>2.1913296999999998</c:v>
                </c:pt>
                <c:pt idx="4">
                  <c:v>2.0068305999999998</c:v>
                </c:pt>
                <c:pt idx="5">
                  <c:v>1.8223314999999998</c:v>
                </c:pt>
                <c:pt idx="6">
                  <c:v>1.6378323999999997</c:v>
                </c:pt>
                <c:pt idx="7">
                  <c:v>1.4533332999999997</c:v>
                </c:pt>
                <c:pt idx="8">
                  <c:v>1.2688341999999997</c:v>
                </c:pt>
                <c:pt idx="9">
                  <c:v>1.0843350999999997</c:v>
                </c:pt>
                <c:pt idx="10">
                  <c:v>0.89983599999999964</c:v>
                </c:pt>
                <c:pt idx="11">
                  <c:v>0.89983599999999964</c:v>
                </c:pt>
                <c:pt idx="12">
                  <c:v>2.7448269999999999</c:v>
                </c:pt>
                <c:pt idx="13">
                  <c:v>2.7448269999999999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9C2-4B61-8F67-863EC62A68B1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9C2-4B61-8F67-863EC62A68B1}"/>
              </c:ext>
            </c:extLst>
          </c:dPt>
          <c:xVal>
            <c:numRef>
              <c:f>PlotN!$AB$16:$AO$16</c:f>
              <c:numCache>
                <c:formatCode>General</c:formatCode>
                <c:ptCount val="14"/>
                <c:pt idx="0">
                  <c:v>-6.45</c:v>
                </c:pt>
                <c:pt idx="1">
                  <c:v>-6.3900000000000006</c:v>
                </c:pt>
                <c:pt idx="2">
                  <c:v>-6.33</c:v>
                </c:pt>
                <c:pt idx="3">
                  <c:v>-6.27</c:v>
                </c:pt>
                <c:pt idx="4">
                  <c:v>-6.2099999999999991</c:v>
                </c:pt>
                <c:pt idx="5">
                  <c:v>-6.1499999999999986</c:v>
                </c:pt>
                <c:pt idx="6">
                  <c:v>-6.0899999999999981</c:v>
                </c:pt>
                <c:pt idx="7">
                  <c:v>-6.0299999999999976</c:v>
                </c:pt>
                <c:pt idx="8">
                  <c:v>-5.9699999999999971</c:v>
                </c:pt>
                <c:pt idx="9">
                  <c:v>-5.9099999999999966</c:v>
                </c:pt>
                <c:pt idx="10">
                  <c:v>-5.8499999999999961</c:v>
                </c:pt>
                <c:pt idx="11">
                  <c:v>-5.8499999999999961</c:v>
                </c:pt>
                <c:pt idx="12">
                  <c:v>-6.45</c:v>
                </c:pt>
                <c:pt idx="13">
                  <c:v>-6.45</c:v>
                </c:pt>
              </c:numCache>
            </c:numRef>
          </c:xVal>
          <c:yVal>
            <c:numRef>
              <c:f>PlotN!$AR$16:$BE$16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9C2-4B61-8F67-863EC62A68B1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9C2-4B61-8F67-863EC62A68B1}"/>
              </c:ext>
            </c:extLst>
          </c:dPt>
          <c:xVal>
            <c:numRef>
              <c:f>PlotN!$AB$17:$AO$17</c:f>
              <c:numCache>
                <c:formatCode>General</c:formatCode>
                <c:ptCount val="14"/>
                <c:pt idx="0">
                  <c:v>-5.85</c:v>
                </c:pt>
                <c:pt idx="1">
                  <c:v>-5.6999999999999993</c:v>
                </c:pt>
                <c:pt idx="2">
                  <c:v>-5.5499999999999989</c:v>
                </c:pt>
                <c:pt idx="3">
                  <c:v>-5.3999999999999986</c:v>
                </c:pt>
                <c:pt idx="4">
                  <c:v>-5.2499999999999982</c:v>
                </c:pt>
                <c:pt idx="5">
                  <c:v>-5.0999999999999979</c:v>
                </c:pt>
                <c:pt idx="6">
                  <c:v>-4.9499999999999975</c:v>
                </c:pt>
                <c:pt idx="7">
                  <c:v>-4.7999999999999972</c:v>
                </c:pt>
                <c:pt idx="8">
                  <c:v>-4.6499999999999968</c:v>
                </c:pt>
                <c:pt idx="9">
                  <c:v>-4.4999999999999964</c:v>
                </c:pt>
                <c:pt idx="10">
                  <c:v>-4.3499999999999961</c:v>
                </c:pt>
                <c:pt idx="11">
                  <c:v>-4.3499999999999961</c:v>
                </c:pt>
                <c:pt idx="12">
                  <c:v>-5.85</c:v>
                </c:pt>
                <c:pt idx="13">
                  <c:v>-5.85</c:v>
                </c:pt>
              </c:numCache>
            </c:numRef>
          </c:xVal>
          <c:yVal>
            <c:numRef>
              <c:f>PlotN!$AR$17:$BE$17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9C2-4B61-8F67-863EC62A68B1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9C2-4B61-8F67-863EC62A68B1}"/>
              </c:ext>
            </c:extLst>
          </c:dPt>
          <c:xVal>
            <c:numRef>
              <c:f>PlotN!$AB$18:$AO$18</c:f>
              <c:numCache>
                <c:formatCode>General</c:formatCode>
                <c:ptCount val="14"/>
                <c:pt idx="0">
                  <c:v>-4.3499999999999996</c:v>
                </c:pt>
                <c:pt idx="1">
                  <c:v>-4.29</c:v>
                </c:pt>
                <c:pt idx="2">
                  <c:v>-4.2300000000000004</c:v>
                </c:pt>
                <c:pt idx="3">
                  <c:v>-4.1700000000000008</c:v>
                </c:pt>
                <c:pt idx="4">
                  <c:v>-4.1100000000000012</c:v>
                </c:pt>
                <c:pt idx="5">
                  <c:v>-4.0500000000000016</c:v>
                </c:pt>
                <c:pt idx="6">
                  <c:v>-3.9900000000000015</c:v>
                </c:pt>
                <c:pt idx="7">
                  <c:v>-3.9300000000000015</c:v>
                </c:pt>
                <c:pt idx="8">
                  <c:v>-3.8700000000000014</c:v>
                </c:pt>
                <c:pt idx="9">
                  <c:v>-3.8100000000000014</c:v>
                </c:pt>
                <c:pt idx="10">
                  <c:v>-3.7500000000000013</c:v>
                </c:pt>
                <c:pt idx="11">
                  <c:v>-3.7500000000000013</c:v>
                </c:pt>
                <c:pt idx="12">
                  <c:v>-4.3499999999999996</c:v>
                </c:pt>
                <c:pt idx="13">
                  <c:v>-4.3499999999999996</c:v>
                </c:pt>
              </c:numCache>
            </c:numRef>
          </c:xVal>
          <c:yVal>
            <c:numRef>
              <c:f>PlotN!$AR$18:$BE$18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9C2-4B61-8F67-863EC62A68B1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9C2-4B61-8F67-863EC62A68B1}"/>
              </c:ext>
            </c:extLst>
          </c:dPt>
          <c:xVal>
            <c:numRef>
              <c:f>PlotN!$AB$19:$AO$19</c:f>
              <c:numCache>
                <c:formatCode>General</c:formatCode>
                <c:ptCount val="14"/>
                <c:pt idx="0">
                  <c:v>-5.55</c:v>
                </c:pt>
                <c:pt idx="1">
                  <c:v>-5.58</c:v>
                </c:pt>
                <c:pt idx="2">
                  <c:v>-5.61</c:v>
                </c:pt>
                <c:pt idx="3">
                  <c:v>-5.6400000000000006</c:v>
                </c:pt>
                <c:pt idx="4">
                  <c:v>-5.6700000000000008</c:v>
                </c:pt>
                <c:pt idx="5">
                  <c:v>-5.7000000000000011</c:v>
                </c:pt>
                <c:pt idx="6">
                  <c:v>-5.7300000000000013</c:v>
                </c:pt>
                <c:pt idx="7">
                  <c:v>-5.7600000000000016</c:v>
                </c:pt>
                <c:pt idx="8">
                  <c:v>-5.7900000000000018</c:v>
                </c:pt>
                <c:pt idx="9">
                  <c:v>-5.8200000000000021</c:v>
                </c:pt>
                <c:pt idx="10">
                  <c:v>-5.8500000000000023</c:v>
                </c:pt>
                <c:pt idx="11">
                  <c:v>-5.8500000000000023</c:v>
                </c:pt>
                <c:pt idx="12">
                  <c:v>-5.55</c:v>
                </c:pt>
                <c:pt idx="13">
                  <c:v>-5.55</c:v>
                </c:pt>
              </c:numCache>
            </c:numRef>
          </c:xVal>
          <c:yVal>
            <c:numRef>
              <c:f>PlotN!$AR$19:$BE$19</c:f>
              <c:numCache>
                <c:formatCode>General</c:formatCode>
                <c:ptCount val="14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  <c:pt idx="11">
                  <c:v>0.90000000000000036</c:v>
                </c:pt>
                <c:pt idx="12">
                  <c:v>2.85</c:v>
                </c:pt>
                <c:pt idx="13">
                  <c:v>2.85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9C2-4B61-8F67-863EC62A68B1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9C2-4B61-8F67-863EC62A68B1}"/>
              </c:ext>
            </c:extLst>
          </c:dPt>
          <c:xVal>
            <c:numRef>
              <c:f>PlotN!$AB$20:$AO$20</c:f>
              <c:numCache>
                <c:formatCode>General</c:formatCode>
                <c:ptCount val="14"/>
                <c:pt idx="0">
                  <c:v>-4.6500000000000004</c:v>
                </c:pt>
                <c:pt idx="1">
                  <c:v>-4.62</c:v>
                </c:pt>
                <c:pt idx="2">
                  <c:v>-4.59</c:v>
                </c:pt>
                <c:pt idx="3">
                  <c:v>-4.5599999999999996</c:v>
                </c:pt>
                <c:pt idx="4">
                  <c:v>-4.5299999999999994</c:v>
                </c:pt>
                <c:pt idx="5">
                  <c:v>-4.4999999999999991</c:v>
                </c:pt>
                <c:pt idx="6">
                  <c:v>-4.4699999999999989</c:v>
                </c:pt>
                <c:pt idx="7">
                  <c:v>-4.4399999999999986</c:v>
                </c:pt>
                <c:pt idx="8">
                  <c:v>-4.4099999999999984</c:v>
                </c:pt>
                <c:pt idx="9">
                  <c:v>-4.3799999999999981</c:v>
                </c:pt>
                <c:pt idx="10">
                  <c:v>-4.3499999999999979</c:v>
                </c:pt>
                <c:pt idx="11">
                  <c:v>-4.3499999999999979</c:v>
                </c:pt>
                <c:pt idx="12">
                  <c:v>-4.6500000000000004</c:v>
                </c:pt>
                <c:pt idx="13">
                  <c:v>-4.6500000000000004</c:v>
                </c:pt>
              </c:numCache>
            </c:numRef>
          </c:xVal>
          <c:yVal>
            <c:numRef>
              <c:f>PlotN!$AR$20:$BE$20</c:f>
              <c:numCache>
                <c:formatCode>General</c:formatCode>
                <c:ptCount val="14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  <c:pt idx="11">
                  <c:v>0.90000000000000036</c:v>
                </c:pt>
                <c:pt idx="12">
                  <c:v>2.85</c:v>
                </c:pt>
                <c:pt idx="13">
                  <c:v>2.85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9C2-4B61-8F67-863EC62A68B1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9C2-4B61-8F67-863EC62A68B1}"/>
              </c:ext>
            </c:extLst>
          </c:dPt>
          <c:xVal>
            <c:numRef>
              <c:f>PlotN!$AB$21:$AO$21</c:f>
              <c:numCache>
                <c:formatCode>General</c:formatCode>
                <c:ptCount val="14"/>
                <c:pt idx="0">
                  <c:v>8.6999999999999993</c:v>
                </c:pt>
                <c:pt idx="1">
                  <c:v>9.0449999999999999</c:v>
                </c:pt>
                <c:pt idx="2">
                  <c:v>9.39</c:v>
                </c:pt>
                <c:pt idx="3">
                  <c:v>9.7350000000000012</c:v>
                </c:pt>
                <c:pt idx="4">
                  <c:v>10.080000000000002</c:v>
                </c:pt>
                <c:pt idx="5">
                  <c:v>10.425000000000002</c:v>
                </c:pt>
                <c:pt idx="6">
                  <c:v>10.770000000000003</c:v>
                </c:pt>
                <c:pt idx="7">
                  <c:v>11.115000000000004</c:v>
                </c:pt>
                <c:pt idx="8">
                  <c:v>11.460000000000004</c:v>
                </c:pt>
                <c:pt idx="9">
                  <c:v>11.805000000000005</c:v>
                </c:pt>
                <c:pt idx="10">
                  <c:v>12.150000000000006</c:v>
                </c:pt>
                <c:pt idx="11">
                  <c:v>12.150000000000006</c:v>
                </c:pt>
                <c:pt idx="12">
                  <c:v>8.6999999999999993</c:v>
                </c:pt>
                <c:pt idx="13">
                  <c:v>8.6999999999999993</c:v>
                </c:pt>
              </c:numCache>
            </c:numRef>
          </c:xVal>
          <c:yVal>
            <c:numRef>
              <c:f>PlotN!$AR$21:$BE$21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9C2-4B61-8F67-863EC62A68B1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9C2-4B61-8F67-863EC62A68B1}"/>
              </c:ext>
            </c:extLst>
          </c:dPt>
          <c:xVal>
            <c:numRef>
              <c:f>PlotN!$AB$22:$AO$22</c:f>
              <c:numCache>
                <c:formatCode>General</c:formatCode>
                <c:ptCount val="14"/>
                <c:pt idx="0">
                  <c:v>3.38565</c:v>
                </c:pt>
                <c:pt idx="1">
                  <c:v>3.4876852999999999</c:v>
                </c:pt>
                <c:pt idx="2">
                  <c:v>3.5897205999999997</c:v>
                </c:pt>
                <c:pt idx="3">
                  <c:v>3.6917558999999995</c:v>
                </c:pt>
                <c:pt idx="4">
                  <c:v>3.7937911999999994</c:v>
                </c:pt>
                <c:pt idx="5">
                  <c:v>3.8958264999999992</c:v>
                </c:pt>
                <c:pt idx="6">
                  <c:v>3.997861799999999</c:v>
                </c:pt>
                <c:pt idx="7">
                  <c:v>4.0998970999999989</c:v>
                </c:pt>
                <c:pt idx="8">
                  <c:v>4.2019323999999987</c:v>
                </c:pt>
                <c:pt idx="9">
                  <c:v>4.3039676999999985</c:v>
                </c:pt>
                <c:pt idx="10">
                  <c:v>4.4060029999999983</c:v>
                </c:pt>
                <c:pt idx="11">
                  <c:v>4.4060029999999983</c:v>
                </c:pt>
                <c:pt idx="12">
                  <c:v>3.38565</c:v>
                </c:pt>
                <c:pt idx="13">
                  <c:v>3.38565</c:v>
                </c:pt>
              </c:numCache>
            </c:numRef>
          </c:xVal>
          <c:yVal>
            <c:numRef>
              <c:f>PlotN!$AR$22:$BE$22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2.7308806000000003</c:v>
                </c:pt>
                <c:pt idx="2">
                  <c:v>2.7324302000000005</c:v>
                </c:pt>
                <c:pt idx="3">
                  <c:v>2.7339798000000006</c:v>
                </c:pt>
                <c:pt idx="4">
                  <c:v>2.7355294000000008</c:v>
                </c:pt>
                <c:pt idx="5">
                  <c:v>2.7370790000000009</c:v>
                </c:pt>
                <c:pt idx="6">
                  <c:v>2.7386286000000011</c:v>
                </c:pt>
                <c:pt idx="7">
                  <c:v>2.7401782000000012</c:v>
                </c:pt>
                <c:pt idx="8">
                  <c:v>2.7417278000000014</c:v>
                </c:pt>
                <c:pt idx="9">
                  <c:v>2.7432774000000015</c:v>
                </c:pt>
                <c:pt idx="10">
                  <c:v>2.7448270000000017</c:v>
                </c:pt>
                <c:pt idx="11">
                  <c:v>2.7448270000000017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9C2-4B61-8F67-863EC62A68B1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9C2-4B61-8F67-863EC62A68B1}"/>
              </c:ext>
            </c:extLst>
          </c:dPt>
          <c:xVal>
            <c:numRef>
              <c:f>PlotN!$AB$23:$AO$23</c:f>
              <c:numCache>
                <c:formatCode>General</c:formatCode>
                <c:ptCount val="14"/>
                <c:pt idx="0">
                  <c:v>12.15</c:v>
                </c:pt>
                <c:pt idx="1">
                  <c:v>12.4950817</c:v>
                </c:pt>
                <c:pt idx="2">
                  <c:v>12.8401634</c:v>
                </c:pt>
                <c:pt idx="3">
                  <c:v>13.185245099999999</c:v>
                </c:pt>
                <c:pt idx="4">
                  <c:v>13.530326799999999</c:v>
                </c:pt>
                <c:pt idx="5">
                  <c:v>13.875408499999999</c:v>
                </c:pt>
                <c:pt idx="6">
                  <c:v>14.220490199999999</c:v>
                </c:pt>
                <c:pt idx="7">
                  <c:v>14.565571899999998</c:v>
                </c:pt>
                <c:pt idx="8">
                  <c:v>14.910653599999998</c:v>
                </c:pt>
                <c:pt idx="9">
                  <c:v>15.255735299999998</c:v>
                </c:pt>
                <c:pt idx="10">
                  <c:v>15.600816999999997</c:v>
                </c:pt>
                <c:pt idx="11">
                  <c:v>15.600816999999997</c:v>
                </c:pt>
                <c:pt idx="12">
                  <c:v>12.15</c:v>
                </c:pt>
                <c:pt idx="13">
                  <c:v>12.15</c:v>
                </c:pt>
              </c:numCache>
            </c:numRef>
          </c:xVal>
          <c:yVal>
            <c:numRef>
              <c:f>PlotN!$AR$23:$BE$23</c:f>
              <c:numCache>
                <c:formatCode>General</c:formatCode>
                <c:ptCount val="14"/>
                <c:pt idx="0">
                  <c:v>0.9</c:v>
                </c:pt>
                <c:pt idx="1">
                  <c:v>0.89998359999999999</c:v>
                </c:pt>
                <c:pt idx="2">
                  <c:v>0.89996719999999997</c:v>
                </c:pt>
                <c:pt idx="3">
                  <c:v>0.89995079999999994</c:v>
                </c:pt>
                <c:pt idx="4">
                  <c:v>0.89993439999999991</c:v>
                </c:pt>
                <c:pt idx="5">
                  <c:v>0.89991799999999988</c:v>
                </c:pt>
                <c:pt idx="6">
                  <c:v>0.89990159999999986</c:v>
                </c:pt>
                <c:pt idx="7">
                  <c:v>0.89988519999999983</c:v>
                </c:pt>
                <c:pt idx="8">
                  <c:v>0.8998687999999998</c:v>
                </c:pt>
                <c:pt idx="9">
                  <c:v>0.89985239999999977</c:v>
                </c:pt>
                <c:pt idx="10">
                  <c:v>0.89983599999999975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9C2-4B61-8F67-863EC62A68B1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9C2-4B61-8F67-863EC62A68B1}"/>
              </c:ext>
            </c:extLst>
          </c:dPt>
          <c:xVal>
            <c:numRef>
              <c:f>PlotN!$AB$24:$AO$24</c:f>
              <c:numCache>
                <c:formatCode>General</c:formatCode>
                <c:ptCount val="14"/>
                <c:pt idx="0">
                  <c:v>12.150026873585377</c:v>
                </c:pt>
                <c:pt idx="1">
                  <c:v>12.630026973585377</c:v>
                </c:pt>
                <c:pt idx="2">
                  <c:v>13.110027073585377</c:v>
                </c:pt>
                <c:pt idx="3">
                  <c:v>13.590027173585376</c:v>
                </c:pt>
                <c:pt idx="4">
                  <c:v>14.070027273585376</c:v>
                </c:pt>
                <c:pt idx="5">
                  <c:v>14.550027373585376</c:v>
                </c:pt>
                <c:pt idx="6">
                  <c:v>15.030027473585376</c:v>
                </c:pt>
                <c:pt idx="7">
                  <c:v>15.510027573585376</c:v>
                </c:pt>
                <c:pt idx="8">
                  <c:v>15.990027673585375</c:v>
                </c:pt>
                <c:pt idx="9">
                  <c:v>16.470027773585375</c:v>
                </c:pt>
                <c:pt idx="10">
                  <c:v>16.950027873585377</c:v>
                </c:pt>
                <c:pt idx="11">
                  <c:v>16.950001</c:v>
                </c:pt>
                <c:pt idx="12">
                  <c:v>12.15</c:v>
                </c:pt>
                <c:pt idx="13">
                  <c:v>12.150026873585377</c:v>
                </c:pt>
              </c:numCache>
            </c:numRef>
          </c:xVal>
          <c:yVal>
            <c:numRef>
              <c:f>PlotN!$AR$24:$BE$24</c:f>
              <c:numCache>
                <c:formatCode>General</c:formatCode>
                <c:ptCount val="14"/>
                <c:pt idx="0">
                  <c:v>0.90004299774556085</c:v>
                </c:pt>
                <c:pt idx="1">
                  <c:v>0.6000429977455608</c:v>
                </c:pt>
                <c:pt idx="2">
                  <c:v>0.30004299774556081</c:v>
                </c:pt>
                <c:pt idx="3">
                  <c:v>4.2997745560758694E-5</c:v>
                </c:pt>
                <c:pt idx="4">
                  <c:v>-0.29995700225443928</c:v>
                </c:pt>
                <c:pt idx="5">
                  <c:v>-0.59995700225443938</c:v>
                </c:pt>
                <c:pt idx="6">
                  <c:v>-0.89995700225443942</c:v>
                </c:pt>
                <c:pt idx="7">
                  <c:v>-1.1999570022544392</c:v>
                </c:pt>
                <c:pt idx="8">
                  <c:v>-1.4999570022544393</c:v>
                </c:pt>
                <c:pt idx="9">
                  <c:v>-1.7999570022544393</c:v>
                </c:pt>
                <c:pt idx="10">
                  <c:v>-2.0999570022544396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0.90004299774556085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9C2-4B61-8F67-863EC62A68B1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9C2-4B61-8F67-863EC62A68B1}"/>
              </c:ext>
            </c:extLst>
          </c:dPt>
          <c:xVal>
            <c:numRef>
              <c:f>PlotN!$AB$25:$AO$25</c:f>
              <c:numCache>
                <c:formatCode>General</c:formatCode>
                <c:ptCount val="14"/>
                <c:pt idx="0">
                  <c:v>21.749972739396718</c:v>
                </c:pt>
                <c:pt idx="1">
                  <c:v>21.269972839396718</c:v>
                </c:pt>
                <c:pt idx="2">
                  <c:v>20.789972939396719</c:v>
                </c:pt>
                <c:pt idx="3">
                  <c:v>20.30997303939672</c:v>
                </c:pt>
                <c:pt idx="4">
                  <c:v>19.829973139396721</c:v>
                </c:pt>
                <c:pt idx="5">
                  <c:v>19.349973239396721</c:v>
                </c:pt>
                <c:pt idx="6">
                  <c:v>18.869973339396722</c:v>
                </c:pt>
                <c:pt idx="7">
                  <c:v>18.389973439396723</c:v>
                </c:pt>
                <c:pt idx="8">
                  <c:v>17.909973539396724</c:v>
                </c:pt>
                <c:pt idx="9">
                  <c:v>17.429973639396724</c:v>
                </c:pt>
                <c:pt idx="10">
                  <c:v>16.949973739396725</c:v>
                </c:pt>
                <c:pt idx="11">
                  <c:v>16.950001000000007</c:v>
                </c:pt>
                <c:pt idx="12">
                  <c:v>21.75</c:v>
                </c:pt>
                <c:pt idx="13">
                  <c:v>21.749972739396718</c:v>
                </c:pt>
              </c:numCache>
            </c:numRef>
          </c:xVal>
          <c:yVal>
            <c:numRef>
              <c:f>PlotN!$AR$25:$BE$25</c:f>
              <c:numCache>
                <c:formatCode>General</c:formatCode>
                <c:ptCount val="14"/>
                <c:pt idx="0">
                  <c:v>0.90004361695616741</c:v>
                </c:pt>
                <c:pt idx="1">
                  <c:v>0.60004361695616737</c:v>
                </c:pt>
                <c:pt idx="2">
                  <c:v>0.30004361695616727</c:v>
                </c:pt>
                <c:pt idx="3">
                  <c:v>4.3616956167245096E-5</c:v>
                </c:pt>
                <c:pt idx="4">
                  <c:v>-0.29995638304383282</c:v>
                </c:pt>
                <c:pt idx="5">
                  <c:v>-0.59995638304383281</c:v>
                </c:pt>
                <c:pt idx="6">
                  <c:v>-0.89995638304383285</c:v>
                </c:pt>
                <c:pt idx="7">
                  <c:v>-1.1999563830438329</c:v>
                </c:pt>
                <c:pt idx="8">
                  <c:v>-1.4999563830438329</c:v>
                </c:pt>
                <c:pt idx="9">
                  <c:v>-1.799956383043833</c:v>
                </c:pt>
                <c:pt idx="10">
                  <c:v>-2.0999563830438333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0.90004361695616741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9C2-4B61-8F67-863EC62A68B1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9C2-4B61-8F67-863EC62A68B1}"/>
              </c:ext>
            </c:extLst>
          </c:dPt>
          <c:xVal>
            <c:numRef>
              <c:f>PlotN!$AB$26:$AO$26</c:f>
              <c:numCache>
                <c:formatCode>General</c:formatCode>
                <c:ptCount val="14"/>
                <c:pt idx="0">
                  <c:v>16.950001</c:v>
                </c:pt>
                <c:pt idx="1">
                  <c:v>17.087176500000002</c:v>
                </c:pt>
                <c:pt idx="2">
                  <c:v>17.224352000000003</c:v>
                </c:pt>
                <c:pt idx="3">
                  <c:v>17.361527500000005</c:v>
                </c:pt>
                <c:pt idx="4">
                  <c:v>17.498703000000006</c:v>
                </c:pt>
                <c:pt idx="5">
                  <c:v>17.635878500000008</c:v>
                </c:pt>
                <c:pt idx="6">
                  <c:v>17.773054000000009</c:v>
                </c:pt>
                <c:pt idx="7">
                  <c:v>17.91022950000001</c:v>
                </c:pt>
                <c:pt idx="8">
                  <c:v>18.047405000000012</c:v>
                </c:pt>
                <c:pt idx="9">
                  <c:v>18.184580500000013</c:v>
                </c:pt>
                <c:pt idx="10">
                  <c:v>18.321756000000015</c:v>
                </c:pt>
                <c:pt idx="11">
                  <c:v>18.321756000000015</c:v>
                </c:pt>
                <c:pt idx="12">
                  <c:v>16.950001</c:v>
                </c:pt>
                <c:pt idx="13">
                  <c:v>16.950001</c:v>
                </c:pt>
              </c:numCache>
            </c:numRef>
          </c:xVal>
          <c:yVal>
            <c:numRef>
              <c:f>PlotN!$AR$26:$BE$26</c:f>
              <c:numCache>
                <c:formatCode>General</c:formatCode>
                <c:ptCount val="14"/>
                <c:pt idx="0">
                  <c:v>0.9</c:v>
                </c:pt>
                <c:pt idx="1">
                  <c:v>0.89998359999999999</c:v>
                </c:pt>
                <c:pt idx="2">
                  <c:v>0.89996719999999997</c:v>
                </c:pt>
                <c:pt idx="3">
                  <c:v>0.89995079999999994</c:v>
                </c:pt>
                <c:pt idx="4">
                  <c:v>0.89993439999999991</c:v>
                </c:pt>
                <c:pt idx="5">
                  <c:v>0.89991799999999988</c:v>
                </c:pt>
                <c:pt idx="6">
                  <c:v>0.89990159999999986</c:v>
                </c:pt>
                <c:pt idx="7">
                  <c:v>0.89988519999999983</c:v>
                </c:pt>
                <c:pt idx="8">
                  <c:v>0.8998687999999998</c:v>
                </c:pt>
                <c:pt idx="9">
                  <c:v>0.89985239999999977</c:v>
                </c:pt>
                <c:pt idx="10">
                  <c:v>0.89983599999999975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9C2-4B61-8F67-863EC62A68B1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9C2-4B61-8F67-863EC62A68B1}"/>
              </c:ext>
            </c:extLst>
          </c:dPt>
          <c:xVal>
            <c:numRef>
              <c:f>PlotN!$AB$27:$AO$27</c:f>
              <c:numCache>
                <c:formatCode>General</c:formatCode>
                <c:ptCount val="14"/>
                <c:pt idx="0">
                  <c:v>16.350000000000001</c:v>
                </c:pt>
                <c:pt idx="1">
                  <c:v>16.358565000000002</c:v>
                </c:pt>
                <c:pt idx="2">
                  <c:v>16.367130000000003</c:v>
                </c:pt>
                <c:pt idx="3">
                  <c:v>16.375695000000004</c:v>
                </c:pt>
                <c:pt idx="4">
                  <c:v>16.384260000000005</c:v>
                </c:pt>
                <c:pt idx="5">
                  <c:v>16.392825000000006</c:v>
                </c:pt>
                <c:pt idx="6">
                  <c:v>16.401390000000006</c:v>
                </c:pt>
                <c:pt idx="7">
                  <c:v>16.409955000000007</c:v>
                </c:pt>
                <c:pt idx="8">
                  <c:v>16.418520000000008</c:v>
                </c:pt>
                <c:pt idx="9">
                  <c:v>16.427085000000009</c:v>
                </c:pt>
                <c:pt idx="10">
                  <c:v>16.43565000000001</c:v>
                </c:pt>
                <c:pt idx="11">
                  <c:v>16.43565000000001</c:v>
                </c:pt>
                <c:pt idx="12">
                  <c:v>16.350000000000001</c:v>
                </c:pt>
                <c:pt idx="13">
                  <c:v>16.350000000000001</c:v>
                </c:pt>
              </c:numCache>
            </c:numRef>
          </c:xVal>
          <c:yVal>
            <c:numRef>
              <c:f>PlotN!$AR$27:$BE$27</c:f>
              <c:numCache>
                <c:formatCode>General</c:formatCode>
                <c:ptCount val="14"/>
                <c:pt idx="0">
                  <c:v>3.6</c:v>
                </c:pt>
                <c:pt idx="1">
                  <c:v>3.5129331000000001</c:v>
                </c:pt>
                <c:pt idx="2">
                  <c:v>3.4258662000000002</c:v>
                </c:pt>
                <c:pt idx="3">
                  <c:v>3.3387993000000002</c:v>
                </c:pt>
                <c:pt idx="4">
                  <c:v>3.2517324000000003</c:v>
                </c:pt>
                <c:pt idx="5">
                  <c:v>3.1646655000000004</c:v>
                </c:pt>
                <c:pt idx="6">
                  <c:v>3.0775986000000004</c:v>
                </c:pt>
                <c:pt idx="7">
                  <c:v>2.9905317000000005</c:v>
                </c:pt>
                <c:pt idx="8">
                  <c:v>2.9034648000000005</c:v>
                </c:pt>
                <c:pt idx="9">
                  <c:v>2.8163979000000006</c:v>
                </c:pt>
                <c:pt idx="10">
                  <c:v>2.7293310000000006</c:v>
                </c:pt>
                <c:pt idx="11">
                  <c:v>2.7293310000000006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9C2-4B61-8F67-863EC62A68B1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9C2-4B61-8F67-863EC62A68B1}"/>
              </c:ext>
            </c:extLst>
          </c:dPt>
          <c:xVal>
            <c:numRef>
              <c:f>PlotN!$AB$28:$AO$28</c:f>
              <c:numCache>
                <c:formatCode>General</c:formatCode>
                <c:ptCount val="14"/>
                <c:pt idx="0">
                  <c:v>17.549999</c:v>
                </c:pt>
                <c:pt idx="1">
                  <c:v>17.540599399999998</c:v>
                </c:pt>
                <c:pt idx="2">
                  <c:v>17.531199799999996</c:v>
                </c:pt>
                <c:pt idx="3">
                  <c:v>17.521800199999994</c:v>
                </c:pt>
                <c:pt idx="4">
                  <c:v>17.512400599999992</c:v>
                </c:pt>
                <c:pt idx="5">
                  <c:v>17.50300099999999</c:v>
                </c:pt>
                <c:pt idx="6">
                  <c:v>17.493601399999989</c:v>
                </c:pt>
                <c:pt idx="7">
                  <c:v>17.484201799999987</c:v>
                </c:pt>
                <c:pt idx="8">
                  <c:v>17.474802199999985</c:v>
                </c:pt>
                <c:pt idx="9">
                  <c:v>17.465402599999983</c:v>
                </c:pt>
                <c:pt idx="10">
                  <c:v>17.456002999999981</c:v>
                </c:pt>
                <c:pt idx="11">
                  <c:v>17.456002999999981</c:v>
                </c:pt>
                <c:pt idx="12">
                  <c:v>17.549999</c:v>
                </c:pt>
                <c:pt idx="13">
                  <c:v>17.549999</c:v>
                </c:pt>
              </c:numCache>
            </c:numRef>
          </c:xVal>
          <c:yVal>
            <c:numRef>
              <c:f>PlotN!$AR$28:$BE$28</c:f>
              <c:numCache>
                <c:formatCode>General</c:formatCode>
                <c:ptCount val="14"/>
                <c:pt idx="0">
                  <c:v>3.6</c:v>
                </c:pt>
                <c:pt idx="1">
                  <c:v>3.5144827000000003</c:v>
                </c:pt>
                <c:pt idx="2">
                  <c:v>3.4289654000000001</c:v>
                </c:pt>
                <c:pt idx="3">
                  <c:v>3.3434480999999998</c:v>
                </c:pt>
                <c:pt idx="4">
                  <c:v>3.2579307999999996</c:v>
                </c:pt>
                <c:pt idx="5">
                  <c:v>3.1724134999999993</c:v>
                </c:pt>
                <c:pt idx="6">
                  <c:v>3.0868961999999991</c:v>
                </c:pt>
                <c:pt idx="7">
                  <c:v>3.0013788999999989</c:v>
                </c:pt>
                <c:pt idx="8">
                  <c:v>2.9158615999999986</c:v>
                </c:pt>
                <c:pt idx="9">
                  <c:v>2.8303442999999984</c:v>
                </c:pt>
                <c:pt idx="10">
                  <c:v>2.7448269999999981</c:v>
                </c:pt>
                <c:pt idx="11">
                  <c:v>2.7448269999999981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9C2-4B61-8F67-863EC62A68B1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9C2-4B61-8F67-863EC62A68B1}"/>
              </c:ext>
            </c:extLst>
          </c:dPt>
          <c:xVal>
            <c:numRef>
              <c:f>PlotN!$AB$29:$AO$29</c:f>
              <c:numCache>
                <c:formatCode>General</c:formatCode>
                <c:ptCount val="14"/>
                <c:pt idx="0">
                  <c:v>15.600816999999999</c:v>
                </c:pt>
                <c:pt idx="1">
                  <c:v>15.735735399999999</c:v>
                </c:pt>
                <c:pt idx="2">
                  <c:v>15.870653799999999</c:v>
                </c:pt>
                <c:pt idx="3">
                  <c:v>16.0055722</c:v>
                </c:pt>
                <c:pt idx="4">
                  <c:v>16.1404906</c:v>
                </c:pt>
                <c:pt idx="5">
                  <c:v>16.275409</c:v>
                </c:pt>
                <c:pt idx="6">
                  <c:v>16.4103274</c:v>
                </c:pt>
                <c:pt idx="7">
                  <c:v>16.5452458</c:v>
                </c:pt>
                <c:pt idx="8">
                  <c:v>16.6801642</c:v>
                </c:pt>
                <c:pt idx="9">
                  <c:v>16.8150826</c:v>
                </c:pt>
                <c:pt idx="10">
                  <c:v>16.950001</c:v>
                </c:pt>
                <c:pt idx="11">
                  <c:v>16.950001</c:v>
                </c:pt>
                <c:pt idx="12">
                  <c:v>15.600816999999999</c:v>
                </c:pt>
                <c:pt idx="13">
                  <c:v>15.600816999999999</c:v>
                </c:pt>
              </c:numCache>
            </c:numRef>
          </c:xVal>
          <c:yVal>
            <c:numRef>
              <c:f>PlotN!$AR$29:$BE$29</c:f>
              <c:numCache>
                <c:formatCode>General</c:formatCode>
                <c:ptCount val="14"/>
                <c:pt idx="0">
                  <c:v>0.89983599999999997</c:v>
                </c:pt>
                <c:pt idx="1">
                  <c:v>0.8998524</c:v>
                </c:pt>
                <c:pt idx="2">
                  <c:v>0.89986880000000002</c:v>
                </c:pt>
                <c:pt idx="3">
                  <c:v>0.89988520000000005</c:v>
                </c:pt>
                <c:pt idx="4">
                  <c:v>0.89990160000000008</c:v>
                </c:pt>
                <c:pt idx="5">
                  <c:v>0.89991800000000011</c:v>
                </c:pt>
                <c:pt idx="6">
                  <c:v>0.89993440000000013</c:v>
                </c:pt>
                <c:pt idx="7">
                  <c:v>0.89995080000000016</c:v>
                </c:pt>
                <c:pt idx="8">
                  <c:v>0.89996720000000019</c:v>
                </c:pt>
                <c:pt idx="9">
                  <c:v>0.89998360000000022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0.89983599999999997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9C2-4B61-8F67-863EC62A68B1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9C2-4B61-8F67-863EC62A68B1}"/>
              </c:ext>
            </c:extLst>
          </c:dPt>
          <c:xVal>
            <c:numRef>
              <c:f>PlotN!$AB$30:$AO$30</c:f>
              <c:numCache>
                <c:formatCode>General</c:formatCode>
                <c:ptCount val="14"/>
                <c:pt idx="0">
                  <c:v>18.321756000000001</c:v>
                </c:pt>
                <c:pt idx="1">
                  <c:v>18.664580400000002</c:v>
                </c:pt>
                <c:pt idx="2">
                  <c:v>19.007404800000003</c:v>
                </c:pt>
                <c:pt idx="3">
                  <c:v>19.350229200000005</c:v>
                </c:pt>
                <c:pt idx="4">
                  <c:v>19.693053600000006</c:v>
                </c:pt>
                <c:pt idx="5">
                  <c:v>20.035878000000007</c:v>
                </c:pt>
                <c:pt idx="6">
                  <c:v>20.378702400000009</c:v>
                </c:pt>
                <c:pt idx="7">
                  <c:v>20.72152680000001</c:v>
                </c:pt>
                <c:pt idx="8">
                  <c:v>21.064351200000011</c:v>
                </c:pt>
                <c:pt idx="9">
                  <c:v>21.407175600000013</c:v>
                </c:pt>
                <c:pt idx="10">
                  <c:v>21.750000000000014</c:v>
                </c:pt>
                <c:pt idx="11">
                  <c:v>21.750000000000014</c:v>
                </c:pt>
                <c:pt idx="12">
                  <c:v>18.321756000000001</c:v>
                </c:pt>
                <c:pt idx="13">
                  <c:v>18.321756000000001</c:v>
                </c:pt>
              </c:numCache>
            </c:numRef>
          </c:xVal>
          <c:yVal>
            <c:numRef>
              <c:f>PlotN!$AR$30:$BE$30</c:f>
              <c:numCache>
                <c:formatCode>General</c:formatCode>
                <c:ptCount val="14"/>
                <c:pt idx="0">
                  <c:v>0.89983599999999997</c:v>
                </c:pt>
                <c:pt idx="1">
                  <c:v>0.8998524</c:v>
                </c:pt>
                <c:pt idx="2">
                  <c:v>0.89986880000000002</c:v>
                </c:pt>
                <c:pt idx="3">
                  <c:v>0.89988520000000005</c:v>
                </c:pt>
                <c:pt idx="4">
                  <c:v>0.89990160000000008</c:v>
                </c:pt>
                <c:pt idx="5">
                  <c:v>0.89991800000000011</c:v>
                </c:pt>
                <c:pt idx="6">
                  <c:v>0.89993440000000013</c:v>
                </c:pt>
                <c:pt idx="7">
                  <c:v>0.89995080000000016</c:v>
                </c:pt>
                <c:pt idx="8">
                  <c:v>0.89996720000000019</c:v>
                </c:pt>
                <c:pt idx="9">
                  <c:v>0.89998360000000022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0.89983599999999997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9C2-4B61-8F67-863EC62A68B1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9C2-4B61-8F67-863EC62A68B1}"/>
              </c:ext>
            </c:extLst>
          </c:dPt>
          <c:xVal>
            <c:numRef>
              <c:f>PlotN!$AB$31:$AO$31</c:f>
              <c:numCache>
                <c:formatCode>General</c:formatCode>
                <c:ptCount val="14"/>
                <c:pt idx="0">
                  <c:v>16.435649999999999</c:v>
                </c:pt>
                <c:pt idx="1">
                  <c:v>16.487085099999998</c:v>
                </c:pt>
                <c:pt idx="2">
                  <c:v>16.538520199999997</c:v>
                </c:pt>
                <c:pt idx="3">
                  <c:v>16.589955299999996</c:v>
                </c:pt>
                <c:pt idx="4">
                  <c:v>16.641390399999995</c:v>
                </c:pt>
                <c:pt idx="5">
                  <c:v>16.692825499999994</c:v>
                </c:pt>
                <c:pt idx="6">
                  <c:v>16.744260599999993</c:v>
                </c:pt>
                <c:pt idx="7">
                  <c:v>16.795695699999992</c:v>
                </c:pt>
                <c:pt idx="8">
                  <c:v>16.847130799999992</c:v>
                </c:pt>
                <c:pt idx="9">
                  <c:v>16.898565899999991</c:v>
                </c:pt>
                <c:pt idx="10">
                  <c:v>16.95000099999999</c:v>
                </c:pt>
                <c:pt idx="11">
                  <c:v>16.95000099999999</c:v>
                </c:pt>
                <c:pt idx="12">
                  <c:v>16.435649999999999</c:v>
                </c:pt>
                <c:pt idx="13">
                  <c:v>16.435649999999999</c:v>
                </c:pt>
              </c:numCache>
            </c:numRef>
          </c:xVal>
          <c:yVal>
            <c:numRef>
              <c:f>PlotN!$AR$31:$BE$31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2.2463979000000003</c:v>
                </c:pt>
                <c:pt idx="2">
                  <c:v>1.7634648000000002</c:v>
                </c:pt>
                <c:pt idx="3">
                  <c:v>1.2805317000000001</c:v>
                </c:pt>
                <c:pt idx="4">
                  <c:v>0.79759859999999994</c:v>
                </c:pt>
                <c:pt idx="5">
                  <c:v>0.31466549999999988</c:v>
                </c:pt>
                <c:pt idx="6">
                  <c:v>-0.16826760000000018</c:v>
                </c:pt>
                <c:pt idx="7">
                  <c:v>-0.65120070000000019</c:v>
                </c:pt>
                <c:pt idx="8">
                  <c:v>-1.1341338000000003</c:v>
                </c:pt>
                <c:pt idx="9">
                  <c:v>-1.6170669000000004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9C2-4B61-8F67-863EC62A68B1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9C2-4B61-8F67-863EC62A68B1}"/>
              </c:ext>
            </c:extLst>
          </c:dPt>
          <c:xVal>
            <c:numRef>
              <c:f>PlotN!$AB$32:$AO$32</c:f>
              <c:numCache>
                <c:formatCode>General</c:formatCode>
                <c:ptCount val="14"/>
                <c:pt idx="0">
                  <c:v>17.456002999999999</c:v>
                </c:pt>
                <c:pt idx="1">
                  <c:v>17.405402799999997</c:v>
                </c:pt>
                <c:pt idx="2">
                  <c:v>17.354802599999999</c:v>
                </c:pt>
                <c:pt idx="3">
                  <c:v>17.304202400000001</c:v>
                </c:pt>
                <c:pt idx="4">
                  <c:v>17.253602200000003</c:v>
                </c:pt>
                <c:pt idx="5">
                  <c:v>17.203002000000005</c:v>
                </c:pt>
                <c:pt idx="6">
                  <c:v>17.152401800000007</c:v>
                </c:pt>
                <c:pt idx="7">
                  <c:v>17.101801600000009</c:v>
                </c:pt>
                <c:pt idx="8">
                  <c:v>17.051201400000011</c:v>
                </c:pt>
                <c:pt idx="9">
                  <c:v>17.000601200000013</c:v>
                </c:pt>
                <c:pt idx="10">
                  <c:v>16.950001000000015</c:v>
                </c:pt>
                <c:pt idx="11">
                  <c:v>16.950001000000015</c:v>
                </c:pt>
                <c:pt idx="12">
                  <c:v>17.456002999999999</c:v>
                </c:pt>
                <c:pt idx="13">
                  <c:v>17.456002999999999</c:v>
                </c:pt>
              </c:numCache>
            </c:numRef>
          </c:xVal>
          <c:yVal>
            <c:numRef>
              <c:f>PlotN!$AR$32:$BE$32</c:f>
              <c:numCache>
                <c:formatCode>General</c:formatCode>
                <c:ptCount val="14"/>
                <c:pt idx="0">
                  <c:v>2.7448269999999999</c:v>
                </c:pt>
                <c:pt idx="1">
                  <c:v>2.2603442999999999</c:v>
                </c:pt>
                <c:pt idx="2">
                  <c:v>1.7758615999999998</c:v>
                </c:pt>
                <c:pt idx="3">
                  <c:v>1.2913788999999998</c:v>
                </c:pt>
                <c:pt idx="4">
                  <c:v>0.80689619999999973</c:v>
                </c:pt>
                <c:pt idx="5">
                  <c:v>0.32241349999999969</c:v>
                </c:pt>
                <c:pt idx="6">
                  <c:v>-0.16206920000000036</c:v>
                </c:pt>
                <c:pt idx="7">
                  <c:v>-0.6465519000000004</c:v>
                </c:pt>
                <c:pt idx="8">
                  <c:v>-1.1310346000000004</c:v>
                </c:pt>
                <c:pt idx="9">
                  <c:v>-1.6155173000000005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2.7448269999999999</c:v>
                </c:pt>
                <c:pt idx="13">
                  <c:v>2.7448269999999999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9C2-4B61-8F67-863EC62A68B1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9C2-4B61-8F67-863EC62A68B1}"/>
              </c:ext>
            </c:extLst>
          </c:dPt>
          <c:xVal>
            <c:numRef>
              <c:f>PlotN!$AB$33:$AO$33</c:f>
              <c:numCache>
                <c:formatCode>General</c:formatCode>
                <c:ptCount val="14"/>
                <c:pt idx="0">
                  <c:v>16.435649999999999</c:v>
                </c:pt>
                <c:pt idx="1">
                  <c:v>16.352166699999998</c:v>
                </c:pt>
                <c:pt idx="2">
                  <c:v>16.268683399999997</c:v>
                </c:pt>
                <c:pt idx="3">
                  <c:v>16.185200099999996</c:v>
                </c:pt>
                <c:pt idx="4">
                  <c:v>16.101716799999995</c:v>
                </c:pt>
                <c:pt idx="5">
                  <c:v>16.018233499999994</c:v>
                </c:pt>
                <c:pt idx="6">
                  <c:v>15.934750199999995</c:v>
                </c:pt>
                <c:pt idx="7">
                  <c:v>15.851266899999995</c:v>
                </c:pt>
                <c:pt idx="8">
                  <c:v>15.767783599999996</c:v>
                </c:pt>
                <c:pt idx="9">
                  <c:v>15.684300299999997</c:v>
                </c:pt>
                <c:pt idx="10">
                  <c:v>15.600816999999997</c:v>
                </c:pt>
                <c:pt idx="11">
                  <c:v>15.600816999999997</c:v>
                </c:pt>
                <c:pt idx="12">
                  <c:v>16.435649999999999</c:v>
                </c:pt>
                <c:pt idx="13">
                  <c:v>16.435649999999999</c:v>
                </c:pt>
              </c:numCache>
            </c:numRef>
          </c:xVal>
          <c:yVal>
            <c:numRef>
              <c:f>PlotN!$AR$33:$BE$33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2.5463815000000003</c:v>
                </c:pt>
                <c:pt idx="2">
                  <c:v>2.3634320000000004</c:v>
                </c:pt>
                <c:pt idx="3">
                  <c:v>2.1804825000000005</c:v>
                </c:pt>
                <c:pt idx="4">
                  <c:v>1.9975330000000004</c:v>
                </c:pt>
                <c:pt idx="5">
                  <c:v>1.8145835000000003</c:v>
                </c:pt>
                <c:pt idx="6">
                  <c:v>1.6316340000000003</c:v>
                </c:pt>
                <c:pt idx="7">
                  <c:v>1.4486845000000002</c:v>
                </c:pt>
                <c:pt idx="8">
                  <c:v>1.2657350000000001</c:v>
                </c:pt>
                <c:pt idx="9">
                  <c:v>1.0827855</c:v>
                </c:pt>
                <c:pt idx="10">
                  <c:v>0.89983599999999986</c:v>
                </c:pt>
                <c:pt idx="11">
                  <c:v>0.89983599999999986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9C2-4B61-8F67-863EC62A68B1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9C2-4B61-8F67-863EC62A68B1}"/>
              </c:ext>
            </c:extLst>
          </c:dPt>
          <c:xVal>
            <c:numRef>
              <c:f>PlotN!$AB$34:$AO$34</c:f>
              <c:numCache>
                <c:formatCode>General</c:formatCode>
                <c:ptCount val="14"/>
                <c:pt idx="0">
                  <c:v>17.456002999999999</c:v>
                </c:pt>
                <c:pt idx="1">
                  <c:v>17.542578299999999</c:v>
                </c:pt>
                <c:pt idx="2">
                  <c:v>17.629153599999999</c:v>
                </c:pt>
                <c:pt idx="3">
                  <c:v>17.715728899999998</c:v>
                </c:pt>
                <c:pt idx="4">
                  <c:v>17.802304199999998</c:v>
                </c:pt>
                <c:pt idx="5">
                  <c:v>17.888879499999998</c:v>
                </c:pt>
                <c:pt idx="6">
                  <c:v>17.975454799999998</c:v>
                </c:pt>
                <c:pt idx="7">
                  <c:v>18.062030099999998</c:v>
                </c:pt>
                <c:pt idx="8">
                  <c:v>18.148605399999997</c:v>
                </c:pt>
                <c:pt idx="9">
                  <c:v>18.235180699999997</c:v>
                </c:pt>
                <c:pt idx="10">
                  <c:v>18.321755999999997</c:v>
                </c:pt>
                <c:pt idx="11">
                  <c:v>18.321755999999997</c:v>
                </c:pt>
                <c:pt idx="12">
                  <c:v>17.456002999999999</c:v>
                </c:pt>
                <c:pt idx="13">
                  <c:v>17.456002999999999</c:v>
                </c:pt>
              </c:numCache>
            </c:numRef>
          </c:xVal>
          <c:yVal>
            <c:numRef>
              <c:f>PlotN!$AR$34:$BE$34</c:f>
              <c:numCache>
                <c:formatCode>General</c:formatCode>
                <c:ptCount val="14"/>
                <c:pt idx="0">
                  <c:v>2.7448269999999999</c:v>
                </c:pt>
                <c:pt idx="1">
                  <c:v>2.5603278999999999</c:v>
                </c:pt>
                <c:pt idx="2">
                  <c:v>2.3758287999999999</c:v>
                </c:pt>
                <c:pt idx="3">
                  <c:v>2.1913296999999998</c:v>
                </c:pt>
                <c:pt idx="4">
                  <c:v>2.0068305999999998</c:v>
                </c:pt>
                <c:pt idx="5">
                  <c:v>1.8223314999999998</c:v>
                </c:pt>
                <c:pt idx="6">
                  <c:v>1.6378323999999997</c:v>
                </c:pt>
                <c:pt idx="7">
                  <c:v>1.4533332999999997</c:v>
                </c:pt>
                <c:pt idx="8">
                  <c:v>1.2688341999999997</c:v>
                </c:pt>
                <c:pt idx="9">
                  <c:v>1.0843350999999997</c:v>
                </c:pt>
                <c:pt idx="10">
                  <c:v>0.89983599999999964</c:v>
                </c:pt>
                <c:pt idx="11">
                  <c:v>0.89983599999999964</c:v>
                </c:pt>
                <c:pt idx="12">
                  <c:v>2.7448269999999999</c:v>
                </c:pt>
                <c:pt idx="13">
                  <c:v>2.7448269999999999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9C2-4B61-8F67-863EC62A68B1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9C2-4B61-8F67-863EC62A68B1}"/>
              </c:ext>
            </c:extLst>
          </c:dPt>
          <c:xVal>
            <c:numRef>
              <c:f>PlotN!$AB$35:$AO$35</c:f>
              <c:numCache>
                <c:formatCode>General</c:formatCode>
                <c:ptCount val="14"/>
                <c:pt idx="0">
                  <c:v>16.435649999999999</c:v>
                </c:pt>
                <c:pt idx="1">
                  <c:v>16.5376853</c:v>
                </c:pt>
                <c:pt idx="2">
                  <c:v>16.6397206</c:v>
                </c:pt>
                <c:pt idx="3">
                  <c:v>16.741755900000001</c:v>
                </c:pt>
                <c:pt idx="4">
                  <c:v>16.843791200000002</c:v>
                </c:pt>
                <c:pt idx="5">
                  <c:v>16.945826500000003</c:v>
                </c:pt>
                <c:pt idx="6">
                  <c:v>17.047861800000003</c:v>
                </c:pt>
                <c:pt idx="7">
                  <c:v>17.149897100000004</c:v>
                </c:pt>
                <c:pt idx="8">
                  <c:v>17.251932400000005</c:v>
                </c:pt>
                <c:pt idx="9">
                  <c:v>17.353967700000005</c:v>
                </c:pt>
                <c:pt idx="10">
                  <c:v>17.456003000000006</c:v>
                </c:pt>
                <c:pt idx="11">
                  <c:v>17.456003000000006</c:v>
                </c:pt>
                <c:pt idx="12">
                  <c:v>16.435649999999999</c:v>
                </c:pt>
                <c:pt idx="13">
                  <c:v>16.435649999999999</c:v>
                </c:pt>
              </c:numCache>
            </c:numRef>
          </c:xVal>
          <c:yVal>
            <c:numRef>
              <c:f>PlotN!$AR$35:$BE$35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2.7308806000000003</c:v>
                </c:pt>
                <c:pt idx="2">
                  <c:v>2.7324302000000005</c:v>
                </c:pt>
                <c:pt idx="3">
                  <c:v>2.7339798000000006</c:v>
                </c:pt>
                <c:pt idx="4">
                  <c:v>2.7355294000000008</c:v>
                </c:pt>
                <c:pt idx="5">
                  <c:v>2.7370790000000009</c:v>
                </c:pt>
                <c:pt idx="6">
                  <c:v>2.7386286000000011</c:v>
                </c:pt>
                <c:pt idx="7">
                  <c:v>2.7401782000000012</c:v>
                </c:pt>
                <c:pt idx="8">
                  <c:v>2.7417278000000014</c:v>
                </c:pt>
                <c:pt idx="9">
                  <c:v>2.7432774000000015</c:v>
                </c:pt>
                <c:pt idx="10">
                  <c:v>2.7448270000000017</c:v>
                </c:pt>
                <c:pt idx="11">
                  <c:v>2.7448270000000017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9C2-4B61-8F67-863EC62A68B1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9C2-4B61-8F67-863EC62A68B1}"/>
              </c:ext>
            </c:extLst>
          </c:dPt>
          <c:xVal>
            <c:numRef>
              <c:f>PlotN!$AB$36:$AO$36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PlotN!$AR$36:$BE$36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9C2-4B61-8F67-863EC62A68B1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9C2-4B61-8F67-863EC62A68B1}"/>
              </c:ext>
            </c:extLst>
          </c:dPt>
          <c:xVal>
            <c:numRef>
              <c:f>PlotN!$AB$37:$AO$37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PlotN!$AR$37:$BE$37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9C2-4B61-8F67-863EC62A68B1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9C2-4B61-8F67-863EC62A68B1}"/>
              </c:ext>
            </c:extLst>
          </c:dPt>
          <c:xVal>
            <c:numRef>
              <c:f>PlotN!$AB$38:$AO$38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PlotN!$AR$38:$BE$38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9C2-4B61-8F67-863EC62A68B1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9C2-4B61-8F67-863EC62A68B1}"/>
              </c:ext>
            </c:extLst>
          </c:dPt>
          <c:xVal>
            <c:numRef>
              <c:f>PlotN!$AB$39:$AO$39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PlotN!$AR$39:$BE$39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9C2-4B61-8F67-863EC62A68B1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9C2-4B61-8F67-863EC62A68B1}"/>
              </c:ext>
            </c:extLst>
          </c:dPt>
          <c:xVal>
            <c:numRef>
              <c:f>PlotN!$AB$40:$AO$40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PlotN!$AR$40:$BE$40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9C2-4B61-8F67-863EC62A68B1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9C2-4B61-8F67-863EC62A68B1}"/>
              </c:ext>
            </c:extLst>
          </c:dPt>
          <c:xVal>
            <c:numRef>
              <c:f>PlotN!$AB$41:$AO$41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PlotN!$AR$41:$BE$41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9C2-4B61-8F67-863EC62A68B1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9C2-4B61-8F67-863EC62A68B1}"/>
              </c:ext>
            </c:extLst>
          </c:dPt>
          <c:xVal>
            <c:numRef>
              <c:f>PlotN!$AB$42:$AO$42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PlotN!$AR$42:$BE$42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9C2-4B61-8F67-863EC62A6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984536"/>
        <c:axId val="764032336"/>
      </c:scatterChart>
      <c:valAx>
        <c:axId val="756984536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764032336"/>
        <c:crosses val="max"/>
        <c:crossBetween val="midCat"/>
        <c:majorUnit val="1.0000000000000004E-6"/>
      </c:valAx>
      <c:valAx>
        <c:axId val="7640323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756984536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PlotQ!$BH$6:$BH$9</c:f>
              <c:numCache>
                <c:formatCode>General</c:formatCode>
                <c:ptCount val="4"/>
                <c:pt idx="0">
                  <c:v>-6.9998682293308434</c:v>
                </c:pt>
                <c:pt idx="1">
                  <c:v>22.299904465026039</c:v>
                </c:pt>
                <c:pt idx="2">
                  <c:v>22.299904465026039</c:v>
                </c:pt>
                <c:pt idx="3">
                  <c:v>-6.9998682293308434</c:v>
                </c:pt>
              </c:numCache>
            </c:numRef>
          </c:xVal>
          <c:yVal>
            <c:numRef>
              <c:f>PlotQ!$BI$6:$BI$9</c:f>
              <c:numCache>
                <c:formatCode>General</c:formatCode>
                <c:ptCount val="4"/>
                <c:pt idx="0">
                  <c:v>14.347243340046662</c:v>
                </c:pt>
                <c:pt idx="1">
                  <c:v>14.347243340046662</c:v>
                </c:pt>
                <c:pt idx="2">
                  <c:v>-14.95252935431022</c:v>
                </c:pt>
                <c:pt idx="3">
                  <c:v>-14.95252935431022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58-47EA-8A60-19D1F77CD0EA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458-47EA-8A60-19D1F77CD0EA}"/>
              </c:ext>
            </c:extLst>
          </c:dPt>
          <c:xVal>
            <c:numRef>
              <c:f>PlotQ!$AB$3:$AO$3</c:f>
              <c:numCache>
                <c:formatCode>General</c:formatCode>
                <c:ptCount val="14"/>
                <c:pt idx="0">
                  <c:v>-3.75</c:v>
                </c:pt>
                <c:pt idx="1">
                  <c:v>-3.4649999999999999</c:v>
                </c:pt>
                <c:pt idx="2">
                  <c:v>-3.1799999999999997</c:v>
                </c:pt>
                <c:pt idx="3">
                  <c:v>-2.8949999999999996</c:v>
                </c:pt>
                <c:pt idx="4">
                  <c:v>-2.6099999999999994</c:v>
                </c:pt>
                <c:pt idx="5">
                  <c:v>-2.3249999999999993</c:v>
                </c:pt>
                <c:pt idx="6">
                  <c:v>-2.0399999999999991</c:v>
                </c:pt>
                <c:pt idx="7">
                  <c:v>-1.754999999999999</c:v>
                </c:pt>
                <c:pt idx="8">
                  <c:v>-1.4699999999999989</c:v>
                </c:pt>
                <c:pt idx="9">
                  <c:v>-1.1849999999999987</c:v>
                </c:pt>
                <c:pt idx="10">
                  <c:v>-0.89999999999999869</c:v>
                </c:pt>
                <c:pt idx="11">
                  <c:v>-0.89999999999999869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PlotQ!$AR$3:$BE$3</c:f>
              <c:numCache>
                <c:formatCode>General</c:formatCode>
                <c:ptCount val="14"/>
                <c:pt idx="0">
                  <c:v>1.0486310030135038</c:v>
                </c:pt>
                <c:pt idx="1">
                  <c:v>1.0486310030135038</c:v>
                </c:pt>
                <c:pt idx="2">
                  <c:v>1.0486310030135038</c:v>
                </c:pt>
                <c:pt idx="3">
                  <c:v>1.0486310030135038</c:v>
                </c:pt>
                <c:pt idx="4">
                  <c:v>1.0486310030135038</c:v>
                </c:pt>
                <c:pt idx="5">
                  <c:v>1.0486310030135038</c:v>
                </c:pt>
                <c:pt idx="6">
                  <c:v>1.0486310030135038</c:v>
                </c:pt>
                <c:pt idx="7">
                  <c:v>1.0486310030135038</c:v>
                </c:pt>
                <c:pt idx="8">
                  <c:v>1.0486310030135038</c:v>
                </c:pt>
                <c:pt idx="9">
                  <c:v>1.0486310030135038</c:v>
                </c:pt>
                <c:pt idx="10">
                  <c:v>1.0486310030135038</c:v>
                </c:pt>
                <c:pt idx="11">
                  <c:v>0.9</c:v>
                </c:pt>
                <c:pt idx="12">
                  <c:v>0.9</c:v>
                </c:pt>
                <c:pt idx="13">
                  <c:v>1.0486310030135038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458-47EA-8A60-19D1F77CD0EA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58-47EA-8A60-19D1F77CD0EA}"/>
              </c:ext>
            </c:extLst>
          </c:dPt>
          <c:xVal>
            <c:numRef>
              <c:f>PlotQ!$AB$4:$AO$4</c:f>
              <c:numCache>
                <c:formatCode>General</c:formatCode>
                <c:ptCount val="14"/>
                <c:pt idx="0">
                  <c:v>-0.89999337171850324</c:v>
                </c:pt>
                <c:pt idx="1">
                  <c:v>-0.5549116717185032</c:v>
                </c:pt>
                <c:pt idx="2">
                  <c:v>-0.20982997171850323</c:v>
                </c:pt>
                <c:pt idx="3">
                  <c:v>0.13525172828149676</c:v>
                </c:pt>
                <c:pt idx="4">
                  <c:v>0.48033342828149672</c:v>
                </c:pt>
                <c:pt idx="5">
                  <c:v>0.82541512828149677</c:v>
                </c:pt>
                <c:pt idx="6">
                  <c:v>1.1704968282814967</c:v>
                </c:pt>
                <c:pt idx="7">
                  <c:v>1.5155785282814966</c:v>
                </c:pt>
                <c:pt idx="8">
                  <c:v>1.8606602282814966</c:v>
                </c:pt>
                <c:pt idx="9">
                  <c:v>2.2057419282814963</c:v>
                </c:pt>
                <c:pt idx="10">
                  <c:v>2.5508236282814964</c:v>
                </c:pt>
                <c:pt idx="11">
                  <c:v>2.5508169999999999</c:v>
                </c:pt>
                <c:pt idx="12">
                  <c:v>-0.9</c:v>
                </c:pt>
                <c:pt idx="13">
                  <c:v>-0.89999337171850324</c:v>
                </c:pt>
              </c:numCache>
            </c:numRef>
          </c:xVal>
          <c:yVal>
            <c:numRef>
              <c:f>PlotQ!$AR$4:$BE$4</c:f>
              <c:numCache>
                <c:formatCode>General</c:formatCode>
                <c:ptCount val="14"/>
                <c:pt idx="0">
                  <c:v>1.0394694296935685</c:v>
                </c:pt>
                <c:pt idx="1">
                  <c:v>1.0394530296935685</c:v>
                </c:pt>
                <c:pt idx="2">
                  <c:v>1.0394366296935684</c:v>
                </c:pt>
                <c:pt idx="3">
                  <c:v>1.0394202296935684</c:v>
                </c:pt>
                <c:pt idx="4">
                  <c:v>1.0394038296935684</c:v>
                </c:pt>
                <c:pt idx="5">
                  <c:v>1.0393874296935683</c:v>
                </c:pt>
                <c:pt idx="6">
                  <c:v>1.0393710296935683</c:v>
                </c:pt>
                <c:pt idx="7">
                  <c:v>1.0393546296935683</c:v>
                </c:pt>
                <c:pt idx="8">
                  <c:v>1.0393382296935683</c:v>
                </c:pt>
                <c:pt idx="9">
                  <c:v>1.0393218296935682</c:v>
                </c:pt>
                <c:pt idx="10">
                  <c:v>1.0393054296935682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1.0394694296935685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458-47EA-8A60-19D1F77CD0EA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458-47EA-8A60-19D1F77CD0EA}"/>
              </c:ext>
            </c:extLst>
          </c:dPt>
          <c:xVal>
            <c:numRef>
              <c:f>PlotQ!$AB$5:$AO$5</c:f>
              <c:numCache>
                <c:formatCode>General</c:formatCode>
                <c:ptCount val="14"/>
                <c:pt idx="0">
                  <c:v>-0.90853165670871006</c:v>
                </c:pt>
                <c:pt idx="1">
                  <c:v>-0.42853165670870996</c:v>
                </c:pt>
                <c:pt idx="2">
                  <c:v>5.1468343291290075E-2</c:v>
                </c:pt>
                <c:pt idx="3">
                  <c:v>0.53146834329129011</c:v>
                </c:pt>
                <c:pt idx="4">
                  <c:v>1.0114683432912901</c:v>
                </c:pt>
                <c:pt idx="5">
                  <c:v>1.4914683432912901</c:v>
                </c:pt>
                <c:pt idx="6">
                  <c:v>1.9714683432912901</c:v>
                </c:pt>
                <c:pt idx="7">
                  <c:v>2.4514683432912898</c:v>
                </c:pt>
                <c:pt idx="8">
                  <c:v>2.9314683432912898</c:v>
                </c:pt>
                <c:pt idx="9">
                  <c:v>3.4114683432912898</c:v>
                </c:pt>
                <c:pt idx="10">
                  <c:v>3.8914683432912898</c:v>
                </c:pt>
                <c:pt idx="11">
                  <c:v>3.9</c:v>
                </c:pt>
                <c:pt idx="12">
                  <c:v>-0.9</c:v>
                </c:pt>
                <c:pt idx="13">
                  <c:v>-0.90853165670871006</c:v>
                </c:pt>
              </c:numCache>
            </c:numRef>
          </c:xVal>
          <c:yVal>
            <c:numRef>
              <c:f>PlotQ!$AR$5:$BE$5</c:f>
              <c:numCache>
                <c:formatCode>General</c:formatCode>
                <c:ptCount val="14"/>
                <c:pt idx="0">
                  <c:v>0.88634934926606401</c:v>
                </c:pt>
                <c:pt idx="1">
                  <c:v>0.58634934926606397</c:v>
                </c:pt>
                <c:pt idx="2">
                  <c:v>0.28634934926606398</c:v>
                </c:pt>
                <c:pt idx="3">
                  <c:v>-1.3650650733936074E-2</c:v>
                </c:pt>
                <c:pt idx="4">
                  <c:v>-0.31365065073393611</c:v>
                </c:pt>
                <c:pt idx="5">
                  <c:v>-0.61365065073393621</c:v>
                </c:pt>
                <c:pt idx="6">
                  <c:v>-0.91365065073393625</c:v>
                </c:pt>
                <c:pt idx="7">
                  <c:v>-1.2136506507339362</c:v>
                </c:pt>
                <c:pt idx="8">
                  <c:v>-1.5136506507339362</c:v>
                </c:pt>
                <c:pt idx="9">
                  <c:v>-1.8136506507339363</c:v>
                </c:pt>
                <c:pt idx="10">
                  <c:v>-2.1136506507339363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0.88634934926606401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458-47EA-8A60-19D1F77CD0EA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458-47EA-8A60-19D1F77CD0EA}"/>
              </c:ext>
            </c:extLst>
          </c:dPt>
          <c:xVal>
            <c:numRef>
              <c:f>PlotQ!$AB$6:$AO$6</c:f>
              <c:numCache>
                <c:formatCode>General</c:formatCode>
                <c:ptCount val="14"/>
                <c:pt idx="0">
                  <c:v>9.2269084884587045</c:v>
                </c:pt>
                <c:pt idx="1">
                  <c:v>8.7469084884587041</c:v>
                </c:pt>
                <c:pt idx="2">
                  <c:v>8.2669084884587036</c:v>
                </c:pt>
                <c:pt idx="3">
                  <c:v>7.7869084884587032</c:v>
                </c:pt>
                <c:pt idx="4">
                  <c:v>7.3069084884587028</c:v>
                </c:pt>
                <c:pt idx="5">
                  <c:v>6.8269084884587024</c:v>
                </c:pt>
                <c:pt idx="6">
                  <c:v>6.3469084884587019</c:v>
                </c:pt>
                <c:pt idx="7">
                  <c:v>5.8669084884587015</c:v>
                </c:pt>
                <c:pt idx="8">
                  <c:v>5.3869084884587011</c:v>
                </c:pt>
                <c:pt idx="9">
                  <c:v>4.9069084884587006</c:v>
                </c:pt>
                <c:pt idx="10">
                  <c:v>4.4269084884587002</c:v>
                </c:pt>
                <c:pt idx="11">
                  <c:v>3.8999999999999955</c:v>
                </c:pt>
                <c:pt idx="12">
                  <c:v>8.6999999999999993</c:v>
                </c:pt>
                <c:pt idx="13">
                  <c:v>9.2269084884587045</c:v>
                </c:pt>
              </c:numCache>
            </c:numRef>
          </c:xVal>
          <c:yVal>
            <c:numRef>
              <c:f>PlotQ!$AR$6:$BE$6</c:f>
              <c:numCache>
                <c:formatCode>General</c:formatCode>
                <c:ptCount val="14"/>
                <c:pt idx="0">
                  <c:v>5.6946418466071957E-2</c:v>
                </c:pt>
                <c:pt idx="1">
                  <c:v>-0.24305358153392809</c:v>
                </c:pt>
                <c:pt idx="2">
                  <c:v>-0.54305358153392813</c:v>
                </c:pt>
                <c:pt idx="3">
                  <c:v>-0.84305358153392818</c:v>
                </c:pt>
                <c:pt idx="4">
                  <c:v>-1.1430535815339282</c:v>
                </c:pt>
                <c:pt idx="5">
                  <c:v>-1.4430535815339283</c:v>
                </c:pt>
                <c:pt idx="6">
                  <c:v>-1.7430535815339283</c:v>
                </c:pt>
                <c:pt idx="7">
                  <c:v>-2.0430535815339281</c:v>
                </c:pt>
                <c:pt idx="8">
                  <c:v>-2.3430535815339284</c:v>
                </c:pt>
                <c:pt idx="9">
                  <c:v>-2.6430535815339282</c:v>
                </c:pt>
                <c:pt idx="10">
                  <c:v>-2.9430535815339285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5.6946418466071957E-2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458-47EA-8A60-19D1F77CD0EA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458-47EA-8A60-19D1F77CD0EA}"/>
              </c:ext>
            </c:extLst>
          </c:dPt>
          <c:xVal>
            <c:numRef>
              <c:f>PlotQ!$AB$7:$AO$7</c:f>
              <c:numCache>
                <c:formatCode>General</c:formatCode>
                <c:ptCount val="14"/>
                <c:pt idx="0">
                  <c:v>3.8998652381414622</c:v>
                </c:pt>
                <c:pt idx="1">
                  <c:v>4.0370408381414631</c:v>
                </c:pt>
                <c:pt idx="2">
                  <c:v>4.174216438141463</c:v>
                </c:pt>
                <c:pt idx="3">
                  <c:v>4.311392038141463</c:v>
                </c:pt>
                <c:pt idx="4">
                  <c:v>4.4485676381414629</c:v>
                </c:pt>
                <c:pt idx="5">
                  <c:v>4.5857432381414629</c:v>
                </c:pt>
                <c:pt idx="6">
                  <c:v>4.7229188381414628</c:v>
                </c:pt>
                <c:pt idx="7">
                  <c:v>4.8600944381414628</c:v>
                </c:pt>
                <c:pt idx="8">
                  <c:v>4.9972700381414628</c:v>
                </c:pt>
                <c:pt idx="9">
                  <c:v>5.1344456381414627</c:v>
                </c:pt>
                <c:pt idx="10">
                  <c:v>5.2716212381414627</c:v>
                </c:pt>
                <c:pt idx="11">
                  <c:v>5.2717559999999999</c:v>
                </c:pt>
                <c:pt idx="12">
                  <c:v>3.9</c:v>
                </c:pt>
                <c:pt idx="13">
                  <c:v>3.8998652381414622</c:v>
                </c:pt>
              </c:numCache>
            </c:numRef>
          </c:xVal>
          <c:yVal>
            <c:numRef>
              <c:f>PlotQ!$AR$7:$BE$7</c:f>
              <c:numCache>
                <c:formatCode>General</c:formatCode>
                <c:ptCount val="14"/>
                <c:pt idx="0">
                  <c:v>-0.22719748792756389</c:v>
                </c:pt>
                <c:pt idx="1">
                  <c:v>-0.22721388792756392</c:v>
                </c:pt>
                <c:pt idx="2">
                  <c:v>-0.22723028792756395</c:v>
                </c:pt>
                <c:pt idx="3">
                  <c:v>-0.22724668792756397</c:v>
                </c:pt>
                <c:pt idx="4">
                  <c:v>-0.227263087927564</c:v>
                </c:pt>
                <c:pt idx="5">
                  <c:v>-0.22727948792756403</c:v>
                </c:pt>
                <c:pt idx="6">
                  <c:v>-0.22729588792756406</c:v>
                </c:pt>
                <c:pt idx="7">
                  <c:v>-0.22731228792756408</c:v>
                </c:pt>
                <c:pt idx="8">
                  <c:v>-0.22732868792756411</c:v>
                </c:pt>
                <c:pt idx="9">
                  <c:v>-0.22734508792756414</c:v>
                </c:pt>
                <c:pt idx="10">
                  <c:v>-0.22736148792756417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-0.22719748792756389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458-47EA-8A60-19D1F77CD0EA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458-47EA-8A60-19D1F77CD0EA}"/>
              </c:ext>
            </c:extLst>
          </c:dPt>
          <c:xVal>
            <c:numRef>
              <c:f>PlotQ!$AB$8:$AO$8</c:f>
              <c:numCache>
                <c:formatCode>General</c:formatCode>
                <c:ptCount val="14"/>
                <c:pt idx="0">
                  <c:v>2.6561806144648852</c:v>
                </c:pt>
                <c:pt idx="1">
                  <c:v>2.6647456144648851</c:v>
                </c:pt>
                <c:pt idx="2">
                  <c:v>2.673310614464885</c:v>
                </c:pt>
                <c:pt idx="3">
                  <c:v>2.681875614464885</c:v>
                </c:pt>
                <c:pt idx="4">
                  <c:v>2.6904406144648849</c:v>
                </c:pt>
                <c:pt idx="5">
                  <c:v>2.6990056144648849</c:v>
                </c:pt>
                <c:pt idx="6">
                  <c:v>2.7075706144648848</c:v>
                </c:pt>
                <c:pt idx="7">
                  <c:v>2.7161356144648847</c:v>
                </c:pt>
                <c:pt idx="8">
                  <c:v>2.7247006144648847</c:v>
                </c:pt>
                <c:pt idx="9">
                  <c:v>2.7332656144648846</c:v>
                </c:pt>
                <c:pt idx="10">
                  <c:v>2.7418306144648845</c:v>
                </c:pt>
                <c:pt idx="11">
                  <c:v>3.3856499999999992</c:v>
                </c:pt>
                <c:pt idx="12">
                  <c:v>3.3</c:v>
                </c:pt>
                <c:pt idx="13">
                  <c:v>2.6561806144648852</c:v>
                </c:pt>
              </c:numCache>
            </c:numRef>
          </c:xVal>
          <c:yVal>
            <c:numRef>
              <c:f>PlotQ!$AR$8:$BE$8</c:f>
              <c:numCache>
                <c:formatCode>General</c:formatCode>
                <c:ptCount val="14"/>
                <c:pt idx="0">
                  <c:v>3.536665793348468</c:v>
                </c:pt>
                <c:pt idx="1">
                  <c:v>3.449598893348468</c:v>
                </c:pt>
                <c:pt idx="2">
                  <c:v>3.3625319933484681</c:v>
                </c:pt>
                <c:pt idx="3">
                  <c:v>3.2754650933484681</c:v>
                </c:pt>
                <c:pt idx="4">
                  <c:v>3.1883981933484682</c:v>
                </c:pt>
                <c:pt idx="5">
                  <c:v>3.1013312933484682</c:v>
                </c:pt>
                <c:pt idx="6">
                  <c:v>3.0142643933484683</c:v>
                </c:pt>
                <c:pt idx="7">
                  <c:v>2.9271974933484683</c:v>
                </c:pt>
                <c:pt idx="8">
                  <c:v>2.8401305933484684</c:v>
                </c:pt>
                <c:pt idx="9">
                  <c:v>2.7530636933484685</c:v>
                </c:pt>
                <c:pt idx="10">
                  <c:v>2.6659967933484685</c:v>
                </c:pt>
                <c:pt idx="11">
                  <c:v>2.7293310000000006</c:v>
                </c:pt>
                <c:pt idx="12">
                  <c:v>3.6</c:v>
                </c:pt>
                <c:pt idx="13">
                  <c:v>3.536665793348468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458-47EA-8A60-19D1F77CD0EA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458-47EA-8A60-19D1F77CD0EA}"/>
              </c:ext>
            </c:extLst>
          </c:dPt>
          <c:xVal>
            <c:numRef>
              <c:f>PlotQ!$AB$9:$AO$9</c:f>
              <c:numCache>
                <c:formatCode>General</c:formatCode>
                <c:ptCount val="14"/>
                <c:pt idx="0">
                  <c:v>3.8325121838754139</c:v>
                </c:pt>
                <c:pt idx="1">
                  <c:v>3.8231124838754136</c:v>
                </c:pt>
                <c:pt idx="2">
                  <c:v>3.8137127838754132</c:v>
                </c:pt>
                <c:pt idx="3">
                  <c:v>3.8043130838754129</c:v>
                </c:pt>
                <c:pt idx="4">
                  <c:v>3.7949133838754125</c:v>
                </c:pt>
                <c:pt idx="5">
                  <c:v>3.7855136838754122</c:v>
                </c:pt>
                <c:pt idx="6">
                  <c:v>3.7761139838754119</c:v>
                </c:pt>
                <c:pt idx="7">
                  <c:v>3.7667142838754115</c:v>
                </c:pt>
                <c:pt idx="8">
                  <c:v>3.7573145838754112</c:v>
                </c:pt>
                <c:pt idx="9">
                  <c:v>3.7479148838754108</c:v>
                </c:pt>
                <c:pt idx="10">
                  <c:v>3.7385151838754105</c:v>
                </c:pt>
                <c:pt idx="11">
                  <c:v>4.4060029999999966</c:v>
                </c:pt>
                <c:pt idx="12">
                  <c:v>4.5</c:v>
                </c:pt>
                <c:pt idx="13">
                  <c:v>3.8325121838754139</c:v>
                </c:pt>
              </c:numCache>
            </c:numRef>
          </c:xVal>
          <c:yVal>
            <c:numRef>
              <c:f>PlotQ!$AR$9:$BE$9</c:f>
              <c:numCache>
                <c:formatCode>General</c:formatCode>
                <c:ptCount val="14"/>
                <c:pt idx="0">
                  <c:v>3.6733674382285955</c:v>
                </c:pt>
                <c:pt idx="1">
                  <c:v>3.5878501382285957</c:v>
                </c:pt>
                <c:pt idx="2">
                  <c:v>3.5023328382285954</c:v>
                </c:pt>
                <c:pt idx="3">
                  <c:v>3.4168155382285952</c:v>
                </c:pt>
                <c:pt idx="4">
                  <c:v>3.3312982382285949</c:v>
                </c:pt>
                <c:pt idx="5">
                  <c:v>3.2457809382285947</c:v>
                </c:pt>
                <c:pt idx="6">
                  <c:v>3.1602636382285945</c:v>
                </c:pt>
                <c:pt idx="7">
                  <c:v>3.0747463382285942</c:v>
                </c:pt>
                <c:pt idx="8">
                  <c:v>2.989229038228594</c:v>
                </c:pt>
                <c:pt idx="9">
                  <c:v>2.9037117382285937</c:v>
                </c:pt>
                <c:pt idx="10">
                  <c:v>2.8181944382285935</c:v>
                </c:pt>
                <c:pt idx="11">
                  <c:v>2.7448269999999981</c:v>
                </c:pt>
                <c:pt idx="12">
                  <c:v>3.6</c:v>
                </c:pt>
                <c:pt idx="13">
                  <c:v>3.6733674382285955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458-47EA-8A60-19D1F77CD0EA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458-47EA-8A60-19D1F77CD0EA}"/>
              </c:ext>
            </c:extLst>
          </c:dPt>
          <c:xVal>
            <c:numRef>
              <c:f>PlotQ!$AB$10:$AO$10</c:f>
              <c:numCache>
                <c:formatCode>General</c:formatCode>
                <c:ptCount val="14"/>
                <c:pt idx="0">
                  <c:v>2.5509536272099731</c:v>
                </c:pt>
                <c:pt idx="1">
                  <c:v>2.6858719272099729</c:v>
                </c:pt>
                <c:pt idx="2">
                  <c:v>2.8207902272099727</c:v>
                </c:pt>
                <c:pt idx="3">
                  <c:v>2.9557085272099726</c:v>
                </c:pt>
                <c:pt idx="4">
                  <c:v>3.0906268272099724</c:v>
                </c:pt>
                <c:pt idx="5">
                  <c:v>3.2255451272099722</c:v>
                </c:pt>
                <c:pt idx="6">
                  <c:v>3.360463427209972</c:v>
                </c:pt>
                <c:pt idx="7">
                  <c:v>3.4953817272099719</c:v>
                </c:pt>
                <c:pt idx="8">
                  <c:v>3.6303000272099717</c:v>
                </c:pt>
                <c:pt idx="9">
                  <c:v>3.7652183272099715</c:v>
                </c:pt>
                <c:pt idx="10">
                  <c:v>3.9001366272099713</c:v>
                </c:pt>
                <c:pt idx="11">
                  <c:v>3.8999999999999981</c:v>
                </c:pt>
                <c:pt idx="12">
                  <c:v>2.5508169999999999</c:v>
                </c:pt>
                <c:pt idx="13">
                  <c:v>2.5509536272099731</c:v>
                </c:pt>
              </c:numCache>
            </c:numRef>
          </c:xVal>
          <c:yVal>
            <c:numRef>
              <c:f>PlotQ!$AR$10:$BE$10</c:f>
              <c:numCache>
                <c:formatCode>General</c:formatCode>
                <c:ptCount val="14"/>
                <c:pt idx="0">
                  <c:v>-0.22415856727448313</c:v>
                </c:pt>
                <c:pt idx="1">
                  <c:v>-0.22414216727448311</c:v>
                </c:pt>
                <c:pt idx="2">
                  <c:v>-0.22412576727448308</c:v>
                </c:pt>
                <c:pt idx="3">
                  <c:v>-0.22410936727448305</c:v>
                </c:pt>
                <c:pt idx="4">
                  <c:v>-0.22409296727448302</c:v>
                </c:pt>
                <c:pt idx="5">
                  <c:v>-0.224076567274483</c:v>
                </c:pt>
                <c:pt idx="6">
                  <c:v>-0.22406016727448297</c:v>
                </c:pt>
                <c:pt idx="7">
                  <c:v>-0.22404376727448294</c:v>
                </c:pt>
                <c:pt idx="8">
                  <c:v>-0.22402736727448291</c:v>
                </c:pt>
                <c:pt idx="9">
                  <c:v>-0.22401096727448289</c:v>
                </c:pt>
                <c:pt idx="10">
                  <c:v>-0.22399456727448286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-0.22415856727448313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458-47EA-8A60-19D1F77CD0EA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458-47EA-8A60-19D1F77CD0EA}"/>
              </c:ext>
            </c:extLst>
          </c:dPt>
          <c:xVal>
            <c:numRef>
              <c:f>PlotQ!$AB$11:$AO$11</c:f>
              <c:numCache>
                <c:formatCode>General</c:formatCode>
                <c:ptCount val="14"/>
                <c:pt idx="0">
                  <c:v>5.2717199785747244</c:v>
                </c:pt>
                <c:pt idx="1">
                  <c:v>5.614544378574724</c:v>
                </c:pt>
                <c:pt idx="2">
                  <c:v>5.9573687785747236</c:v>
                </c:pt>
                <c:pt idx="3">
                  <c:v>6.3001931785747232</c:v>
                </c:pt>
                <c:pt idx="4">
                  <c:v>6.6430175785747227</c:v>
                </c:pt>
                <c:pt idx="5">
                  <c:v>6.9858419785747223</c:v>
                </c:pt>
                <c:pt idx="6">
                  <c:v>7.3286663785747219</c:v>
                </c:pt>
                <c:pt idx="7">
                  <c:v>7.6714907785747215</c:v>
                </c:pt>
                <c:pt idx="8">
                  <c:v>8.0143151785747211</c:v>
                </c:pt>
                <c:pt idx="9">
                  <c:v>8.3571395785747207</c:v>
                </c:pt>
                <c:pt idx="10">
                  <c:v>8.6999639785747203</c:v>
                </c:pt>
                <c:pt idx="11">
                  <c:v>8.6999999999999957</c:v>
                </c:pt>
                <c:pt idx="12">
                  <c:v>5.2717559999999999</c:v>
                </c:pt>
                <c:pt idx="13">
                  <c:v>5.2717199785747244</c:v>
                </c:pt>
              </c:numCache>
            </c:numRef>
          </c:xVal>
          <c:yVal>
            <c:numRef>
              <c:f>PlotQ!$AR$11:$BE$11</c:f>
              <c:numCache>
                <c:formatCode>General</c:formatCode>
                <c:ptCount val="14"/>
                <c:pt idx="0">
                  <c:v>1.6528252382383064</c:v>
                </c:pt>
                <c:pt idx="1">
                  <c:v>1.6528416382383064</c:v>
                </c:pt>
                <c:pt idx="2">
                  <c:v>1.6528580382383065</c:v>
                </c:pt>
                <c:pt idx="3">
                  <c:v>1.6528744382383065</c:v>
                </c:pt>
                <c:pt idx="4">
                  <c:v>1.6528908382383065</c:v>
                </c:pt>
                <c:pt idx="5">
                  <c:v>1.6529072382383065</c:v>
                </c:pt>
                <c:pt idx="6">
                  <c:v>1.6529236382383066</c:v>
                </c:pt>
                <c:pt idx="7">
                  <c:v>1.6529400382383066</c:v>
                </c:pt>
                <c:pt idx="8">
                  <c:v>1.6529564382383066</c:v>
                </c:pt>
                <c:pt idx="9">
                  <c:v>1.6529728382383067</c:v>
                </c:pt>
                <c:pt idx="10">
                  <c:v>1.6529892382383067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1.6528252382383064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458-47EA-8A60-19D1F77CD0EA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458-47EA-8A60-19D1F77CD0EA}"/>
              </c:ext>
            </c:extLst>
          </c:dPt>
          <c:xVal>
            <c:numRef>
              <c:f>PlotQ!$AB$12:$AO$12</c:f>
              <c:numCache>
                <c:formatCode>General</c:formatCode>
                <c:ptCount val="14"/>
                <c:pt idx="0">
                  <c:v>3.392950402166909</c:v>
                </c:pt>
                <c:pt idx="1">
                  <c:v>3.4443854021669091</c:v>
                </c:pt>
                <c:pt idx="2">
                  <c:v>3.4958204021669093</c:v>
                </c:pt>
                <c:pt idx="3">
                  <c:v>3.5472554021669094</c:v>
                </c:pt>
                <c:pt idx="4">
                  <c:v>3.5986904021669095</c:v>
                </c:pt>
                <c:pt idx="5">
                  <c:v>3.6501254021669096</c:v>
                </c:pt>
                <c:pt idx="6">
                  <c:v>3.7015604021669097</c:v>
                </c:pt>
                <c:pt idx="7">
                  <c:v>3.7529954021669099</c:v>
                </c:pt>
                <c:pt idx="8">
                  <c:v>3.80443040216691</c:v>
                </c:pt>
                <c:pt idx="9">
                  <c:v>3.8558654021669101</c:v>
                </c:pt>
                <c:pt idx="10">
                  <c:v>3.9073004021669102</c:v>
                </c:pt>
                <c:pt idx="11">
                  <c:v>3.9000000000000012</c:v>
                </c:pt>
                <c:pt idx="12">
                  <c:v>3.38565</c:v>
                </c:pt>
                <c:pt idx="13">
                  <c:v>3.392950402166909</c:v>
                </c:pt>
              </c:numCache>
            </c:numRef>
          </c:xVal>
          <c:yVal>
            <c:numRef>
              <c:f>PlotQ!$AR$12:$BE$12</c:f>
              <c:numCache>
                <c:formatCode>General</c:formatCode>
                <c:ptCount val="14"/>
                <c:pt idx="0">
                  <c:v>2.7301085325101035</c:v>
                </c:pt>
                <c:pt idx="1">
                  <c:v>2.2471754325101037</c:v>
                </c:pt>
                <c:pt idx="2">
                  <c:v>1.7642423325101035</c:v>
                </c:pt>
                <c:pt idx="3">
                  <c:v>1.2813092325101034</c:v>
                </c:pt>
                <c:pt idx="4">
                  <c:v>0.7983761325101032</c:v>
                </c:pt>
                <c:pt idx="5">
                  <c:v>0.31544303251010319</c:v>
                </c:pt>
                <c:pt idx="6">
                  <c:v>-0.16749006748989687</c:v>
                </c:pt>
                <c:pt idx="7">
                  <c:v>-0.65042316748989693</c:v>
                </c:pt>
                <c:pt idx="8">
                  <c:v>-1.1333562674898969</c:v>
                </c:pt>
                <c:pt idx="9">
                  <c:v>-1.616289367489897</c:v>
                </c:pt>
                <c:pt idx="10">
                  <c:v>-2.0992224674898972</c:v>
                </c:pt>
                <c:pt idx="11">
                  <c:v>-2.1000000000000005</c:v>
                </c:pt>
                <c:pt idx="12">
                  <c:v>2.7293310000000002</c:v>
                </c:pt>
                <c:pt idx="13">
                  <c:v>2.7301085325101035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458-47EA-8A60-19D1F77CD0EA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458-47EA-8A60-19D1F77CD0EA}"/>
              </c:ext>
            </c:extLst>
          </c:dPt>
          <c:xVal>
            <c:numRef>
              <c:f>PlotQ!$AB$13:$AO$13</c:f>
              <c:numCache>
                <c:formatCode>General</c:formatCode>
                <c:ptCount val="14"/>
                <c:pt idx="0">
                  <c:v>4.4141283901553443</c:v>
                </c:pt>
                <c:pt idx="1">
                  <c:v>4.3635280901553442</c:v>
                </c:pt>
                <c:pt idx="2">
                  <c:v>4.312927790155344</c:v>
                </c:pt>
                <c:pt idx="3">
                  <c:v>4.2623274901553438</c:v>
                </c:pt>
                <c:pt idx="4">
                  <c:v>4.2117271901553437</c:v>
                </c:pt>
                <c:pt idx="5">
                  <c:v>4.1611268901553435</c:v>
                </c:pt>
                <c:pt idx="6">
                  <c:v>4.1105265901553434</c:v>
                </c:pt>
                <c:pt idx="7">
                  <c:v>4.0599262901553432</c:v>
                </c:pt>
                <c:pt idx="8">
                  <c:v>4.0093259901553431</c:v>
                </c:pt>
                <c:pt idx="9">
                  <c:v>3.9587256901553434</c:v>
                </c:pt>
                <c:pt idx="10">
                  <c:v>3.9081253901553432</c:v>
                </c:pt>
                <c:pt idx="11">
                  <c:v>3.8999999999999986</c:v>
                </c:pt>
                <c:pt idx="12">
                  <c:v>4.4060030000000001</c:v>
                </c:pt>
                <c:pt idx="13">
                  <c:v>4.4141283901553443</c:v>
                </c:pt>
              </c:numCache>
            </c:numRef>
          </c:xVal>
          <c:yVal>
            <c:numRef>
              <c:f>PlotQ!$AR$13:$BE$13</c:f>
              <c:numCache>
                <c:formatCode>General</c:formatCode>
                <c:ptCount val="14"/>
                <c:pt idx="0">
                  <c:v>2.7439783687083614</c:v>
                </c:pt>
                <c:pt idx="1">
                  <c:v>2.2594956687083614</c:v>
                </c:pt>
                <c:pt idx="2">
                  <c:v>1.7750129687083613</c:v>
                </c:pt>
                <c:pt idx="3">
                  <c:v>1.2905302687083613</c:v>
                </c:pt>
                <c:pt idx="4">
                  <c:v>0.80604756870836125</c:v>
                </c:pt>
                <c:pt idx="5">
                  <c:v>0.32156486870836126</c:v>
                </c:pt>
                <c:pt idx="6">
                  <c:v>-0.16291783129163881</c:v>
                </c:pt>
                <c:pt idx="7">
                  <c:v>-0.64740053129163888</c:v>
                </c:pt>
                <c:pt idx="8">
                  <c:v>-1.1318832312916389</c:v>
                </c:pt>
                <c:pt idx="9">
                  <c:v>-1.616365931291639</c:v>
                </c:pt>
                <c:pt idx="10">
                  <c:v>-2.100848631291639</c:v>
                </c:pt>
                <c:pt idx="11">
                  <c:v>-2.1000000000000005</c:v>
                </c:pt>
                <c:pt idx="12">
                  <c:v>2.7448269999999999</c:v>
                </c:pt>
                <c:pt idx="13">
                  <c:v>2.7439783687083614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458-47EA-8A60-19D1F77CD0EA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458-47EA-8A60-19D1F77CD0EA}"/>
              </c:ext>
            </c:extLst>
          </c:dPt>
          <c:xVal>
            <c:numRef>
              <c:f>PlotQ!$AB$14:$AO$14</c:f>
              <c:numCache>
                <c:formatCode>General</c:formatCode>
                <c:ptCount val="14"/>
                <c:pt idx="0">
                  <c:v>3.6648993211527281</c:v>
                </c:pt>
                <c:pt idx="1">
                  <c:v>3.5814160211527279</c:v>
                </c:pt>
                <c:pt idx="2">
                  <c:v>3.4979327211527278</c:v>
                </c:pt>
                <c:pt idx="3">
                  <c:v>3.4144494211527276</c:v>
                </c:pt>
                <c:pt idx="4">
                  <c:v>3.3309661211527275</c:v>
                </c:pt>
                <c:pt idx="5">
                  <c:v>3.2474828211527274</c:v>
                </c:pt>
                <c:pt idx="6">
                  <c:v>3.1639995211527272</c:v>
                </c:pt>
                <c:pt idx="7">
                  <c:v>3.0805162211527271</c:v>
                </c:pt>
                <c:pt idx="8">
                  <c:v>2.9970329211527269</c:v>
                </c:pt>
                <c:pt idx="9">
                  <c:v>2.9135496211527268</c:v>
                </c:pt>
                <c:pt idx="10">
                  <c:v>2.8300663211527266</c:v>
                </c:pt>
                <c:pt idx="11">
                  <c:v>2.5508169999999986</c:v>
                </c:pt>
                <c:pt idx="12">
                  <c:v>3.38565</c:v>
                </c:pt>
                <c:pt idx="13">
                  <c:v>3.6648993211527281</c:v>
                </c:pt>
              </c:numCache>
            </c:numRef>
          </c:xVal>
          <c:yVal>
            <c:numRef>
              <c:f>PlotQ!$AR$14:$BE$14</c:f>
              <c:numCache>
                <c:formatCode>General</c:formatCode>
                <c:ptCount val="14"/>
                <c:pt idx="0">
                  <c:v>2.6019042792241054</c:v>
                </c:pt>
                <c:pt idx="1">
                  <c:v>2.4189547792241055</c:v>
                </c:pt>
                <c:pt idx="2">
                  <c:v>2.2360052792241056</c:v>
                </c:pt>
                <c:pt idx="3">
                  <c:v>2.0530557792241058</c:v>
                </c:pt>
                <c:pt idx="4">
                  <c:v>1.8701062792241059</c:v>
                </c:pt>
                <c:pt idx="5">
                  <c:v>1.6871567792241056</c:v>
                </c:pt>
                <c:pt idx="6">
                  <c:v>1.5042072792241057</c:v>
                </c:pt>
                <c:pt idx="7">
                  <c:v>1.3212577792241054</c:v>
                </c:pt>
                <c:pt idx="8">
                  <c:v>1.1383082792241055</c:v>
                </c:pt>
                <c:pt idx="9">
                  <c:v>0.95535877922410528</c:v>
                </c:pt>
                <c:pt idx="10">
                  <c:v>0.77240927922410518</c:v>
                </c:pt>
                <c:pt idx="11">
                  <c:v>0.89983599999999986</c:v>
                </c:pt>
                <c:pt idx="12">
                  <c:v>2.7293310000000002</c:v>
                </c:pt>
                <c:pt idx="13">
                  <c:v>2.6019042792241054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458-47EA-8A60-19D1F77CD0EA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458-47EA-8A60-19D1F77CD0EA}"/>
              </c:ext>
            </c:extLst>
          </c:dPt>
          <c:xVal>
            <c:numRef>
              <c:f>PlotQ!$AB$15:$AO$15</c:f>
              <c:numCache>
                <c:formatCode>General</c:formatCode>
                <c:ptCount val="14"/>
                <c:pt idx="0">
                  <c:v>4.6801442003320561</c:v>
                </c:pt>
                <c:pt idx="1">
                  <c:v>4.7667195003320559</c:v>
                </c:pt>
                <c:pt idx="2">
                  <c:v>4.8532948003320557</c:v>
                </c:pt>
                <c:pt idx="3">
                  <c:v>4.9398701003320555</c:v>
                </c:pt>
                <c:pt idx="4">
                  <c:v>5.0264454003320553</c:v>
                </c:pt>
                <c:pt idx="5">
                  <c:v>5.1130207003320551</c:v>
                </c:pt>
                <c:pt idx="6">
                  <c:v>5.1995960003320549</c:v>
                </c:pt>
                <c:pt idx="7">
                  <c:v>5.2861713003320547</c:v>
                </c:pt>
                <c:pt idx="8">
                  <c:v>5.3727466003320545</c:v>
                </c:pt>
                <c:pt idx="9">
                  <c:v>5.4593219003320543</c:v>
                </c:pt>
                <c:pt idx="10">
                  <c:v>5.5458972003320541</c:v>
                </c:pt>
                <c:pt idx="11">
                  <c:v>5.2717559999999981</c:v>
                </c:pt>
                <c:pt idx="12">
                  <c:v>4.4060030000000001</c:v>
                </c:pt>
                <c:pt idx="13">
                  <c:v>4.6801442003320561</c:v>
                </c:pt>
              </c:numCache>
            </c:numRef>
          </c:xVal>
          <c:yVal>
            <c:numRef>
              <c:f>PlotQ!$AR$15:$BE$15</c:f>
              <c:numCache>
                <c:formatCode>General</c:formatCode>
                <c:ptCount val="14"/>
                <c:pt idx="0">
                  <c:v>2.8734664170004502</c:v>
                </c:pt>
                <c:pt idx="1">
                  <c:v>2.6889673170004502</c:v>
                </c:pt>
                <c:pt idx="2">
                  <c:v>2.5044682170004502</c:v>
                </c:pt>
                <c:pt idx="3">
                  <c:v>2.3199691170004502</c:v>
                </c:pt>
                <c:pt idx="4">
                  <c:v>2.1354700170004501</c:v>
                </c:pt>
                <c:pt idx="5">
                  <c:v>1.9509709170004503</c:v>
                </c:pt>
                <c:pt idx="6">
                  <c:v>1.7664718170004503</c:v>
                </c:pt>
                <c:pt idx="7">
                  <c:v>1.5819727170004503</c:v>
                </c:pt>
                <c:pt idx="8">
                  <c:v>1.3974736170004503</c:v>
                </c:pt>
                <c:pt idx="9">
                  <c:v>1.2129745170004502</c:v>
                </c:pt>
                <c:pt idx="10">
                  <c:v>1.0284754170004502</c:v>
                </c:pt>
                <c:pt idx="11">
                  <c:v>0.89983599999999964</c:v>
                </c:pt>
                <c:pt idx="12">
                  <c:v>2.7448269999999999</c:v>
                </c:pt>
                <c:pt idx="13">
                  <c:v>2.8734664170004502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458-47EA-8A60-19D1F77CD0EA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458-47EA-8A60-19D1F77CD0EA}"/>
              </c:ext>
            </c:extLst>
          </c:dPt>
          <c:xVal>
            <c:numRef>
              <c:f>PlotQ!$AB$16:$AO$16</c:f>
              <c:numCache>
                <c:formatCode>General</c:formatCode>
                <c:ptCount val="14"/>
                <c:pt idx="0">
                  <c:v>-6.45</c:v>
                </c:pt>
                <c:pt idx="1">
                  <c:v>-6.3900000000000006</c:v>
                </c:pt>
                <c:pt idx="2">
                  <c:v>-6.33</c:v>
                </c:pt>
                <c:pt idx="3">
                  <c:v>-6.27</c:v>
                </c:pt>
                <c:pt idx="4">
                  <c:v>-6.2099999999999991</c:v>
                </c:pt>
                <c:pt idx="5">
                  <c:v>-6.1499999999999986</c:v>
                </c:pt>
                <c:pt idx="6">
                  <c:v>-6.0899999999999981</c:v>
                </c:pt>
                <c:pt idx="7">
                  <c:v>-6.0299999999999976</c:v>
                </c:pt>
                <c:pt idx="8">
                  <c:v>-5.9699999999999971</c:v>
                </c:pt>
                <c:pt idx="9">
                  <c:v>-5.9099999999999966</c:v>
                </c:pt>
                <c:pt idx="10">
                  <c:v>-5.8499999999999961</c:v>
                </c:pt>
                <c:pt idx="11">
                  <c:v>-5.8499999999999961</c:v>
                </c:pt>
                <c:pt idx="12">
                  <c:v>-6.45</c:v>
                </c:pt>
                <c:pt idx="13">
                  <c:v>-6.45</c:v>
                </c:pt>
              </c:numCache>
            </c:numRef>
          </c:xVal>
          <c:yVal>
            <c:numRef>
              <c:f>PlotQ!$AR$16:$BE$16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458-47EA-8A60-19D1F77CD0EA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458-47EA-8A60-19D1F77CD0EA}"/>
              </c:ext>
            </c:extLst>
          </c:dPt>
          <c:xVal>
            <c:numRef>
              <c:f>PlotQ!$AB$17:$AO$17</c:f>
              <c:numCache>
                <c:formatCode>General</c:formatCode>
                <c:ptCount val="14"/>
                <c:pt idx="0">
                  <c:v>-5.85</c:v>
                </c:pt>
                <c:pt idx="1">
                  <c:v>-5.6999999999999993</c:v>
                </c:pt>
                <c:pt idx="2">
                  <c:v>-5.5499999999999989</c:v>
                </c:pt>
                <c:pt idx="3">
                  <c:v>-5.3999999999999986</c:v>
                </c:pt>
                <c:pt idx="4">
                  <c:v>-5.2499999999999982</c:v>
                </c:pt>
                <c:pt idx="5">
                  <c:v>-5.0999999999999979</c:v>
                </c:pt>
                <c:pt idx="6">
                  <c:v>-4.9499999999999975</c:v>
                </c:pt>
                <c:pt idx="7">
                  <c:v>-4.7999999999999972</c:v>
                </c:pt>
                <c:pt idx="8">
                  <c:v>-4.6499999999999968</c:v>
                </c:pt>
                <c:pt idx="9">
                  <c:v>-4.4999999999999964</c:v>
                </c:pt>
                <c:pt idx="10">
                  <c:v>-4.3499999999999961</c:v>
                </c:pt>
                <c:pt idx="11">
                  <c:v>-4.3499999999999961</c:v>
                </c:pt>
                <c:pt idx="12">
                  <c:v>-5.85</c:v>
                </c:pt>
                <c:pt idx="13">
                  <c:v>-5.85</c:v>
                </c:pt>
              </c:numCache>
            </c:numRef>
          </c:xVal>
          <c:yVal>
            <c:numRef>
              <c:f>PlotQ!$AR$17:$BE$17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458-47EA-8A60-19D1F77CD0EA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458-47EA-8A60-19D1F77CD0EA}"/>
              </c:ext>
            </c:extLst>
          </c:dPt>
          <c:xVal>
            <c:numRef>
              <c:f>PlotQ!$AB$18:$AO$18</c:f>
              <c:numCache>
                <c:formatCode>General</c:formatCode>
                <c:ptCount val="14"/>
                <c:pt idx="0">
                  <c:v>-4.3499999999999996</c:v>
                </c:pt>
                <c:pt idx="1">
                  <c:v>-4.29</c:v>
                </c:pt>
                <c:pt idx="2">
                  <c:v>-4.2300000000000004</c:v>
                </c:pt>
                <c:pt idx="3">
                  <c:v>-4.1700000000000008</c:v>
                </c:pt>
                <c:pt idx="4">
                  <c:v>-4.1100000000000012</c:v>
                </c:pt>
                <c:pt idx="5">
                  <c:v>-4.0500000000000016</c:v>
                </c:pt>
                <c:pt idx="6">
                  <c:v>-3.9900000000000015</c:v>
                </c:pt>
                <c:pt idx="7">
                  <c:v>-3.9300000000000015</c:v>
                </c:pt>
                <c:pt idx="8">
                  <c:v>-3.8700000000000014</c:v>
                </c:pt>
                <c:pt idx="9">
                  <c:v>-3.8100000000000014</c:v>
                </c:pt>
                <c:pt idx="10">
                  <c:v>-3.7500000000000013</c:v>
                </c:pt>
                <c:pt idx="11">
                  <c:v>-3.7500000000000013</c:v>
                </c:pt>
                <c:pt idx="12">
                  <c:v>-4.3499999999999996</c:v>
                </c:pt>
                <c:pt idx="13">
                  <c:v>-4.3499999999999996</c:v>
                </c:pt>
              </c:numCache>
            </c:numRef>
          </c:xVal>
          <c:yVal>
            <c:numRef>
              <c:f>PlotQ!$AR$18:$BE$18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458-47EA-8A60-19D1F77CD0EA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458-47EA-8A60-19D1F77CD0EA}"/>
              </c:ext>
            </c:extLst>
          </c:dPt>
          <c:xVal>
            <c:numRef>
              <c:f>PlotQ!$AB$19:$AO$19</c:f>
              <c:numCache>
                <c:formatCode>General</c:formatCode>
                <c:ptCount val="14"/>
                <c:pt idx="0">
                  <c:v>-5.55</c:v>
                </c:pt>
                <c:pt idx="1">
                  <c:v>-5.58</c:v>
                </c:pt>
                <c:pt idx="2">
                  <c:v>-5.61</c:v>
                </c:pt>
                <c:pt idx="3">
                  <c:v>-5.6400000000000006</c:v>
                </c:pt>
                <c:pt idx="4">
                  <c:v>-5.6700000000000008</c:v>
                </c:pt>
                <c:pt idx="5">
                  <c:v>-5.7000000000000011</c:v>
                </c:pt>
                <c:pt idx="6">
                  <c:v>-5.7300000000000013</c:v>
                </c:pt>
                <c:pt idx="7">
                  <c:v>-5.7600000000000016</c:v>
                </c:pt>
                <c:pt idx="8">
                  <c:v>-5.7900000000000018</c:v>
                </c:pt>
                <c:pt idx="9">
                  <c:v>-5.8200000000000021</c:v>
                </c:pt>
                <c:pt idx="10">
                  <c:v>-5.8500000000000023</c:v>
                </c:pt>
                <c:pt idx="11">
                  <c:v>-5.8500000000000023</c:v>
                </c:pt>
                <c:pt idx="12">
                  <c:v>-5.55</c:v>
                </c:pt>
                <c:pt idx="13">
                  <c:v>-5.55</c:v>
                </c:pt>
              </c:numCache>
            </c:numRef>
          </c:xVal>
          <c:yVal>
            <c:numRef>
              <c:f>PlotQ!$AR$19:$BE$19</c:f>
              <c:numCache>
                <c:formatCode>General</c:formatCode>
                <c:ptCount val="14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  <c:pt idx="11">
                  <c:v>0.90000000000000036</c:v>
                </c:pt>
                <c:pt idx="12">
                  <c:v>2.85</c:v>
                </c:pt>
                <c:pt idx="13">
                  <c:v>2.85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458-47EA-8A60-19D1F77CD0EA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458-47EA-8A60-19D1F77CD0EA}"/>
              </c:ext>
            </c:extLst>
          </c:dPt>
          <c:xVal>
            <c:numRef>
              <c:f>PlotQ!$AB$20:$AO$20</c:f>
              <c:numCache>
                <c:formatCode>General</c:formatCode>
                <c:ptCount val="14"/>
                <c:pt idx="0">
                  <c:v>-4.6500000000000004</c:v>
                </c:pt>
                <c:pt idx="1">
                  <c:v>-4.62</c:v>
                </c:pt>
                <c:pt idx="2">
                  <c:v>-4.59</c:v>
                </c:pt>
                <c:pt idx="3">
                  <c:v>-4.5599999999999996</c:v>
                </c:pt>
                <c:pt idx="4">
                  <c:v>-4.5299999999999994</c:v>
                </c:pt>
                <c:pt idx="5">
                  <c:v>-4.4999999999999991</c:v>
                </c:pt>
                <c:pt idx="6">
                  <c:v>-4.4699999999999989</c:v>
                </c:pt>
                <c:pt idx="7">
                  <c:v>-4.4399999999999986</c:v>
                </c:pt>
                <c:pt idx="8">
                  <c:v>-4.4099999999999984</c:v>
                </c:pt>
                <c:pt idx="9">
                  <c:v>-4.3799999999999981</c:v>
                </c:pt>
                <c:pt idx="10">
                  <c:v>-4.3499999999999979</c:v>
                </c:pt>
                <c:pt idx="11">
                  <c:v>-4.3499999999999979</c:v>
                </c:pt>
                <c:pt idx="12">
                  <c:v>-4.6500000000000004</c:v>
                </c:pt>
                <c:pt idx="13">
                  <c:v>-4.6500000000000004</c:v>
                </c:pt>
              </c:numCache>
            </c:numRef>
          </c:xVal>
          <c:yVal>
            <c:numRef>
              <c:f>PlotQ!$AR$20:$BE$20</c:f>
              <c:numCache>
                <c:formatCode>General</c:formatCode>
                <c:ptCount val="14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  <c:pt idx="11">
                  <c:v>0.90000000000000036</c:v>
                </c:pt>
                <c:pt idx="12">
                  <c:v>2.85</c:v>
                </c:pt>
                <c:pt idx="13">
                  <c:v>2.85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458-47EA-8A60-19D1F77CD0EA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458-47EA-8A60-19D1F77CD0EA}"/>
              </c:ext>
            </c:extLst>
          </c:dPt>
          <c:xVal>
            <c:numRef>
              <c:f>PlotQ!$AB$21:$AO$21</c:f>
              <c:numCache>
                <c:formatCode>General</c:formatCode>
                <c:ptCount val="14"/>
                <c:pt idx="0">
                  <c:v>8.6999999999999993</c:v>
                </c:pt>
                <c:pt idx="1">
                  <c:v>9.0449999999999999</c:v>
                </c:pt>
                <c:pt idx="2">
                  <c:v>9.39</c:v>
                </c:pt>
                <c:pt idx="3">
                  <c:v>9.7350000000000012</c:v>
                </c:pt>
                <c:pt idx="4">
                  <c:v>10.080000000000002</c:v>
                </c:pt>
                <c:pt idx="5">
                  <c:v>10.425000000000002</c:v>
                </c:pt>
                <c:pt idx="6">
                  <c:v>10.770000000000003</c:v>
                </c:pt>
                <c:pt idx="7">
                  <c:v>11.115000000000004</c:v>
                </c:pt>
                <c:pt idx="8">
                  <c:v>11.460000000000004</c:v>
                </c:pt>
                <c:pt idx="9">
                  <c:v>11.805000000000005</c:v>
                </c:pt>
                <c:pt idx="10">
                  <c:v>12.150000000000006</c:v>
                </c:pt>
                <c:pt idx="11">
                  <c:v>12.150000000000006</c:v>
                </c:pt>
                <c:pt idx="12">
                  <c:v>8.6999999999999993</c:v>
                </c:pt>
                <c:pt idx="13">
                  <c:v>8.6999999999999993</c:v>
                </c:pt>
              </c:numCache>
            </c:numRef>
          </c:xVal>
          <c:yVal>
            <c:numRef>
              <c:f>PlotQ!$AR$21:$BE$21</c:f>
              <c:numCache>
                <c:formatCode>General</c:formatCode>
                <c:ptCount val="14"/>
                <c:pt idx="0">
                  <c:v>-4.2786534524921533</c:v>
                </c:pt>
                <c:pt idx="1">
                  <c:v>-4.2786534524921533</c:v>
                </c:pt>
                <c:pt idx="2">
                  <c:v>-4.2786534524921533</c:v>
                </c:pt>
                <c:pt idx="3">
                  <c:v>-4.2786534524921533</c:v>
                </c:pt>
                <c:pt idx="4">
                  <c:v>-4.2786534524921533</c:v>
                </c:pt>
                <c:pt idx="5">
                  <c:v>-4.2786534524921533</c:v>
                </c:pt>
                <c:pt idx="6">
                  <c:v>-4.2786534524921533</c:v>
                </c:pt>
                <c:pt idx="7">
                  <c:v>-4.2786534524921533</c:v>
                </c:pt>
                <c:pt idx="8">
                  <c:v>-4.2786534524921533</c:v>
                </c:pt>
                <c:pt idx="9">
                  <c:v>-4.2786534524921533</c:v>
                </c:pt>
                <c:pt idx="10">
                  <c:v>-4.2786534524921533</c:v>
                </c:pt>
                <c:pt idx="11">
                  <c:v>0.9</c:v>
                </c:pt>
                <c:pt idx="12">
                  <c:v>0.9</c:v>
                </c:pt>
                <c:pt idx="13">
                  <c:v>-4.2786534524921533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458-47EA-8A60-19D1F77CD0EA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458-47EA-8A60-19D1F77CD0EA}"/>
              </c:ext>
            </c:extLst>
          </c:dPt>
          <c:xVal>
            <c:numRef>
              <c:f>PlotQ!$AB$22:$AO$22</c:f>
              <c:numCache>
                <c:formatCode>General</c:formatCode>
                <c:ptCount val="14"/>
                <c:pt idx="0">
                  <c:v>3.374946669666151</c:v>
                </c:pt>
                <c:pt idx="1">
                  <c:v>3.4769819696661508</c:v>
                </c:pt>
                <c:pt idx="2">
                  <c:v>3.5790172696661506</c:v>
                </c:pt>
                <c:pt idx="3">
                  <c:v>3.6810525696661505</c:v>
                </c:pt>
                <c:pt idx="4">
                  <c:v>3.7830878696661503</c:v>
                </c:pt>
                <c:pt idx="5">
                  <c:v>3.8851231696661501</c:v>
                </c:pt>
                <c:pt idx="6">
                  <c:v>3.98715846966615</c:v>
                </c:pt>
                <c:pt idx="7">
                  <c:v>4.0891937696661502</c:v>
                </c:pt>
                <c:pt idx="8">
                  <c:v>4.1912290696661501</c:v>
                </c:pt>
                <c:pt idx="9">
                  <c:v>4.2932643696661499</c:v>
                </c:pt>
                <c:pt idx="10">
                  <c:v>4.3952996696661497</c:v>
                </c:pt>
                <c:pt idx="11">
                  <c:v>4.4060029999999983</c:v>
                </c:pt>
                <c:pt idx="12">
                  <c:v>3.38565</c:v>
                </c:pt>
                <c:pt idx="13">
                  <c:v>3.374946669666151</c:v>
                </c:pt>
              </c:numCache>
            </c:numRef>
          </c:xVal>
          <c:yVal>
            <c:numRef>
              <c:f>PlotQ!$AR$22:$BE$22</c:f>
              <c:numCache>
                <c:formatCode>General</c:formatCode>
                <c:ptCount val="14"/>
                <c:pt idx="0">
                  <c:v>3.43410482654452</c:v>
                </c:pt>
                <c:pt idx="1">
                  <c:v>3.4356544265445201</c:v>
                </c:pt>
                <c:pt idx="2">
                  <c:v>3.4372040265445203</c:v>
                </c:pt>
                <c:pt idx="3">
                  <c:v>3.4387536265445204</c:v>
                </c:pt>
                <c:pt idx="4">
                  <c:v>3.4403032265445206</c:v>
                </c:pt>
                <c:pt idx="5">
                  <c:v>3.4418528265445207</c:v>
                </c:pt>
                <c:pt idx="6">
                  <c:v>3.4434024265445209</c:v>
                </c:pt>
                <c:pt idx="7">
                  <c:v>3.444952026544521</c:v>
                </c:pt>
                <c:pt idx="8">
                  <c:v>3.4465016265445212</c:v>
                </c:pt>
                <c:pt idx="9">
                  <c:v>3.4480512265445213</c:v>
                </c:pt>
                <c:pt idx="10">
                  <c:v>3.4496008265445215</c:v>
                </c:pt>
                <c:pt idx="11">
                  <c:v>2.7448270000000017</c:v>
                </c:pt>
                <c:pt idx="12">
                  <c:v>2.7293310000000002</c:v>
                </c:pt>
                <c:pt idx="13">
                  <c:v>3.43410482654452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458-47EA-8A60-19D1F77CD0EA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458-47EA-8A60-19D1F77CD0EA}"/>
              </c:ext>
            </c:extLst>
          </c:dPt>
          <c:xVal>
            <c:numRef>
              <c:f>PlotQ!$AB$23:$AO$23</c:f>
              <c:numCache>
                <c:formatCode>General</c:formatCode>
                <c:ptCount val="14"/>
                <c:pt idx="0">
                  <c:v>12.150000004094007</c:v>
                </c:pt>
                <c:pt idx="1">
                  <c:v>12.495081704094007</c:v>
                </c:pt>
                <c:pt idx="2">
                  <c:v>12.840163404094007</c:v>
                </c:pt>
                <c:pt idx="3">
                  <c:v>13.185245104094006</c:v>
                </c:pt>
                <c:pt idx="4">
                  <c:v>13.530326804094006</c:v>
                </c:pt>
                <c:pt idx="5">
                  <c:v>13.875408504094006</c:v>
                </c:pt>
                <c:pt idx="6">
                  <c:v>14.220490204094006</c:v>
                </c:pt>
                <c:pt idx="7">
                  <c:v>14.565571904094005</c:v>
                </c:pt>
                <c:pt idx="8">
                  <c:v>14.910653604094005</c:v>
                </c:pt>
                <c:pt idx="9">
                  <c:v>15.255735304094005</c:v>
                </c:pt>
                <c:pt idx="10">
                  <c:v>15.600817004094004</c:v>
                </c:pt>
                <c:pt idx="11">
                  <c:v>15.600816999999997</c:v>
                </c:pt>
                <c:pt idx="12">
                  <c:v>12.15</c:v>
                </c:pt>
                <c:pt idx="13">
                  <c:v>12.150000004094007</c:v>
                </c:pt>
              </c:numCache>
            </c:numRef>
          </c:xVal>
          <c:yVal>
            <c:numRef>
              <c:f>PlotQ!$AR$23:$BE$23</c:f>
              <c:numCache>
                <c:formatCode>General</c:formatCode>
                <c:ptCount val="14"/>
                <c:pt idx="0">
                  <c:v>0.90008614433746104</c:v>
                </c:pt>
                <c:pt idx="1">
                  <c:v>0.90006974433746101</c:v>
                </c:pt>
                <c:pt idx="2">
                  <c:v>0.90005334433746098</c:v>
                </c:pt>
                <c:pt idx="3">
                  <c:v>0.90003694433746095</c:v>
                </c:pt>
                <c:pt idx="4">
                  <c:v>0.90002054433746093</c:v>
                </c:pt>
                <c:pt idx="5">
                  <c:v>0.9000041443374609</c:v>
                </c:pt>
                <c:pt idx="6">
                  <c:v>0.89998774433746087</c:v>
                </c:pt>
                <c:pt idx="7">
                  <c:v>0.89997134433746084</c:v>
                </c:pt>
                <c:pt idx="8">
                  <c:v>0.89995494433746082</c:v>
                </c:pt>
                <c:pt idx="9">
                  <c:v>0.89993854433746079</c:v>
                </c:pt>
                <c:pt idx="10">
                  <c:v>0.89992214433746076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0.90008614433746104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458-47EA-8A60-19D1F77CD0EA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458-47EA-8A60-19D1F77CD0EA}"/>
              </c:ext>
            </c:extLst>
          </c:dPt>
          <c:xVal>
            <c:numRef>
              <c:f>PlotQ!$AB$24:$AO$24</c:f>
              <c:numCache>
                <c:formatCode>General</c:formatCode>
                <c:ptCount val="14"/>
                <c:pt idx="0">
                  <c:v>12.150036309938994</c:v>
                </c:pt>
                <c:pt idx="1">
                  <c:v>12.630036409938993</c:v>
                </c:pt>
                <c:pt idx="2">
                  <c:v>13.110036509938993</c:v>
                </c:pt>
                <c:pt idx="3">
                  <c:v>13.590036609938993</c:v>
                </c:pt>
                <c:pt idx="4">
                  <c:v>14.070036709938993</c:v>
                </c:pt>
                <c:pt idx="5">
                  <c:v>14.550036809938993</c:v>
                </c:pt>
                <c:pt idx="6">
                  <c:v>15.030036909938993</c:v>
                </c:pt>
                <c:pt idx="7">
                  <c:v>15.510037009938992</c:v>
                </c:pt>
                <c:pt idx="8">
                  <c:v>15.990037109938992</c:v>
                </c:pt>
                <c:pt idx="9">
                  <c:v>16.47003720993899</c:v>
                </c:pt>
                <c:pt idx="10">
                  <c:v>16.950037309938992</c:v>
                </c:pt>
                <c:pt idx="11">
                  <c:v>16.950001</c:v>
                </c:pt>
                <c:pt idx="12">
                  <c:v>12.15</c:v>
                </c:pt>
                <c:pt idx="13">
                  <c:v>12.150036309938994</c:v>
                </c:pt>
              </c:numCache>
            </c:numRef>
          </c:xVal>
          <c:yVal>
            <c:numRef>
              <c:f>PlotQ!$AR$24:$BE$24</c:f>
              <c:numCache>
                <c:formatCode>General</c:formatCode>
                <c:ptCount val="14"/>
                <c:pt idx="0">
                  <c:v>0.9000580959144916</c:v>
                </c:pt>
                <c:pt idx="1">
                  <c:v>0.60005809591449155</c:v>
                </c:pt>
                <c:pt idx="2">
                  <c:v>0.30005809591449151</c:v>
                </c:pt>
                <c:pt idx="3">
                  <c:v>5.809591449145584E-5</c:v>
                </c:pt>
                <c:pt idx="4">
                  <c:v>-0.29994190408550858</c:v>
                </c:pt>
                <c:pt idx="5">
                  <c:v>-0.59994190408550863</c:v>
                </c:pt>
                <c:pt idx="6">
                  <c:v>-0.89994190408550867</c:v>
                </c:pt>
                <c:pt idx="7">
                  <c:v>-1.1999419040855086</c:v>
                </c:pt>
                <c:pt idx="8">
                  <c:v>-1.4999419040855086</c:v>
                </c:pt>
                <c:pt idx="9">
                  <c:v>-1.7999419040855087</c:v>
                </c:pt>
                <c:pt idx="10">
                  <c:v>-2.099941904085509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0.9000580959144916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458-47EA-8A60-19D1F77CD0EA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458-47EA-8A60-19D1F77CD0EA}"/>
              </c:ext>
            </c:extLst>
          </c:dPt>
          <c:xVal>
            <c:numRef>
              <c:f>PlotQ!$AB$25:$AO$25</c:f>
              <c:numCache>
                <c:formatCode>General</c:formatCode>
                <c:ptCount val="14"/>
                <c:pt idx="0">
                  <c:v>21.750036235695195</c:v>
                </c:pt>
                <c:pt idx="1">
                  <c:v>21.270036335695195</c:v>
                </c:pt>
                <c:pt idx="2">
                  <c:v>20.790036435695196</c:v>
                </c:pt>
                <c:pt idx="3">
                  <c:v>20.310036535695197</c:v>
                </c:pt>
                <c:pt idx="4">
                  <c:v>19.830036635695198</c:v>
                </c:pt>
                <c:pt idx="5">
                  <c:v>19.350036735695198</c:v>
                </c:pt>
                <c:pt idx="6">
                  <c:v>18.870036835695199</c:v>
                </c:pt>
                <c:pt idx="7">
                  <c:v>18.3900369356952</c:v>
                </c:pt>
                <c:pt idx="8">
                  <c:v>17.910037035695201</c:v>
                </c:pt>
                <c:pt idx="9">
                  <c:v>17.430037135695201</c:v>
                </c:pt>
                <c:pt idx="10">
                  <c:v>16.950037235695202</c:v>
                </c:pt>
                <c:pt idx="11">
                  <c:v>16.950001000000007</c:v>
                </c:pt>
                <c:pt idx="12">
                  <c:v>21.75</c:v>
                </c:pt>
                <c:pt idx="13">
                  <c:v>21.750036235695195</c:v>
                </c:pt>
              </c:numCache>
            </c:numRef>
          </c:xVal>
          <c:yVal>
            <c:numRef>
              <c:f>PlotQ!$AR$25:$BE$25</c:f>
              <c:numCache>
                <c:formatCode>General</c:formatCode>
                <c:ptCount val="14"/>
                <c:pt idx="0">
                  <c:v>0.89994202289976721</c:v>
                </c:pt>
                <c:pt idx="1">
                  <c:v>0.59994202289976717</c:v>
                </c:pt>
                <c:pt idx="2">
                  <c:v>0.29994202289976712</c:v>
                </c:pt>
                <c:pt idx="3">
                  <c:v>-5.797710023293767E-5</c:v>
                </c:pt>
                <c:pt idx="4">
                  <c:v>-0.30005797710023296</c:v>
                </c:pt>
                <c:pt idx="5">
                  <c:v>-0.60005797710023301</c:v>
                </c:pt>
                <c:pt idx="6">
                  <c:v>-0.90005797710023305</c:v>
                </c:pt>
                <c:pt idx="7">
                  <c:v>-1.2000579771002331</c:v>
                </c:pt>
                <c:pt idx="8">
                  <c:v>-1.5000579771002331</c:v>
                </c:pt>
                <c:pt idx="9">
                  <c:v>-1.8000579771002332</c:v>
                </c:pt>
                <c:pt idx="10">
                  <c:v>-2.1000579771002332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0.89994202289976721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458-47EA-8A60-19D1F77CD0EA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458-47EA-8A60-19D1F77CD0EA}"/>
              </c:ext>
            </c:extLst>
          </c:dPt>
          <c:xVal>
            <c:numRef>
              <c:f>PlotQ!$AB$26:$AO$26</c:f>
              <c:numCache>
                <c:formatCode>General</c:formatCode>
                <c:ptCount val="14"/>
                <c:pt idx="0">
                  <c:v>16.95000097378858</c:v>
                </c:pt>
                <c:pt idx="1">
                  <c:v>17.087176473788581</c:v>
                </c:pt>
                <c:pt idx="2">
                  <c:v>17.224351973788583</c:v>
                </c:pt>
                <c:pt idx="3">
                  <c:v>17.361527473788584</c:v>
                </c:pt>
                <c:pt idx="4">
                  <c:v>17.498702973788586</c:v>
                </c:pt>
                <c:pt idx="5">
                  <c:v>17.635878473788587</c:v>
                </c:pt>
                <c:pt idx="6">
                  <c:v>17.773053973788588</c:v>
                </c:pt>
                <c:pt idx="7">
                  <c:v>17.91022947378859</c:v>
                </c:pt>
                <c:pt idx="8">
                  <c:v>18.047404973788591</c:v>
                </c:pt>
                <c:pt idx="9">
                  <c:v>18.184580473788593</c:v>
                </c:pt>
                <c:pt idx="10">
                  <c:v>18.321755973788594</c:v>
                </c:pt>
                <c:pt idx="11">
                  <c:v>18.321756000000015</c:v>
                </c:pt>
                <c:pt idx="12">
                  <c:v>16.950001</c:v>
                </c:pt>
                <c:pt idx="13">
                  <c:v>16.95000097378858</c:v>
                </c:pt>
              </c:numCache>
            </c:numRef>
          </c:xVal>
          <c:yVal>
            <c:numRef>
              <c:f>PlotQ!$AR$26:$BE$26</c:f>
              <c:numCache>
                <c:formatCode>General</c:formatCode>
                <c:ptCount val="14"/>
                <c:pt idx="0">
                  <c:v>0.89978075826092374</c:v>
                </c:pt>
                <c:pt idx="1">
                  <c:v>0.89976435826092371</c:v>
                </c:pt>
                <c:pt idx="2">
                  <c:v>0.89974795826092369</c:v>
                </c:pt>
                <c:pt idx="3">
                  <c:v>0.89973155826092366</c:v>
                </c:pt>
                <c:pt idx="4">
                  <c:v>0.89971515826092363</c:v>
                </c:pt>
                <c:pt idx="5">
                  <c:v>0.8996987582609236</c:v>
                </c:pt>
                <c:pt idx="6">
                  <c:v>0.89968235826092358</c:v>
                </c:pt>
                <c:pt idx="7">
                  <c:v>0.89966595826092355</c:v>
                </c:pt>
                <c:pt idx="8">
                  <c:v>0.89964955826092352</c:v>
                </c:pt>
                <c:pt idx="9">
                  <c:v>0.89963315826092349</c:v>
                </c:pt>
                <c:pt idx="10">
                  <c:v>0.89961675826092347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0.89978075826092374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458-47EA-8A60-19D1F77CD0EA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458-47EA-8A60-19D1F77CD0EA}"/>
              </c:ext>
            </c:extLst>
          </c:dPt>
          <c:xVal>
            <c:numRef>
              <c:f>PlotQ!$AB$27:$AO$27</c:f>
              <c:numCache>
                <c:formatCode>General</c:formatCode>
                <c:ptCount val="14"/>
                <c:pt idx="0">
                  <c:v>16.349766142805002</c:v>
                </c:pt>
                <c:pt idx="1">
                  <c:v>16.358331142805003</c:v>
                </c:pt>
                <c:pt idx="2">
                  <c:v>16.366896142805004</c:v>
                </c:pt>
                <c:pt idx="3">
                  <c:v>16.375461142805005</c:v>
                </c:pt>
                <c:pt idx="4">
                  <c:v>16.384026142805006</c:v>
                </c:pt>
                <c:pt idx="5">
                  <c:v>16.392591142805006</c:v>
                </c:pt>
                <c:pt idx="6">
                  <c:v>16.401156142805007</c:v>
                </c:pt>
                <c:pt idx="7">
                  <c:v>16.409721142805008</c:v>
                </c:pt>
                <c:pt idx="8">
                  <c:v>16.418286142805009</c:v>
                </c:pt>
                <c:pt idx="9">
                  <c:v>16.42685114280501</c:v>
                </c:pt>
                <c:pt idx="10">
                  <c:v>16.435416142805011</c:v>
                </c:pt>
                <c:pt idx="11">
                  <c:v>16.43565000000001</c:v>
                </c:pt>
                <c:pt idx="12">
                  <c:v>16.350000000000001</c:v>
                </c:pt>
                <c:pt idx="13">
                  <c:v>16.349766142805002</c:v>
                </c:pt>
              </c:numCache>
            </c:numRef>
          </c:xVal>
          <c:yVal>
            <c:numRef>
              <c:f>PlotQ!$AR$27:$BE$27</c:f>
              <c:numCache>
                <c:formatCode>General</c:formatCode>
                <c:ptCount val="14"/>
                <c:pt idx="0">
                  <c:v>3.5999769948525198</c:v>
                </c:pt>
                <c:pt idx="1">
                  <c:v>3.5129100948525198</c:v>
                </c:pt>
                <c:pt idx="2">
                  <c:v>3.4258431948525199</c:v>
                </c:pt>
                <c:pt idx="3">
                  <c:v>3.3387762948525199</c:v>
                </c:pt>
                <c:pt idx="4">
                  <c:v>3.25170939485252</c:v>
                </c:pt>
                <c:pt idx="5">
                  <c:v>3.16464249485252</c:v>
                </c:pt>
                <c:pt idx="6">
                  <c:v>3.0775755948525201</c:v>
                </c:pt>
                <c:pt idx="7">
                  <c:v>2.9905086948525201</c:v>
                </c:pt>
                <c:pt idx="8">
                  <c:v>2.9034417948525202</c:v>
                </c:pt>
                <c:pt idx="9">
                  <c:v>2.8163748948525202</c:v>
                </c:pt>
                <c:pt idx="10">
                  <c:v>2.7293079948525203</c:v>
                </c:pt>
                <c:pt idx="11">
                  <c:v>2.7293310000000006</c:v>
                </c:pt>
                <c:pt idx="12">
                  <c:v>3.6</c:v>
                </c:pt>
                <c:pt idx="13">
                  <c:v>3.5999769948525198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458-47EA-8A60-19D1F77CD0EA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458-47EA-8A60-19D1F77CD0EA}"/>
              </c:ext>
            </c:extLst>
          </c:dPt>
          <c:xVal>
            <c:numRef>
              <c:f>PlotQ!$AB$28:$AO$28</c:f>
              <c:numCache>
                <c:formatCode>General</c:formatCode>
                <c:ptCount val="14"/>
                <c:pt idx="0">
                  <c:v>17.549749323356632</c:v>
                </c:pt>
                <c:pt idx="1">
                  <c:v>17.540349723356631</c:v>
                </c:pt>
                <c:pt idx="2">
                  <c:v>17.530950123356629</c:v>
                </c:pt>
                <c:pt idx="3">
                  <c:v>17.521550523356627</c:v>
                </c:pt>
                <c:pt idx="4">
                  <c:v>17.512150923356625</c:v>
                </c:pt>
                <c:pt idx="5">
                  <c:v>17.502751323356623</c:v>
                </c:pt>
                <c:pt idx="6">
                  <c:v>17.493351723356621</c:v>
                </c:pt>
                <c:pt idx="7">
                  <c:v>17.48395212335662</c:v>
                </c:pt>
                <c:pt idx="8">
                  <c:v>17.474552523356618</c:v>
                </c:pt>
                <c:pt idx="9">
                  <c:v>17.465152923356616</c:v>
                </c:pt>
                <c:pt idx="10">
                  <c:v>17.455753323356614</c:v>
                </c:pt>
                <c:pt idx="11">
                  <c:v>17.456002999999981</c:v>
                </c:pt>
                <c:pt idx="12">
                  <c:v>17.549999</c:v>
                </c:pt>
                <c:pt idx="13">
                  <c:v>17.549749323356632</c:v>
                </c:pt>
              </c:numCache>
            </c:numRef>
          </c:xVal>
          <c:yVal>
            <c:numRef>
              <c:f>PlotQ!$AR$28:$BE$28</c:f>
              <c:numCache>
                <c:formatCode>General</c:formatCode>
                <c:ptCount val="14"/>
                <c:pt idx="0">
                  <c:v>3.6000274431089032</c:v>
                </c:pt>
                <c:pt idx="1">
                  <c:v>3.5145101431089034</c:v>
                </c:pt>
                <c:pt idx="2">
                  <c:v>3.4289928431089032</c:v>
                </c:pt>
                <c:pt idx="3">
                  <c:v>3.3434755431089029</c:v>
                </c:pt>
                <c:pt idx="4">
                  <c:v>3.2579582431089027</c:v>
                </c:pt>
                <c:pt idx="5">
                  <c:v>3.1724409431089025</c:v>
                </c:pt>
                <c:pt idx="6">
                  <c:v>3.0869236431089022</c:v>
                </c:pt>
                <c:pt idx="7">
                  <c:v>3.001406343108902</c:v>
                </c:pt>
                <c:pt idx="8">
                  <c:v>2.9158890431089017</c:v>
                </c:pt>
                <c:pt idx="9">
                  <c:v>2.8303717431089015</c:v>
                </c:pt>
                <c:pt idx="10">
                  <c:v>2.7448544431089013</c:v>
                </c:pt>
                <c:pt idx="11">
                  <c:v>2.7448269999999981</c:v>
                </c:pt>
                <c:pt idx="12">
                  <c:v>3.6</c:v>
                </c:pt>
                <c:pt idx="13">
                  <c:v>3.6000274431089032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458-47EA-8A60-19D1F77CD0EA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458-47EA-8A60-19D1F77CD0EA}"/>
              </c:ext>
            </c:extLst>
          </c:dPt>
          <c:xVal>
            <c:numRef>
              <c:f>PlotQ!$AB$29:$AO$29</c:f>
              <c:numCache>
                <c:formatCode>General</c:formatCode>
                <c:ptCount val="14"/>
                <c:pt idx="0">
                  <c:v>15.600817026663401</c:v>
                </c:pt>
                <c:pt idx="1">
                  <c:v>15.735735426663402</c:v>
                </c:pt>
                <c:pt idx="2">
                  <c:v>15.870653826663402</c:v>
                </c:pt>
                <c:pt idx="3">
                  <c:v>16.0055722266634</c:v>
                </c:pt>
                <c:pt idx="4">
                  <c:v>16.1404906266634</c:v>
                </c:pt>
                <c:pt idx="5">
                  <c:v>16.2754090266634</c:v>
                </c:pt>
                <c:pt idx="6">
                  <c:v>16.4103274266634</c:v>
                </c:pt>
                <c:pt idx="7">
                  <c:v>16.5452458266634</c:v>
                </c:pt>
                <c:pt idx="8">
                  <c:v>16.6801642266634</c:v>
                </c:pt>
                <c:pt idx="9">
                  <c:v>16.815082626663401</c:v>
                </c:pt>
                <c:pt idx="10">
                  <c:v>16.950001026663401</c:v>
                </c:pt>
                <c:pt idx="11">
                  <c:v>16.950001</c:v>
                </c:pt>
                <c:pt idx="12">
                  <c:v>15.600816999999999</c:v>
                </c:pt>
                <c:pt idx="13">
                  <c:v>15.600817026663401</c:v>
                </c:pt>
              </c:numCache>
            </c:numRef>
          </c:xVal>
          <c:yVal>
            <c:numRef>
              <c:f>PlotQ!$AR$29:$BE$29</c:f>
              <c:numCache>
                <c:formatCode>General</c:formatCode>
                <c:ptCount val="14"/>
                <c:pt idx="0">
                  <c:v>0.89961664735068414</c:v>
                </c:pt>
                <c:pt idx="1">
                  <c:v>0.89963304735068417</c:v>
                </c:pt>
                <c:pt idx="2">
                  <c:v>0.89964944735068419</c:v>
                </c:pt>
                <c:pt idx="3">
                  <c:v>0.89966584735068422</c:v>
                </c:pt>
                <c:pt idx="4">
                  <c:v>0.89968224735068425</c:v>
                </c:pt>
                <c:pt idx="5">
                  <c:v>0.89969864735068428</c:v>
                </c:pt>
                <c:pt idx="6">
                  <c:v>0.8997150473506843</c:v>
                </c:pt>
                <c:pt idx="7">
                  <c:v>0.89973144735068433</c:v>
                </c:pt>
                <c:pt idx="8">
                  <c:v>0.89974784735068436</c:v>
                </c:pt>
                <c:pt idx="9">
                  <c:v>0.89976424735068439</c:v>
                </c:pt>
                <c:pt idx="10">
                  <c:v>0.89978064735068441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0.89961664735068414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458-47EA-8A60-19D1F77CD0EA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458-47EA-8A60-19D1F77CD0EA}"/>
              </c:ext>
            </c:extLst>
          </c:dPt>
          <c:xVal>
            <c:numRef>
              <c:f>PlotQ!$AB$30:$AO$30</c:f>
              <c:numCache>
                <c:formatCode>General</c:formatCode>
                <c:ptCount val="14"/>
                <c:pt idx="0">
                  <c:v>18.321755995821814</c:v>
                </c:pt>
                <c:pt idx="1">
                  <c:v>18.664580395821815</c:v>
                </c:pt>
                <c:pt idx="2">
                  <c:v>19.007404795821817</c:v>
                </c:pt>
                <c:pt idx="3">
                  <c:v>19.350229195821818</c:v>
                </c:pt>
                <c:pt idx="4">
                  <c:v>19.693053595821819</c:v>
                </c:pt>
                <c:pt idx="5">
                  <c:v>20.035877995821821</c:v>
                </c:pt>
                <c:pt idx="6">
                  <c:v>20.378702395821822</c:v>
                </c:pt>
                <c:pt idx="7">
                  <c:v>20.721526795821823</c:v>
                </c:pt>
                <c:pt idx="8">
                  <c:v>21.064351195821825</c:v>
                </c:pt>
                <c:pt idx="9">
                  <c:v>21.407175595821826</c:v>
                </c:pt>
                <c:pt idx="10">
                  <c:v>21.749999995821828</c:v>
                </c:pt>
                <c:pt idx="11">
                  <c:v>21.750000000000014</c:v>
                </c:pt>
                <c:pt idx="12">
                  <c:v>18.321756000000001</c:v>
                </c:pt>
                <c:pt idx="13">
                  <c:v>18.321755995821814</c:v>
                </c:pt>
              </c:numCache>
            </c:numRef>
          </c:xVal>
          <c:yVal>
            <c:numRef>
              <c:f>PlotQ!$AR$30:$BE$30</c:f>
              <c:numCache>
                <c:formatCode>General</c:formatCode>
                <c:ptCount val="14"/>
                <c:pt idx="0">
                  <c:v>0.89992334054511625</c:v>
                </c:pt>
                <c:pt idx="1">
                  <c:v>0.89993974054511627</c:v>
                </c:pt>
                <c:pt idx="2">
                  <c:v>0.8999561405451163</c:v>
                </c:pt>
                <c:pt idx="3">
                  <c:v>0.89997254054511633</c:v>
                </c:pt>
                <c:pt idx="4">
                  <c:v>0.89998894054511636</c:v>
                </c:pt>
                <c:pt idx="5">
                  <c:v>0.90000534054511638</c:v>
                </c:pt>
                <c:pt idx="6">
                  <c:v>0.90002174054511641</c:v>
                </c:pt>
                <c:pt idx="7">
                  <c:v>0.90003814054511644</c:v>
                </c:pt>
                <c:pt idx="8">
                  <c:v>0.90005454054511647</c:v>
                </c:pt>
                <c:pt idx="9">
                  <c:v>0.90007094054511649</c:v>
                </c:pt>
                <c:pt idx="10">
                  <c:v>0.90008734054511652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0.89992334054511625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458-47EA-8A60-19D1F77CD0EA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458-47EA-8A60-19D1F77CD0EA}"/>
              </c:ext>
            </c:extLst>
          </c:dPt>
          <c:xVal>
            <c:numRef>
              <c:f>PlotQ!$AB$31:$AO$31</c:f>
              <c:numCache>
                <c:formatCode>General</c:formatCode>
                <c:ptCount val="14"/>
                <c:pt idx="0">
                  <c:v>16.435660455134535</c:v>
                </c:pt>
                <c:pt idx="1">
                  <c:v>16.487095555134534</c:v>
                </c:pt>
                <c:pt idx="2">
                  <c:v>16.538530655134533</c:v>
                </c:pt>
                <c:pt idx="3">
                  <c:v>16.589965755134532</c:v>
                </c:pt>
                <c:pt idx="4">
                  <c:v>16.641400855134531</c:v>
                </c:pt>
                <c:pt idx="5">
                  <c:v>16.69283595513453</c:v>
                </c:pt>
                <c:pt idx="6">
                  <c:v>16.744271055134529</c:v>
                </c:pt>
                <c:pt idx="7">
                  <c:v>16.795706155134528</c:v>
                </c:pt>
                <c:pt idx="8">
                  <c:v>16.847141255134527</c:v>
                </c:pt>
                <c:pt idx="9">
                  <c:v>16.898576355134526</c:v>
                </c:pt>
                <c:pt idx="10">
                  <c:v>16.950011455134526</c:v>
                </c:pt>
                <c:pt idx="11">
                  <c:v>16.95000099999999</c:v>
                </c:pt>
                <c:pt idx="12">
                  <c:v>16.435649999999999</c:v>
                </c:pt>
                <c:pt idx="13">
                  <c:v>16.435660455134535</c:v>
                </c:pt>
              </c:numCache>
            </c:numRef>
          </c:xVal>
          <c:yVal>
            <c:numRef>
              <c:f>PlotQ!$AR$31:$BE$31</c:f>
              <c:numCache>
                <c:formatCode>General</c:formatCode>
                <c:ptCount val="14"/>
                <c:pt idx="0">
                  <c:v>2.7293321135308193</c:v>
                </c:pt>
                <c:pt idx="1">
                  <c:v>2.2463990135308194</c:v>
                </c:pt>
                <c:pt idx="2">
                  <c:v>1.7634659135308193</c:v>
                </c:pt>
                <c:pt idx="3">
                  <c:v>1.2805328135308192</c:v>
                </c:pt>
                <c:pt idx="4">
                  <c:v>0.79759971353081904</c:v>
                </c:pt>
                <c:pt idx="5">
                  <c:v>0.31466661353081893</c:v>
                </c:pt>
                <c:pt idx="6">
                  <c:v>-0.1682664864691811</c:v>
                </c:pt>
                <c:pt idx="7">
                  <c:v>-0.65119958646918108</c:v>
                </c:pt>
                <c:pt idx="8">
                  <c:v>-1.1341326864691812</c:v>
                </c:pt>
                <c:pt idx="9">
                  <c:v>-1.6170657864691813</c:v>
                </c:pt>
                <c:pt idx="10">
                  <c:v>-2.0999988864691814</c:v>
                </c:pt>
                <c:pt idx="11">
                  <c:v>-2.1000000000000005</c:v>
                </c:pt>
                <c:pt idx="12">
                  <c:v>2.7293310000000002</c:v>
                </c:pt>
                <c:pt idx="13">
                  <c:v>2.7293321135308193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458-47EA-8A60-19D1F77CD0EA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458-47EA-8A60-19D1F77CD0EA}"/>
              </c:ext>
            </c:extLst>
          </c:dPt>
          <c:xVal>
            <c:numRef>
              <c:f>PlotQ!$AB$32:$AO$32</c:f>
              <c:numCache>
                <c:formatCode>General</c:formatCode>
                <c:ptCount val="14"/>
                <c:pt idx="0">
                  <c:v>17.456013538774624</c:v>
                </c:pt>
                <c:pt idx="1">
                  <c:v>17.405413338774622</c:v>
                </c:pt>
                <c:pt idx="2">
                  <c:v>17.354813138774624</c:v>
                </c:pt>
                <c:pt idx="3">
                  <c:v>17.304212938774626</c:v>
                </c:pt>
                <c:pt idx="4">
                  <c:v>17.253612738774628</c:v>
                </c:pt>
                <c:pt idx="5">
                  <c:v>17.20301253877463</c:v>
                </c:pt>
                <c:pt idx="6">
                  <c:v>17.152412338774631</c:v>
                </c:pt>
                <c:pt idx="7">
                  <c:v>17.101812138774633</c:v>
                </c:pt>
                <c:pt idx="8">
                  <c:v>17.051211938774635</c:v>
                </c:pt>
                <c:pt idx="9">
                  <c:v>17.000611738774637</c:v>
                </c:pt>
                <c:pt idx="10">
                  <c:v>16.950011538774639</c:v>
                </c:pt>
                <c:pt idx="11">
                  <c:v>16.950001000000015</c:v>
                </c:pt>
                <c:pt idx="12">
                  <c:v>17.456002999999999</c:v>
                </c:pt>
                <c:pt idx="13">
                  <c:v>17.456013538774624</c:v>
                </c:pt>
              </c:numCache>
            </c:numRef>
          </c:xVal>
          <c:yVal>
            <c:numRef>
              <c:f>PlotQ!$AR$32:$BE$32</c:f>
              <c:numCache>
                <c:formatCode>General</c:formatCode>
                <c:ptCount val="14"/>
                <c:pt idx="0">
                  <c:v>2.7448258993123926</c:v>
                </c:pt>
                <c:pt idx="1">
                  <c:v>2.2603431993123926</c:v>
                </c:pt>
                <c:pt idx="2">
                  <c:v>1.7758604993123925</c:v>
                </c:pt>
                <c:pt idx="3">
                  <c:v>1.2913777993123925</c:v>
                </c:pt>
                <c:pt idx="4">
                  <c:v>0.80689509931239256</c:v>
                </c:pt>
                <c:pt idx="5">
                  <c:v>0.32241239931239252</c:v>
                </c:pt>
                <c:pt idx="6">
                  <c:v>-0.16207030068760755</c:v>
                </c:pt>
                <c:pt idx="7">
                  <c:v>-0.64655300068760757</c:v>
                </c:pt>
                <c:pt idx="8">
                  <c:v>-1.1310357006876077</c:v>
                </c:pt>
                <c:pt idx="9">
                  <c:v>-1.6155184006876078</c:v>
                </c:pt>
                <c:pt idx="10">
                  <c:v>-2.1000011006876078</c:v>
                </c:pt>
                <c:pt idx="11">
                  <c:v>-2.1000000000000005</c:v>
                </c:pt>
                <c:pt idx="12">
                  <c:v>2.7448269999999999</c:v>
                </c:pt>
                <c:pt idx="13">
                  <c:v>2.7448258993123926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458-47EA-8A60-19D1F77CD0EA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458-47EA-8A60-19D1F77CD0EA}"/>
              </c:ext>
            </c:extLst>
          </c:dPt>
          <c:xVal>
            <c:numRef>
              <c:f>PlotQ!$AB$33:$AO$33</c:f>
              <c:numCache>
                <c:formatCode>General</c:formatCode>
                <c:ptCount val="14"/>
                <c:pt idx="0">
                  <c:v>16.434961972376851</c:v>
                </c:pt>
                <c:pt idx="1">
                  <c:v>16.351478672376849</c:v>
                </c:pt>
                <c:pt idx="2">
                  <c:v>16.267995372376848</c:v>
                </c:pt>
                <c:pt idx="3">
                  <c:v>16.184512072376847</c:v>
                </c:pt>
                <c:pt idx="4">
                  <c:v>16.101028772376846</c:v>
                </c:pt>
                <c:pt idx="5">
                  <c:v>16.017545472376845</c:v>
                </c:pt>
                <c:pt idx="6">
                  <c:v>15.934062172376848</c:v>
                </c:pt>
                <c:pt idx="7">
                  <c:v>15.850578872376849</c:v>
                </c:pt>
                <c:pt idx="8">
                  <c:v>15.767095572376849</c:v>
                </c:pt>
                <c:pt idx="9">
                  <c:v>15.68361227237685</c:v>
                </c:pt>
                <c:pt idx="10">
                  <c:v>15.600128972376851</c:v>
                </c:pt>
                <c:pt idx="11">
                  <c:v>15.600816999999997</c:v>
                </c:pt>
                <c:pt idx="12">
                  <c:v>16.435649999999999</c:v>
                </c:pt>
                <c:pt idx="13">
                  <c:v>16.434961972376851</c:v>
                </c:pt>
              </c:numCache>
            </c:numRef>
          </c:xVal>
          <c:yVal>
            <c:numRef>
              <c:f>PlotQ!$AR$33:$BE$33</c:f>
              <c:numCache>
                <c:formatCode>General</c:formatCode>
                <c:ptCount val="14"/>
                <c:pt idx="0">
                  <c:v>2.7296449599532737</c:v>
                </c:pt>
                <c:pt idx="1">
                  <c:v>2.5466954599532738</c:v>
                </c:pt>
                <c:pt idx="2">
                  <c:v>2.363745959953274</c:v>
                </c:pt>
                <c:pt idx="3">
                  <c:v>2.1807964599532741</c:v>
                </c:pt>
                <c:pt idx="4">
                  <c:v>1.9978469599532742</c:v>
                </c:pt>
                <c:pt idx="5">
                  <c:v>1.8148974599532741</c:v>
                </c:pt>
                <c:pt idx="6">
                  <c:v>1.631947959953274</c:v>
                </c:pt>
                <c:pt idx="7">
                  <c:v>1.4489984599532739</c:v>
                </c:pt>
                <c:pt idx="8">
                  <c:v>1.2660489599532738</c:v>
                </c:pt>
                <c:pt idx="9">
                  <c:v>1.0830994599532737</c:v>
                </c:pt>
                <c:pt idx="10">
                  <c:v>0.90014995995327352</c:v>
                </c:pt>
                <c:pt idx="11">
                  <c:v>0.89983599999999986</c:v>
                </c:pt>
                <c:pt idx="12">
                  <c:v>2.7293310000000002</c:v>
                </c:pt>
                <c:pt idx="13">
                  <c:v>2.7296449599532737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458-47EA-8A60-19D1F77CD0EA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458-47EA-8A60-19D1F77CD0EA}"/>
              </c:ext>
            </c:extLst>
          </c:dPt>
          <c:xVal>
            <c:numRef>
              <c:f>PlotQ!$AB$34:$AO$34</c:f>
              <c:numCache>
                <c:formatCode>General</c:formatCode>
                <c:ptCount val="14"/>
                <c:pt idx="0">
                  <c:v>17.455343901188265</c:v>
                </c:pt>
                <c:pt idx="1">
                  <c:v>17.541919201188264</c:v>
                </c:pt>
                <c:pt idx="2">
                  <c:v>17.628494501188264</c:v>
                </c:pt>
                <c:pt idx="3">
                  <c:v>17.715069801188264</c:v>
                </c:pt>
                <c:pt idx="4">
                  <c:v>17.801645101188264</c:v>
                </c:pt>
                <c:pt idx="5">
                  <c:v>17.888220401188264</c:v>
                </c:pt>
                <c:pt idx="6">
                  <c:v>17.974795701188263</c:v>
                </c:pt>
                <c:pt idx="7">
                  <c:v>18.061371001188263</c:v>
                </c:pt>
                <c:pt idx="8">
                  <c:v>18.147946301188263</c:v>
                </c:pt>
                <c:pt idx="9">
                  <c:v>18.234521601188263</c:v>
                </c:pt>
                <c:pt idx="10">
                  <c:v>18.321096901188263</c:v>
                </c:pt>
                <c:pt idx="11">
                  <c:v>18.321755999999997</c:v>
                </c:pt>
                <c:pt idx="12">
                  <c:v>17.456002999999999</c:v>
                </c:pt>
                <c:pt idx="13">
                  <c:v>17.455343901188265</c:v>
                </c:pt>
              </c:numCache>
            </c:numRef>
          </c:xVal>
          <c:yVal>
            <c:numRef>
              <c:f>PlotQ!$AR$34:$BE$34</c:f>
              <c:numCache>
                <c:formatCode>General</c:formatCode>
                <c:ptCount val="14"/>
                <c:pt idx="0">
                  <c:v>2.7445177211072807</c:v>
                </c:pt>
                <c:pt idx="1">
                  <c:v>2.5600186211072806</c:v>
                </c:pt>
                <c:pt idx="2">
                  <c:v>2.3755195211072806</c:v>
                </c:pt>
                <c:pt idx="3">
                  <c:v>2.1910204211072806</c:v>
                </c:pt>
                <c:pt idx="4">
                  <c:v>2.0065213211072805</c:v>
                </c:pt>
                <c:pt idx="5">
                  <c:v>1.8220222211072805</c:v>
                </c:pt>
                <c:pt idx="6">
                  <c:v>1.6375231211072805</c:v>
                </c:pt>
                <c:pt idx="7">
                  <c:v>1.4530240211072805</c:v>
                </c:pt>
                <c:pt idx="8">
                  <c:v>1.2685249211072804</c:v>
                </c:pt>
                <c:pt idx="9">
                  <c:v>1.0840258211072804</c:v>
                </c:pt>
                <c:pt idx="10">
                  <c:v>0.89952672110728049</c:v>
                </c:pt>
                <c:pt idx="11">
                  <c:v>0.89983599999999964</c:v>
                </c:pt>
                <c:pt idx="12">
                  <c:v>2.7448269999999999</c:v>
                </c:pt>
                <c:pt idx="13">
                  <c:v>2.7445177211072807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458-47EA-8A60-19D1F77CD0EA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458-47EA-8A60-19D1F77CD0EA}"/>
              </c:ext>
            </c:extLst>
          </c:dPt>
          <c:xVal>
            <c:numRef>
              <c:f>PlotQ!$AB$35:$AO$35</c:f>
              <c:numCache>
                <c:formatCode>General</c:formatCode>
                <c:ptCount val="14"/>
                <c:pt idx="0">
                  <c:v>16.435635434717891</c:v>
                </c:pt>
                <c:pt idx="1">
                  <c:v>16.537670734717892</c:v>
                </c:pt>
                <c:pt idx="2">
                  <c:v>16.639706034717893</c:v>
                </c:pt>
                <c:pt idx="3">
                  <c:v>16.741741334717894</c:v>
                </c:pt>
                <c:pt idx="4">
                  <c:v>16.843776634717894</c:v>
                </c:pt>
                <c:pt idx="5">
                  <c:v>16.945811934717895</c:v>
                </c:pt>
                <c:pt idx="6">
                  <c:v>17.047847234717896</c:v>
                </c:pt>
                <c:pt idx="7">
                  <c:v>17.149882534717896</c:v>
                </c:pt>
                <c:pt idx="8">
                  <c:v>17.251917834717897</c:v>
                </c:pt>
                <c:pt idx="9">
                  <c:v>17.353953134717898</c:v>
                </c:pt>
                <c:pt idx="10">
                  <c:v>17.455988434717899</c:v>
                </c:pt>
                <c:pt idx="11">
                  <c:v>17.456003000000006</c:v>
                </c:pt>
                <c:pt idx="12">
                  <c:v>16.435649999999999</c:v>
                </c:pt>
                <c:pt idx="13">
                  <c:v>16.435635434717891</c:v>
                </c:pt>
              </c:numCache>
            </c:numRef>
          </c:xVal>
          <c:yVal>
            <c:numRef>
              <c:f>PlotQ!$AR$35:$BE$35</c:f>
              <c:numCache>
                <c:formatCode>General</c:formatCode>
                <c:ptCount val="14"/>
                <c:pt idx="0">
                  <c:v>2.7302900687464451</c:v>
                </c:pt>
                <c:pt idx="1">
                  <c:v>2.7318396687464452</c:v>
                </c:pt>
                <c:pt idx="2">
                  <c:v>2.7333892687464454</c:v>
                </c:pt>
                <c:pt idx="3">
                  <c:v>2.7349388687464455</c:v>
                </c:pt>
                <c:pt idx="4">
                  <c:v>2.7364884687464457</c:v>
                </c:pt>
                <c:pt idx="5">
                  <c:v>2.7380380687464458</c:v>
                </c:pt>
                <c:pt idx="6">
                  <c:v>2.739587668746446</c:v>
                </c:pt>
                <c:pt idx="7">
                  <c:v>2.7411372687464461</c:v>
                </c:pt>
                <c:pt idx="8">
                  <c:v>2.7426868687464463</c:v>
                </c:pt>
                <c:pt idx="9">
                  <c:v>2.7442364687464464</c:v>
                </c:pt>
                <c:pt idx="10">
                  <c:v>2.7457860687464466</c:v>
                </c:pt>
                <c:pt idx="11">
                  <c:v>2.7448270000000017</c:v>
                </c:pt>
                <c:pt idx="12">
                  <c:v>2.7293310000000002</c:v>
                </c:pt>
                <c:pt idx="13">
                  <c:v>2.7302900687464451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458-47EA-8A60-19D1F77CD0EA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458-47EA-8A60-19D1F77CD0EA}"/>
              </c:ext>
            </c:extLst>
          </c:dPt>
          <c:xVal>
            <c:numRef>
              <c:f>PlotQ!$AB$36:$AO$36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PlotQ!$AR$36:$BE$36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458-47EA-8A60-19D1F77CD0EA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458-47EA-8A60-19D1F77CD0EA}"/>
              </c:ext>
            </c:extLst>
          </c:dPt>
          <c:xVal>
            <c:numRef>
              <c:f>PlotQ!$AB$37:$AO$37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PlotQ!$AR$37:$BE$37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458-47EA-8A60-19D1F77CD0EA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458-47EA-8A60-19D1F77CD0EA}"/>
              </c:ext>
            </c:extLst>
          </c:dPt>
          <c:xVal>
            <c:numRef>
              <c:f>PlotQ!$AB$38:$AO$38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PlotQ!$AR$38:$BE$38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458-47EA-8A60-19D1F77CD0EA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458-47EA-8A60-19D1F77CD0EA}"/>
              </c:ext>
            </c:extLst>
          </c:dPt>
          <c:xVal>
            <c:numRef>
              <c:f>PlotQ!$AB$39:$AO$39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PlotQ!$AR$39:$BE$39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458-47EA-8A60-19D1F77CD0EA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458-47EA-8A60-19D1F77CD0EA}"/>
              </c:ext>
            </c:extLst>
          </c:dPt>
          <c:xVal>
            <c:numRef>
              <c:f>PlotQ!$AB$40:$AO$40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PlotQ!$AR$40:$BE$40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458-47EA-8A60-19D1F77CD0EA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458-47EA-8A60-19D1F77CD0EA}"/>
              </c:ext>
            </c:extLst>
          </c:dPt>
          <c:xVal>
            <c:numRef>
              <c:f>PlotQ!$AB$41:$AO$41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PlotQ!$AR$41:$BE$41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458-47EA-8A60-19D1F77CD0EA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458-47EA-8A60-19D1F77CD0EA}"/>
              </c:ext>
            </c:extLst>
          </c:dPt>
          <c:xVal>
            <c:numRef>
              <c:f>PlotQ!$AB$42:$AO$42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PlotQ!$AR$42:$BE$42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458-47EA-8A60-19D1F77C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037824"/>
        <c:axId val="764035472"/>
      </c:scatterChart>
      <c:valAx>
        <c:axId val="76403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64035472"/>
        <c:crosses val="max"/>
        <c:crossBetween val="midCat"/>
        <c:majorUnit val="1.0000000000000005E-2"/>
      </c:valAx>
      <c:valAx>
        <c:axId val="76403547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764037824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PlotM!$BH$6:$BH$9</c:f>
              <c:numCache>
                <c:formatCode>General</c:formatCode>
                <c:ptCount val="4"/>
                <c:pt idx="0">
                  <c:v>-7.3709337785974167</c:v>
                </c:pt>
                <c:pt idx="1">
                  <c:v>22.67093377859743</c:v>
                </c:pt>
                <c:pt idx="2">
                  <c:v>22.67093377859743</c:v>
                </c:pt>
                <c:pt idx="3">
                  <c:v>-7.3709337785974167</c:v>
                </c:pt>
              </c:numCache>
            </c:numRef>
          </c:xVal>
          <c:yVal>
            <c:numRef>
              <c:f>PlotM!$BI$6:$BI$9</c:f>
              <c:numCache>
                <c:formatCode>General</c:formatCode>
                <c:ptCount val="4"/>
                <c:pt idx="0">
                  <c:v>15.920933778597426</c:v>
                </c:pt>
                <c:pt idx="1">
                  <c:v>15.920933778597426</c:v>
                </c:pt>
                <c:pt idx="2">
                  <c:v>-14.120933778597422</c:v>
                </c:pt>
                <c:pt idx="3">
                  <c:v>-14.120933778597422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PlotM!$AB$3:$AO$3</c:f>
              <c:numCache>
                <c:formatCode>General</c:formatCode>
                <c:ptCount val="14"/>
                <c:pt idx="0">
                  <c:v>-3.75</c:v>
                </c:pt>
                <c:pt idx="1">
                  <c:v>-3.4649999999999999</c:v>
                </c:pt>
                <c:pt idx="2">
                  <c:v>-3.1799999999999997</c:v>
                </c:pt>
                <c:pt idx="3">
                  <c:v>-2.8949999999999996</c:v>
                </c:pt>
                <c:pt idx="4">
                  <c:v>-2.6099999999999994</c:v>
                </c:pt>
                <c:pt idx="5">
                  <c:v>-2.3249999999999993</c:v>
                </c:pt>
                <c:pt idx="6">
                  <c:v>-2.0399999999999991</c:v>
                </c:pt>
                <c:pt idx="7">
                  <c:v>-1.754999999999999</c:v>
                </c:pt>
                <c:pt idx="8">
                  <c:v>-1.4699999999999989</c:v>
                </c:pt>
                <c:pt idx="9">
                  <c:v>-1.1849999999999987</c:v>
                </c:pt>
                <c:pt idx="10">
                  <c:v>-0.89999999999999869</c:v>
                </c:pt>
                <c:pt idx="11">
                  <c:v>-0.89999999999999869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PlotM!$AR$3:$BE$3</c:f>
              <c:numCache>
                <c:formatCode>General</c:formatCode>
                <c:ptCount val="14"/>
                <c:pt idx="0">
                  <c:v>0.77721786707580132</c:v>
                </c:pt>
                <c:pt idx="1">
                  <c:v>0.80177429366064112</c:v>
                </c:pt>
                <c:pt idx="2">
                  <c:v>0.82633072024548082</c:v>
                </c:pt>
                <c:pt idx="3">
                  <c:v>0.85088714683032052</c:v>
                </c:pt>
                <c:pt idx="4">
                  <c:v>0.87544357341516033</c:v>
                </c:pt>
                <c:pt idx="5">
                  <c:v>0.9</c:v>
                </c:pt>
                <c:pt idx="6">
                  <c:v>0.92455642658483972</c:v>
                </c:pt>
                <c:pt idx="7">
                  <c:v>0.94911285316967953</c:v>
                </c:pt>
                <c:pt idx="8">
                  <c:v>0.97366927975451922</c:v>
                </c:pt>
                <c:pt idx="9">
                  <c:v>0.99822570633935892</c:v>
                </c:pt>
                <c:pt idx="10">
                  <c:v>1.0227821329241986</c:v>
                </c:pt>
                <c:pt idx="11">
                  <c:v>0.9</c:v>
                </c:pt>
                <c:pt idx="12">
                  <c:v>0.9</c:v>
                </c:pt>
                <c:pt idx="13">
                  <c:v>0.77721786707580132</c:v>
                </c:pt>
              </c:numCache>
            </c:numRef>
          </c:yVal>
          <c:smooth val="0"/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PlotM!$AB$4:$AO$4</c:f>
              <c:numCache>
                <c:formatCode>General</c:formatCode>
                <c:ptCount val="14"/>
                <c:pt idx="0">
                  <c:v>-0.9</c:v>
                </c:pt>
                <c:pt idx="1">
                  <c:v>-0.55491697402976836</c:v>
                </c:pt>
                <c:pt idx="2">
                  <c:v>-0.20983394805953673</c:v>
                </c:pt>
                <c:pt idx="3">
                  <c:v>0.1352490779106949</c:v>
                </c:pt>
                <c:pt idx="4">
                  <c:v>0.48033210388092651</c:v>
                </c:pt>
                <c:pt idx="5">
                  <c:v>0.82541512985115817</c:v>
                </c:pt>
                <c:pt idx="6">
                  <c:v>1.1704981558213896</c:v>
                </c:pt>
                <c:pt idx="7">
                  <c:v>1.5155811817916212</c:v>
                </c:pt>
                <c:pt idx="8">
                  <c:v>1.8606642077618529</c:v>
                </c:pt>
                <c:pt idx="9">
                  <c:v>2.2057472337320845</c:v>
                </c:pt>
                <c:pt idx="10">
                  <c:v>2.550830259702316</c:v>
                </c:pt>
                <c:pt idx="11">
                  <c:v>2.5508169999999999</c:v>
                </c:pt>
                <c:pt idx="12">
                  <c:v>-0.9</c:v>
                </c:pt>
                <c:pt idx="13">
                  <c:v>-0.9</c:v>
                </c:pt>
              </c:numCache>
            </c:numRef>
          </c:xVal>
          <c:yVal>
            <c:numRef>
              <c:f>PlotM!$AR$4:$BE$4</c:f>
              <c:numCache>
                <c:formatCode>General</c:formatCode>
                <c:ptCount val="14"/>
                <c:pt idx="0">
                  <c:v>0.9</c:v>
                </c:pt>
                <c:pt idx="1">
                  <c:v>0.92788409156581975</c:v>
                </c:pt>
                <c:pt idx="2">
                  <c:v>0.95576818313163936</c:v>
                </c:pt>
                <c:pt idx="3">
                  <c:v>0.98365227469745908</c:v>
                </c:pt>
                <c:pt idx="4">
                  <c:v>1.0115363662632788</c:v>
                </c:pt>
                <c:pt idx="5">
                  <c:v>1.0394204578290984</c:v>
                </c:pt>
                <c:pt idx="6">
                  <c:v>1.067304549394918</c:v>
                </c:pt>
                <c:pt idx="7">
                  <c:v>1.0951886409607376</c:v>
                </c:pt>
                <c:pt idx="8">
                  <c:v>1.1230727325265575</c:v>
                </c:pt>
                <c:pt idx="9">
                  <c:v>1.1509568240923771</c:v>
                </c:pt>
                <c:pt idx="10">
                  <c:v>1.1788409156581965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PlotM!$AB$5:$AO$5</c:f>
              <c:numCache>
                <c:formatCode>General</c:formatCode>
                <c:ptCount val="14"/>
                <c:pt idx="0">
                  <c:v>-0.88600217592779928</c:v>
                </c:pt>
                <c:pt idx="1">
                  <c:v>-0.40880174074223941</c:v>
                </c:pt>
                <c:pt idx="2">
                  <c:v>6.8398694443320474E-2</c:v>
                </c:pt>
                <c:pt idx="3">
                  <c:v>0.54559912962888035</c:v>
                </c:pt>
                <c:pt idx="4">
                  <c:v>1.0227995648144401</c:v>
                </c:pt>
                <c:pt idx="5">
                  <c:v>1.5</c:v>
                </c:pt>
                <c:pt idx="6">
                  <c:v>1.9772004351855599</c:v>
                </c:pt>
                <c:pt idx="7">
                  <c:v>2.4544008703711198</c:v>
                </c:pt>
                <c:pt idx="8">
                  <c:v>2.9316013055566796</c:v>
                </c:pt>
                <c:pt idx="9">
                  <c:v>3.4088017407422395</c:v>
                </c:pt>
                <c:pt idx="10">
                  <c:v>3.8860021759277994</c:v>
                </c:pt>
                <c:pt idx="11">
                  <c:v>3.9</c:v>
                </c:pt>
                <c:pt idx="12">
                  <c:v>-0.9</c:v>
                </c:pt>
                <c:pt idx="13">
                  <c:v>-0.88600217592779928</c:v>
                </c:pt>
              </c:numCache>
            </c:numRef>
          </c:xVal>
          <c:yVal>
            <c:numRef>
              <c:f>PlotM!$AR$5:$BE$5</c:f>
              <c:numCache>
                <c:formatCode>General</c:formatCode>
                <c:ptCount val="14"/>
                <c:pt idx="0">
                  <c:v>0.92239651851552118</c:v>
                </c:pt>
                <c:pt idx="1">
                  <c:v>0.6179172148124169</c:v>
                </c:pt>
                <c:pt idx="2">
                  <c:v>0.31343791110931263</c:v>
                </c:pt>
                <c:pt idx="3">
                  <c:v>8.9586074062083364E-3</c:v>
                </c:pt>
                <c:pt idx="4">
                  <c:v>-0.29552069629689592</c:v>
                </c:pt>
                <c:pt idx="5">
                  <c:v>-0.6000000000000002</c:v>
                </c:pt>
                <c:pt idx="6">
                  <c:v>-0.90447930370310448</c:v>
                </c:pt>
                <c:pt idx="7">
                  <c:v>-1.2089586074062086</c:v>
                </c:pt>
                <c:pt idx="8">
                  <c:v>-1.5134379111093128</c:v>
                </c:pt>
                <c:pt idx="9">
                  <c:v>-1.8179172148124172</c:v>
                </c:pt>
                <c:pt idx="10">
                  <c:v>-2.1223965185155218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0.92239651851552118</c:v>
                </c:pt>
              </c:numCache>
            </c:numRef>
          </c:yVal>
          <c:smooth val="0"/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PlotM!$AB$6:$AO$6</c:f>
              <c:numCache>
                <c:formatCode>General</c:formatCode>
                <c:ptCount val="14"/>
                <c:pt idx="0">
                  <c:v>7.8355052628800195</c:v>
                </c:pt>
                <c:pt idx="1">
                  <c:v>7.5284042103040143</c:v>
                </c:pt>
                <c:pt idx="2">
                  <c:v>7.22130315772801</c:v>
                </c:pt>
                <c:pt idx="3">
                  <c:v>6.9142021051520057</c:v>
                </c:pt>
                <c:pt idx="4">
                  <c:v>6.6071010525760014</c:v>
                </c:pt>
                <c:pt idx="5">
                  <c:v>6.2999999999999972</c:v>
                </c:pt>
                <c:pt idx="6">
                  <c:v>5.9928989474239929</c:v>
                </c:pt>
                <c:pt idx="7">
                  <c:v>5.6857978948479886</c:v>
                </c:pt>
                <c:pt idx="8">
                  <c:v>5.3786968422719834</c:v>
                </c:pt>
                <c:pt idx="9">
                  <c:v>5.0715957896959791</c:v>
                </c:pt>
                <c:pt idx="10">
                  <c:v>4.7644947371199748</c:v>
                </c:pt>
                <c:pt idx="11">
                  <c:v>3.8999999999999955</c:v>
                </c:pt>
                <c:pt idx="12">
                  <c:v>8.6999999999999993</c:v>
                </c:pt>
                <c:pt idx="13">
                  <c:v>7.8355052628800195</c:v>
                </c:pt>
              </c:numCache>
            </c:numRef>
          </c:xVal>
          <c:yVal>
            <c:numRef>
              <c:f>PlotM!$AR$6:$BE$6</c:f>
              <c:numCache>
                <c:formatCode>General</c:formatCode>
                <c:ptCount val="14"/>
                <c:pt idx="0">
                  <c:v>2.2831915793919682</c:v>
                </c:pt>
                <c:pt idx="1">
                  <c:v>1.7065532635135745</c:v>
                </c:pt>
                <c:pt idx="2">
                  <c:v>1.1299149476351806</c:v>
                </c:pt>
                <c:pt idx="3">
                  <c:v>0.55327663175678699</c:v>
                </c:pt>
                <c:pt idx="4">
                  <c:v>-2.3361684121606607E-2</c:v>
                </c:pt>
                <c:pt idx="5">
                  <c:v>-0.6000000000000002</c:v>
                </c:pt>
                <c:pt idx="6">
                  <c:v>-1.1766383158783937</c:v>
                </c:pt>
                <c:pt idx="7">
                  <c:v>-1.7532766317567874</c:v>
                </c:pt>
                <c:pt idx="8">
                  <c:v>-2.3299149476351806</c:v>
                </c:pt>
                <c:pt idx="9">
                  <c:v>-2.9065532635135742</c:v>
                </c:pt>
                <c:pt idx="10">
                  <c:v>-3.4831915793919679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2.2831915793919682</c:v>
                </c:pt>
              </c:numCache>
            </c:numRef>
          </c:yVal>
          <c:smooth val="0"/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PlotM!$AB$7:$AO$7</c:f>
              <c:numCache>
                <c:formatCode>General</c:formatCode>
                <c:ptCount val="14"/>
                <c:pt idx="0">
                  <c:v>3.8999282538956868</c:v>
                </c:pt>
                <c:pt idx="1">
                  <c:v>4.037093137351377</c:v>
                </c:pt>
                <c:pt idx="2">
                  <c:v>4.1742580208070672</c:v>
                </c:pt>
                <c:pt idx="3">
                  <c:v>4.3114229042627583</c:v>
                </c:pt>
                <c:pt idx="4">
                  <c:v>4.4485877877184485</c:v>
                </c:pt>
                <c:pt idx="5">
                  <c:v>4.5857526711741388</c:v>
                </c:pt>
                <c:pt idx="6">
                  <c:v>4.722917554629829</c:v>
                </c:pt>
                <c:pt idx="7">
                  <c:v>4.8600824380855192</c:v>
                </c:pt>
                <c:pt idx="8">
                  <c:v>4.9972473215412094</c:v>
                </c:pt>
                <c:pt idx="9">
                  <c:v>5.1344122049968997</c:v>
                </c:pt>
                <c:pt idx="10">
                  <c:v>5.2715770884525899</c:v>
                </c:pt>
                <c:pt idx="11">
                  <c:v>5.2717559999999999</c:v>
                </c:pt>
                <c:pt idx="12">
                  <c:v>3.9</c:v>
                </c:pt>
                <c:pt idx="13">
                  <c:v>3.8999282538956868</c:v>
                </c:pt>
              </c:numCache>
            </c:numRef>
          </c:xVal>
          <c:yVal>
            <c:numRef>
              <c:f>PlotM!$AR$7:$BE$7</c:f>
              <c:numCache>
                <c:formatCode>General</c:formatCode>
                <c:ptCount val="14"/>
                <c:pt idx="0">
                  <c:v>0.29988933494848324</c:v>
                </c:pt>
                <c:pt idx="1">
                  <c:v>0.21023583765572706</c:v>
                </c:pt>
                <c:pt idx="2">
                  <c:v>0.12058234036297144</c:v>
                </c:pt>
                <c:pt idx="3">
                  <c:v>3.0928843070215706E-2</c:v>
                </c:pt>
                <c:pt idx="4">
                  <c:v>-5.8724654222540029E-2</c:v>
                </c:pt>
                <c:pt idx="5">
                  <c:v>-0.14837815151529588</c:v>
                </c:pt>
                <c:pt idx="6">
                  <c:v>-0.2380316488080515</c:v>
                </c:pt>
                <c:pt idx="7">
                  <c:v>-0.32768514610080712</c:v>
                </c:pt>
                <c:pt idx="8">
                  <c:v>-0.41733864339356297</c:v>
                </c:pt>
                <c:pt idx="9">
                  <c:v>-0.50699214068631904</c:v>
                </c:pt>
                <c:pt idx="10">
                  <c:v>-0.59664563797907444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0.29988933494848324</c:v>
                </c:pt>
              </c:numCache>
            </c:numRef>
          </c:yVal>
          <c:smooth val="0"/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PlotM!$AB$8:$AO$8</c:f>
              <c:numCache>
                <c:formatCode>General</c:formatCode>
                <c:ptCount val="14"/>
                <c:pt idx="0">
                  <c:v>3.3</c:v>
                </c:pt>
                <c:pt idx="1">
                  <c:v>3.2759122847696274</c:v>
                </c:pt>
                <c:pt idx="2">
                  <c:v>3.2518245695392549</c:v>
                </c:pt>
                <c:pt idx="3">
                  <c:v>3.2277368543088825</c:v>
                </c:pt>
                <c:pt idx="4">
                  <c:v>3.20364913907851</c:v>
                </c:pt>
                <c:pt idx="5">
                  <c:v>3.1795614238481371</c:v>
                </c:pt>
                <c:pt idx="6">
                  <c:v>3.1554737086177647</c:v>
                </c:pt>
                <c:pt idx="7">
                  <c:v>3.1313859933873922</c:v>
                </c:pt>
                <c:pt idx="8">
                  <c:v>3.1072982781570198</c:v>
                </c:pt>
                <c:pt idx="9">
                  <c:v>3.0832105629266469</c:v>
                </c:pt>
                <c:pt idx="10">
                  <c:v>3.0591228476962748</c:v>
                </c:pt>
                <c:pt idx="11">
                  <c:v>3.3856499999999992</c:v>
                </c:pt>
                <c:pt idx="12">
                  <c:v>3.3</c:v>
                </c:pt>
                <c:pt idx="13">
                  <c:v>3.3</c:v>
                </c:pt>
              </c:numCache>
            </c:numRef>
          </c:xVal>
          <c:yVal>
            <c:numRef>
              <c:f>PlotM!$AR$8:$BE$8</c:f>
              <c:numCache>
                <c:formatCode>General</c:formatCode>
                <c:ptCount val="14"/>
                <c:pt idx="0">
                  <c:v>3.6</c:v>
                </c:pt>
                <c:pt idx="1">
                  <c:v>3.5097209665032505</c:v>
                </c:pt>
                <c:pt idx="2">
                  <c:v>3.4194419330065013</c:v>
                </c:pt>
                <c:pt idx="3">
                  <c:v>3.3291628995097517</c:v>
                </c:pt>
                <c:pt idx="4">
                  <c:v>3.2388838660130022</c:v>
                </c:pt>
                <c:pt idx="5">
                  <c:v>3.1486048325162526</c:v>
                </c:pt>
                <c:pt idx="6">
                  <c:v>3.0583257990195034</c:v>
                </c:pt>
                <c:pt idx="7">
                  <c:v>2.9680467655227538</c:v>
                </c:pt>
                <c:pt idx="8">
                  <c:v>2.8777677320260042</c:v>
                </c:pt>
                <c:pt idx="9">
                  <c:v>2.7874886985292551</c:v>
                </c:pt>
                <c:pt idx="10">
                  <c:v>2.6972096650325055</c:v>
                </c:pt>
                <c:pt idx="11">
                  <c:v>2.7293310000000006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PlotM!$AB$9:$AO$9</c:f>
              <c:numCache>
                <c:formatCode>General</c:formatCode>
                <c:ptCount val="14"/>
                <c:pt idx="0">
                  <c:v>4.5</c:v>
                </c:pt>
                <c:pt idx="1">
                  <c:v>4.4573101338869039</c:v>
                </c:pt>
                <c:pt idx="2">
                  <c:v>4.4146202677738078</c:v>
                </c:pt>
                <c:pt idx="3">
                  <c:v>4.3719304016607117</c:v>
                </c:pt>
                <c:pt idx="4">
                  <c:v>4.3292405355476156</c:v>
                </c:pt>
                <c:pt idx="5">
                  <c:v>4.2865506694345195</c:v>
                </c:pt>
                <c:pt idx="6">
                  <c:v>4.2438608033214233</c:v>
                </c:pt>
                <c:pt idx="7">
                  <c:v>4.2011709372083264</c:v>
                </c:pt>
                <c:pt idx="8">
                  <c:v>4.1584810710952302</c:v>
                </c:pt>
                <c:pt idx="9">
                  <c:v>4.1157912049821341</c:v>
                </c:pt>
                <c:pt idx="10">
                  <c:v>4.073101338869038</c:v>
                </c:pt>
                <c:pt idx="11">
                  <c:v>4.4060029999999966</c:v>
                </c:pt>
                <c:pt idx="12">
                  <c:v>4.5</c:v>
                </c:pt>
                <c:pt idx="13">
                  <c:v>4.5</c:v>
                </c:pt>
              </c:numCache>
            </c:numRef>
          </c:xVal>
          <c:yVal>
            <c:numRef>
              <c:f>PlotM!$AR$9:$BE$9</c:f>
              <c:numCache>
                <c:formatCode>General</c:formatCode>
                <c:ptCount val="14"/>
                <c:pt idx="0">
                  <c:v>3.6</c:v>
                </c:pt>
                <c:pt idx="1">
                  <c:v>3.5181418142893111</c:v>
                </c:pt>
                <c:pt idx="2">
                  <c:v>3.4362836285786216</c:v>
                </c:pt>
                <c:pt idx="3">
                  <c:v>3.3544254428679317</c:v>
                </c:pt>
                <c:pt idx="4">
                  <c:v>3.2725672571572422</c:v>
                </c:pt>
                <c:pt idx="5">
                  <c:v>3.1907090714465527</c:v>
                </c:pt>
                <c:pt idx="6">
                  <c:v>3.1088508857358632</c:v>
                </c:pt>
                <c:pt idx="7">
                  <c:v>3.0269927000251733</c:v>
                </c:pt>
                <c:pt idx="8">
                  <c:v>2.9451345143144838</c:v>
                </c:pt>
                <c:pt idx="9">
                  <c:v>2.8632763286037943</c:v>
                </c:pt>
                <c:pt idx="10">
                  <c:v>2.7814181428931049</c:v>
                </c:pt>
                <c:pt idx="11">
                  <c:v>2.7448269999999981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PlotM!$AB$10:$AO$10</c:f>
              <c:numCache>
                <c:formatCode>General</c:formatCode>
                <c:ptCount val="14"/>
                <c:pt idx="0">
                  <c:v>2.5507830855451914</c:v>
                </c:pt>
                <c:pt idx="1">
                  <c:v>2.6857120716385476</c:v>
                </c:pt>
                <c:pt idx="2">
                  <c:v>2.8206410577319039</c:v>
                </c:pt>
                <c:pt idx="3">
                  <c:v>2.9555700438252597</c:v>
                </c:pt>
                <c:pt idx="4">
                  <c:v>3.0904990299186159</c:v>
                </c:pt>
                <c:pt idx="5">
                  <c:v>3.2254280160119717</c:v>
                </c:pt>
                <c:pt idx="6">
                  <c:v>3.360357002105328</c:v>
                </c:pt>
                <c:pt idx="7">
                  <c:v>3.4952859881986842</c:v>
                </c:pt>
                <c:pt idx="8">
                  <c:v>3.63021497429204</c:v>
                </c:pt>
                <c:pt idx="9">
                  <c:v>3.7651439603853962</c:v>
                </c:pt>
                <c:pt idx="10">
                  <c:v>3.900072946478752</c:v>
                </c:pt>
                <c:pt idx="11">
                  <c:v>3.8999999999999981</c:v>
                </c:pt>
                <c:pt idx="12">
                  <c:v>2.5508169999999999</c:v>
                </c:pt>
                <c:pt idx="13">
                  <c:v>2.5507830855451914</c:v>
                </c:pt>
              </c:numCache>
            </c:numRef>
          </c:xVal>
          <c:yVal>
            <c:numRef>
              <c:f>PlotM!$AR$10:$BE$10</c:f>
              <c:numCache>
                <c:formatCode>General</c:formatCode>
                <c:ptCount val="14"/>
                <c:pt idx="0">
                  <c:v>1.1788409139120457</c:v>
                </c:pt>
                <c:pt idx="1">
                  <c:v>1.0909457560301605</c:v>
                </c:pt>
                <c:pt idx="2">
                  <c:v>1.0030505981482754</c:v>
                </c:pt>
                <c:pt idx="3">
                  <c:v>0.91515544026639006</c:v>
                </c:pt>
                <c:pt idx="4">
                  <c:v>0.827260282384505</c:v>
                </c:pt>
                <c:pt idx="5">
                  <c:v>0.73936512450261982</c:v>
                </c:pt>
                <c:pt idx="6">
                  <c:v>0.65146996662073486</c:v>
                </c:pt>
                <c:pt idx="7">
                  <c:v>0.56357480873884969</c:v>
                </c:pt>
                <c:pt idx="8">
                  <c:v>0.47567965085696434</c:v>
                </c:pt>
                <c:pt idx="9">
                  <c:v>0.38778449297507955</c:v>
                </c:pt>
                <c:pt idx="10">
                  <c:v>0.29988933509319404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1.1788409139120457</c:v>
                </c:pt>
              </c:numCache>
            </c:numRef>
          </c:yVal>
          <c:smooth val="0"/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PlotM!$AB$11:$AO$11</c:f>
              <c:numCache>
                <c:formatCode>General</c:formatCode>
                <c:ptCount val="14"/>
                <c:pt idx="0">
                  <c:v>5.2718275885421519</c:v>
                </c:pt>
                <c:pt idx="1">
                  <c:v>5.6146448296879363</c:v>
                </c:pt>
                <c:pt idx="2">
                  <c:v>5.9574620708337207</c:v>
                </c:pt>
                <c:pt idx="3">
                  <c:v>6.3002793119795051</c:v>
                </c:pt>
                <c:pt idx="4">
                  <c:v>6.6430965531252895</c:v>
                </c:pt>
                <c:pt idx="5">
                  <c:v>6.9859137942710738</c:v>
                </c:pt>
                <c:pt idx="6">
                  <c:v>7.3287310354168582</c:v>
                </c:pt>
                <c:pt idx="7">
                  <c:v>7.6715482765626426</c:v>
                </c:pt>
                <c:pt idx="8">
                  <c:v>8.014365517708427</c:v>
                </c:pt>
                <c:pt idx="9">
                  <c:v>8.3571827588542114</c:v>
                </c:pt>
                <c:pt idx="10">
                  <c:v>8.6999999999999957</c:v>
                </c:pt>
                <c:pt idx="11">
                  <c:v>8.6999999999999957</c:v>
                </c:pt>
                <c:pt idx="12">
                  <c:v>5.2717559999999999</c:v>
                </c:pt>
                <c:pt idx="13">
                  <c:v>5.2718275885421519</c:v>
                </c:pt>
              </c:numCache>
            </c:numRef>
          </c:xVal>
          <c:yVal>
            <c:numRef>
              <c:f>PlotM!$AR$11:$BE$11</c:f>
              <c:numCache>
                <c:formatCode>General</c:formatCode>
                <c:ptCount val="14"/>
                <c:pt idx="0">
                  <c:v>-0.59664564696162248</c:v>
                </c:pt>
                <c:pt idx="1">
                  <c:v>-0.44698108226545974</c:v>
                </c:pt>
                <c:pt idx="2">
                  <c:v>-0.29731651756929722</c:v>
                </c:pt>
                <c:pt idx="3">
                  <c:v>-0.14765195287313493</c:v>
                </c:pt>
                <c:pt idx="4">
                  <c:v>2.0126118230272549E-3</c:v>
                </c:pt>
                <c:pt idx="5">
                  <c:v>0.15167717651918955</c:v>
                </c:pt>
                <c:pt idx="6">
                  <c:v>0.30134174121535207</c:v>
                </c:pt>
                <c:pt idx="7">
                  <c:v>0.4510063059115143</c:v>
                </c:pt>
                <c:pt idx="8">
                  <c:v>0.60067087060767632</c:v>
                </c:pt>
                <c:pt idx="9">
                  <c:v>0.75033543530383895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-0.59664564696162248</c:v>
                </c:pt>
              </c:numCache>
            </c:numRef>
          </c:yVal>
          <c:smooth val="0"/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PlotM!$AB$12:$AO$12</c:f>
              <c:numCache>
                <c:formatCode>General</c:formatCode>
                <c:ptCount val="14"/>
                <c:pt idx="0">
                  <c:v>3.3646875749435017</c:v>
                </c:pt>
                <c:pt idx="1">
                  <c:v>3.4181779637291014</c:v>
                </c:pt>
                <c:pt idx="2">
                  <c:v>3.4716683525147007</c:v>
                </c:pt>
                <c:pt idx="3">
                  <c:v>3.5251587413003</c:v>
                </c:pt>
                <c:pt idx="4">
                  <c:v>3.5786491300858994</c:v>
                </c:pt>
                <c:pt idx="5">
                  <c:v>3.6321395188714991</c:v>
                </c:pt>
                <c:pt idx="6">
                  <c:v>3.6856299076570984</c:v>
                </c:pt>
                <c:pt idx="7">
                  <c:v>3.7391202964426977</c:v>
                </c:pt>
                <c:pt idx="8">
                  <c:v>3.7926106852282975</c:v>
                </c:pt>
                <c:pt idx="9">
                  <c:v>3.8461010740138968</c:v>
                </c:pt>
                <c:pt idx="10">
                  <c:v>3.8995914627994961</c:v>
                </c:pt>
                <c:pt idx="11">
                  <c:v>3.9000000000000012</c:v>
                </c:pt>
                <c:pt idx="12">
                  <c:v>3.38565</c:v>
                </c:pt>
                <c:pt idx="13">
                  <c:v>3.3646875749435017</c:v>
                </c:pt>
              </c:numCache>
            </c:numRef>
          </c:xVal>
          <c:yVal>
            <c:numRef>
              <c:f>PlotM!$AR$12:$BE$12</c:f>
              <c:numCache>
                <c:formatCode>General</c:formatCode>
                <c:ptCount val="14"/>
                <c:pt idx="0">
                  <c:v>2.7270983877959889</c:v>
                </c:pt>
                <c:pt idx="1">
                  <c:v>2.2443841978731558</c:v>
                </c:pt>
                <c:pt idx="2">
                  <c:v>1.761670007950322</c:v>
                </c:pt>
                <c:pt idx="3">
                  <c:v>1.2789558180274885</c:v>
                </c:pt>
                <c:pt idx="4">
                  <c:v>0.79624162810465504</c:v>
                </c:pt>
                <c:pt idx="5">
                  <c:v>0.3135274381818216</c:v>
                </c:pt>
                <c:pt idx="6">
                  <c:v>-0.16918675174101189</c:v>
                </c:pt>
                <c:pt idx="7">
                  <c:v>-0.65190094166384527</c:v>
                </c:pt>
                <c:pt idx="8">
                  <c:v>-1.1346151315866788</c:v>
                </c:pt>
                <c:pt idx="9">
                  <c:v>-1.6173293215095124</c:v>
                </c:pt>
                <c:pt idx="10">
                  <c:v>-2.1000435114323457</c:v>
                </c:pt>
                <c:pt idx="11">
                  <c:v>-2.1000000000000005</c:v>
                </c:pt>
                <c:pt idx="12">
                  <c:v>2.7293310000000002</c:v>
                </c:pt>
                <c:pt idx="13">
                  <c:v>2.7270983877959889</c:v>
                </c:pt>
              </c:numCache>
            </c:numRef>
          </c:yVal>
          <c:smooth val="0"/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PlotM!$AB$13:$AO$13</c:f>
              <c:numCache>
                <c:formatCode>General</c:formatCode>
                <c:ptCount val="14"/>
                <c:pt idx="0">
                  <c:v>4.3834665629659408</c:v>
                </c:pt>
                <c:pt idx="1">
                  <c:v>4.3351607691842062</c:v>
                </c:pt>
                <c:pt idx="2">
                  <c:v>4.2868549754024707</c:v>
                </c:pt>
                <c:pt idx="3">
                  <c:v>4.2385491816207361</c:v>
                </c:pt>
                <c:pt idx="4">
                  <c:v>4.1902433878390015</c:v>
                </c:pt>
                <c:pt idx="5">
                  <c:v>4.1419375940572669</c:v>
                </c:pt>
                <c:pt idx="6">
                  <c:v>4.0936318002755314</c:v>
                </c:pt>
                <c:pt idx="7">
                  <c:v>4.0453260064937968</c:v>
                </c:pt>
                <c:pt idx="8">
                  <c:v>3.9970202127120618</c:v>
                </c:pt>
                <c:pt idx="9">
                  <c:v>3.9487144189303267</c:v>
                </c:pt>
                <c:pt idx="10">
                  <c:v>3.9004086251485921</c:v>
                </c:pt>
                <c:pt idx="11">
                  <c:v>3.8999999999999986</c:v>
                </c:pt>
                <c:pt idx="12">
                  <c:v>4.4060030000000001</c:v>
                </c:pt>
                <c:pt idx="13">
                  <c:v>4.3834665629659408</c:v>
                </c:pt>
              </c:numCache>
            </c:numRef>
          </c:xVal>
          <c:yVal>
            <c:numRef>
              <c:f>PlotM!$AR$13:$BE$13</c:f>
              <c:numCache>
                <c:formatCode>General</c:formatCode>
                <c:ptCount val="14"/>
                <c:pt idx="0">
                  <c:v>2.7471807485958828</c:v>
                </c:pt>
                <c:pt idx="1">
                  <c:v>2.2624584059770729</c:v>
                </c:pt>
                <c:pt idx="2">
                  <c:v>1.7777360633582628</c:v>
                </c:pt>
                <c:pt idx="3">
                  <c:v>1.293013720739453</c:v>
                </c:pt>
                <c:pt idx="4">
                  <c:v>0.808291378120643</c:v>
                </c:pt>
                <c:pt idx="5">
                  <c:v>0.32356903550183302</c:v>
                </c:pt>
                <c:pt idx="6">
                  <c:v>-0.16115330711697692</c:v>
                </c:pt>
                <c:pt idx="7">
                  <c:v>-0.64587564973578682</c:v>
                </c:pt>
                <c:pt idx="8">
                  <c:v>-1.1305979923545968</c:v>
                </c:pt>
                <c:pt idx="9">
                  <c:v>-1.6153203349734067</c:v>
                </c:pt>
                <c:pt idx="10">
                  <c:v>-2.1000426775922167</c:v>
                </c:pt>
                <c:pt idx="11">
                  <c:v>-2.1000000000000005</c:v>
                </c:pt>
                <c:pt idx="12">
                  <c:v>2.7448269999999999</c:v>
                </c:pt>
                <c:pt idx="13">
                  <c:v>2.7471807485958828</c:v>
                </c:pt>
              </c:numCache>
            </c:numRef>
          </c:yVal>
          <c:smooth val="0"/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PlotM!$AB$14:$AO$14</c:f>
              <c:numCache>
                <c:formatCode>General</c:formatCode>
                <c:ptCount val="14"/>
                <c:pt idx="0">
                  <c:v>3.216186451938265</c:v>
                </c:pt>
                <c:pt idx="1">
                  <c:v>3.1652574621572471</c:v>
                </c:pt>
                <c:pt idx="2">
                  <c:v>3.1143284723762292</c:v>
                </c:pt>
                <c:pt idx="3">
                  <c:v>3.0633994825952113</c:v>
                </c:pt>
                <c:pt idx="4">
                  <c:v>3.0124704928141934</c:v>
                </c:pt>
                <c:pt idx="5">
                  <c:v>2.9615415030331755</c:v>
                </c:pt>
                <c:pt idx="6">
                  <c:v>2.9106125132521576</c:v>
                </c:pt>
                <c:pt idx="7">
                  <c:v>2.8596835234711397</c:v>
                </c:pt>
                <c:pt idx="8">
                  <c:v>2.8087545336901218</c:v>
                </c:pt>
                <c:pt idx="9">
                  <c:v>2.7578255439091035</c:v>
                </c:pt>
                <c:pt idx="10">
                  <c:v>2.7068965541280856</c:v>
                </c:pt>
                <c:pt idx="11">
                  <c:v>2.5508169999999986</c:v>
                </c:pt>
                <c:pt idx="12">
                  <c:v>3.38565</c:v>
                </c:pt>
                <c:pt idx="13">
                  <c:v>3.216186451938265</c:v>
                </c:pt>
              </c:numCache>
            </c:numRef>
          </c:xVal>
          <c:yVal>
            <c:numRef>
              <c:f>PlotM!$AR$14:$BE$14</c:f>
              <c:numCache>
                <c:formatCode>General</c:formatCode>
                <c:ptCount val="14"/>
                <c:pt idx="0">
                  <c:v>2.8066604063219756</c:v>
                </c:pt>
                <c:pt idx="1">
                  <c:v>2.6088557618897452</c:v>
                </c:pt>
                <c:pt idx="2">
                  <c:v>2.4110511174575149</c:v>
                </c:pt>
                <c:pt idx="3">
                  <c:v>2.2132464730252845</c:v>
                </c:pt>
                <c:pt idx="4">
                  <c:v>2.0154418285930538</c:v>
                </c:pt>
                <c:pt idx="5">
                  <c:v>1.8176371841608232</c:v>
                </c:pt>
                <c:pt idx="6">
                  <c:v>1.6198325397285924</c:v>
                </c:pt>
                <c:pt idx="7">
                  <c:v>1.4220278952963619</c:v>
                </c:pt>
                <c:pt idx="8">
                  <c:v>1.2242232508641313</c:v>
                </c:pt>
                <c:pt idx="9">
                  <c:v>1.0264186064319007</c:v>
                </c:pt>
                <c:pt idx="10">
                  <c:v>0.82861396199967008</c:v>
                </c:pt>
                <c:pt idx="11">
                  <c:v>0.89983599999999986</c:v>
                </c:pt>
                <c:pt idx="12">
                  <c:v>2.7293310000000002</c:v>
                </c:pt>
                <c:pt idx="13">
                  <c:v>2.8066604063219756</c:v>
                </c:pt>
              </c:numCache>
            </c:numRef>
          </c:yVal>
          <c:smooth val="0"/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PlotM!$AB$15:$AO$15</c:f>
              <c:numCache>
                <c:formatCode>General</c:formatCode>
                <c:ptCount val="14"/>
                <c:pt idx="0">
                  <c:v>4.2366011739817004</c:v>
                </c:pt>
                <c:pt idx="1">
                  <c:v>4.3555651627343712</c:v>
                </c:pt>
                <c:pt idx="2">
                  <c:v>4.474529151487042</c:v>
                </c:pt>
                <c:pt idx="3">
                  <c:v>4.5934931402397128</c:v>
                </c:pt>
                <c:pt idx="4">
                  <c:v>4.7124571289923836</c:v>
                </c:pt>
                <c:pt idx="5">
                  <c:v>4.8314211177450543</c:v>
                </c:pt>
                <c:pt idx="6">
                  <c:v>4.9503851064977251</c:v>
                </c:pt>
                <c:pt idx="7">
                  <c:v>5.0693490952503968</c:v>
                </c:pt>
                <c:pt idx="8">
                  <c:v>5.1883130840030676</c:v>
                </c:pt>
                <c:pt idx="9">
                  <c:v>5.3072770727557383</c:v>
                </c:pt>
                <c:pt idx="10">
                  <c:v>5.4262410615084091</c:v>
                </c:pt>
                <c:pt idx="11">
                  <c:v>5.2717559999999981</c:v>
                </c:pt>
                <c:pt idx="12">
                  <c:v>4.4060030000000001</c:v>
                </c:pt>
                <c:pt idx="13">
                  <c:v>4.2366011739817004</c:v>
                </c:pt>
              </c:numCache>
            </c:numRef>
          </c:xVal>
          <c:yVal>
            <c:numRef>
              <c:f>PlotM!$AR$15:$BE$15</c:f>
              <c:numCache>
                <c:formatCode>General</c:formatCode>
                <c:ptCount val="14"/>
                <c:pt idx="0">
                  <c:v>2.6653360219514233</c:v>
                </c:pt>
                <c:pt idx="1">
                  <c:v>2.4960351556846456</c:v>
                </c:pt>
                <c:pt idx="2">
                  <c:v>2.3267342894178675</c:v>
                </c:pt>
                <c:pt idx="3">
                  <c:v>2.1574334231510899</c:v>
                </c:pt>
                <c:pt idx="4">
                  <c:v>1.9881325568843118</c:v>
                </c:pt>
                <c:pt idx="5">
                  <c:v>1.8188316906175339</c:v>
                </c:pt>
                <c:pt idx="6">
                  <c:v>1.649530824350756</c:v>
                </c:pt>
                <c:pt idx="7">
                  <c:v>1.4802299580839782</c:v>
                </c:pt>
                <c:pt idx="8">
                  <c:v>1.3109290918172003</c:v>
                </c:pt>
                <c:pt idx="9">
                  <c:v>1.1416282255504224</c:v>
                </c:pt>
                <c:pt idx="10">
                  <c:v>0.97232735928364444</c:v>
                </c:pt>
                <c:pt idx="11">
                  <c:v>0.89983599999999964</c:v>
                </c:pt>
                <c:pt idx="12">
                  <c:v>2.7448269999999999</c:v>
                </c:pt>
                <c:pt idx="13">
                  <c:v>2.6653360219514233</c:v>
                </c:pt>
              </c:numCache>
            </c:numRef>
          </c:yVal>
          <c:smooth val="0"/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PlotM!$AB$16:$AO$16</c:f>
              <c:numCache>
                <c:formatCode>General</c:formatCode>
                <c:ptCount val="14"/>
                <c:pt idx="0">
                  <c:v>-6.45</c:v>
                </c:pt>
                <c:pt idx="1">
                  <c:v>-6.3900000000000006</c:v>
                </c:pt>
                <c:pt idx="2">
                  <c:v>-6.33</c:v>
                </c:pt>
                <c:pt idx="3">
                  <c:v>-6.27</c:v>
                </c:pt>
                <c:pt idx="4">
                  <c:v>-6.2099999999999991</c:v>
                </c:pt>
                <c:pt idx="5">
                  <c:v>-6.1499999999999986</c:v>
                </c:pt>
                <c:pt idx="6">
                  <c:v>-6.0899999999999981</c:v>
                </c:pt>
                <c:pt idx="7">
                  <c:v>-6.0299999999999976</c:v>
                </c:pt>
                <c:pt idx="8">
                  <c:v>-5.9699999999999971</c:v>
                </c:pt>
                <c:pt idx="9">
                  <c:v>-5.9099999999999966</c:v>
                </c:pt>
                <c:pt idx="10">
                  <c:v>-5.8499999999999961</c:v>
                </c:pt>
                <c:pt idx="11">
                  <c:v>-5.8499999999999961</c:v>
                </c:pt>
                <c:pt idx="12">
                  <c:v>-6.45</c:v>
                </c:pt>
                <c:pt idx="13">
                  <c:v>-6.45</c:v>
                </c:pt>
              </c:numCache>
            </c:numRef>
          </c:xVal>
          <c:yVal>
            <c:numRef>
              <c:f>PlotM!$AR$16:$BE$16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PlotM!$AB$17:$AO$17</c:f>
              <c:numCache>
                <c:formatCode>General</c:formatCode>
                <c:ptCount val="14"/>
                <c:pt idx="0">
                  <c:v>-5.85</c:v>
                </c:pt>
                <c:pt idx="1">
                  <c:v>-5.6999999999999993</c:v>
                </c:pt>
                <c:pt idx="2">
                  <c:v>-5.5499999999999989</c:v>
                </c:pt>
                <c:pt idx="3">
                  <c:v>-5.3999999999999986</c:v>
                </c:pt>
                <c:pt idx="4">
                  <c:v>-5.2499999999999982</c:v>
                </c:pt>
                <c:pt idx="5">
                  <c:v>-5.0999999999999979</c:v>
                </c:pt>
                <c:pt idx="6">
                  <c:v>-4.9499999999999975</c:v>
                </c:pt>
                <c:pt idx="7">
                  <c:v>-4.7999999999999972</c:v>
                </c:pt>
                <c:pt idx="8">
                  <c:v>-4.6499999999999968</c:v>
                </c:pt>
                <c:pt idx="9">
                  <c:v>-4.4999999999999964</c:v>
                </c:pt>
                <c:pt idx="10">
                  <c:v>-4.3499999999999961</c:v>
                </c:pt>
                <c:pt idx="11">
                  <c:v>-4.3499999999999961</c:v>
                </c:pt>
                <c:pt idx="12">
                  <c:v>-5.85</c:v>
                </c:pt>
                <c:pt idx="13">
                  <c:v>-5.85</c:v>
                </c:pt>
              </c:numCache>
            </c:numRef>
          </c:xVal>
          <c:yVal>
            <c:numRef>
              <c:f>PlotM!$AR$17:$BE$17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PlotM!$AB$18:$AO$18</c:f>
              <c:numCache>
                <c:formatCode>General</c:formatCode>
                <c:ptCount val="14"/>
                <c:pt idx="0">
                  <c:v>-4.3499999999999996</c:v>
                </c:pt>
                <c:pt idx="1">
                  <c:v>-4.29</c:v>
                </c:pt>
                <c:pt idx="2">
                  <c:v>-4.2300000000000004</c:v>
                </c:pt>
                <c:pt idx="3">
                  <c:v>-4.1700000000000008</c:v>
                </c:pt>
                <c:pt idx="4">
                  <c:v>-4.1100000000000012</c:v>
                </c:pt>
                <c:pt idx="5">
                  <c:v>-4.0500000000000016</c:v>
                </c:pt>
                <c:pt idx="6">
                  <c:v>-3.9900000000000015</c:v>
                </c:pt>
                <c:pt idx="7">
                  <c:v>-3.9300000000000015</c:v>
                </c:pt>
                <c:pt idx="8">
                  <c:v>-3.8700000000000014</c:v>
                </c:pt>
                <c:pt idx="9">
                  <c:v>-3.8100000000000014</c:v>
                </c:pt>
                <c:pt idx="10">
                  <c:v>-3.7500000000000013</c:v>
                </c:pt>
                <c:pt idx="11">
                  <c:v>-3.7500000000000013</c:v>
                </c:pt>
                <c:pt idx="12">
                  <c:v>-4.3499999999999996</c:v>
                </c:pt>
                <c:pt idx="13">
                  <c:v>-4.3499999999999996</c:v>
                </c:pt>
              </c:numCache>
            </c:numRef>
          </c:xVal>
          <c:yVal>
            <c:numRef>
              <c:f>PlotM!$AR$18:$BE$18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PlotM!$AB$19:$AO$19</c:f>
              <c:numCache>
                <c:formatCode>General</c:formatCode>
                <c:ptCount val="14"/>
                <c:pt idx="0">
                  <c:v>-5.55</c:v>
                </c:pt>
                <c:pt idx="1">
                  <c:v>-5.58</c:v>
                </c:pt>
                <c:pt idx="2">
                  <c:v>-5.61</c:v>
                </c:pt>
                <c:pt idx="3">
                  <c:v>-5.6400000000000006</c:v>
                </c:pt>
                <c:pt idx="4">
                  <c:v>-5.6700000000000008</c:v>
                </c:pt>
                <c:pt idx="5">
                  <c:v>-5.7000000000000011</c:v>
                </c:pt>
                <c:pt idx="6">
                  <c:v>-5.7300000000000013</c:v>
                </c:pt>
                <c:pt idx="7">
                  <c:v>-5.7600000000000016</c:v>
                </c:pt>
                <c:pt idx="8">
                  <c:v>-5.7900000000000018</c:v>
                </c:pt>
                <c:pt idx="9">
                  <c:v>-5.8200000000000021</c:v>
                </c:pt>
                <c:pt idx="10">
                  <c:v>-5.8500000000000023</c:v>
                </c:pt>
                <c:pt idx="11">
                  <c:v>-5.8500000000000023</c:v>
                </c:pt>
                <c:pt idx="12">
                  <c:v>-5.55</c:v>
                </c:pt>
                <c:pt idx="13">
                  <c:v>-5.55</c:v>
                </c:pt>
              </c:numCache>
            </c:numRef>
          </c:xVal>
          <c:yVal>
            <c:numRef>
              <c:f>PlotM!$AR$19:$BE$19</c:f>
              <c:numCache>
                <c:formatCode>General</c:formatCode>
                <c:ptCount val="14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  <c:pt idx="11">
                  <c:v>0.90000000000000036</c:v>
                </c:pt>
                <c:pt idx="12">
                  <c:v>2.85</c:v>
                </c:pt>
                <c:pt idx="13">
                  <c:v>2.85</c:v>
                </c:pt>
              </c:numCache>
            </c:numRef>
          </c:yVal>
          <c:smooth val="0"/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PlotM!$AB$20:$AO$20</c:f>
              <c:numCache>
                <c:formatCode>General</c:formatCode>
                <c:ptCount val="14"/>
                <c:pt idx="0">
                  <c:v>-4.6500000000000004</c:v>
                </c:pt>
                <c:pt idx="1">
                  <c:v>-4.62</c:v>
                </c:pt>
                <c:pt idx="2">
                  <c:v>-4.59</c:v>
                </c:pt>
                <c:pt idx="3">
                  <c:v>-4.5599999999999996</c:v>
                </c:pt>
                <c:pt idx="4">
                  <c:v>-4.5299999999999994</c:v>
                </c:pt>
                <c:pt idx="5">
                  <c:v>-4.4999999999999991</c:v>
                </c:pt>
                <c:pt idx="6">
                  <c:v>-4.4699999999999989</c:v>
                </c:pt>
                <c:pt idx="7">
                  <c:v>-4.4399999999999986</c:v>
                </c:pt>
                <c:pt idx="8">
                  <c:v>-4.4099999999999984</c:v>
                </c:pt>
                <c:pt idx="9">
                  <c:v>-4.3799999999999981</c:v>
                </c:pt>
                <c:pt idx="10">
                  <c:v>-4.3499999999999979</c:v>
                </c:pt>
                <c:pt idx="11">
                  <c:v>-4.3499999999999979</c:v>
                </c:pt>
                <c:pt idx="12">
                  <c:v>-4.6500000000000004</c:v>
                </c:pt>
                <c:pt idx="13">
                  <c:v>-4.6500000000000004</c:v>
                </c:pt>
              </c:numCache>
            </c:numRef>
          </c:xVal>
          <c:yVal>
            <c:numRef>
              <c:f>PlotM!$AR$20:$BE$20</c:f>
              <c:numCache>
                <c:formatCode>General</c:formatCode>
                <c:ptCount val="14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  <c:pt idx="11">
                  <c:v>0.90000000000000036</c:v>
                </c:pt>
                <c:pt idx="12">
                  <c:v>2.85</c:v>
                </c:pt>
                <c:pt idx="13">
                  <c:v>2.85</c:v>
                </c:pt>
              </c:numCache>
            </c:numRef>
          </c:yVal>
          <c:smooth val="0"/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PlotM!$AB$21:$AO$21</c:f>
              <c:numCache>
                <c:formatCode>General</c:formatCode>
                <c:ptCount val="14"/>
                <c:pt idx="0">
                  <c:v>8.6999999999999993</c:v>
                </c:pt>
                <c:pt idx="1">
                  <c:v>9.0449999999999999</c:v>
                </c:pt>
                <c:pt idx="2">
                  <c:v>9.39</c:v>
                </c:pt>
                <c:pt idx="3">
                  <c:v>9.7350000000000012</c:v>
                </c:pt>
                <c:pt idx="4">
                  <c:v>10.080000000000002</c:v>
                </c:pt>
                <c:pt idx="5">
                  <c:v>10.425000000000002</c:v>
                </c:pt>
                <c:pt idx="6">
                  <c:v>10.770000000000003</c:v>
                </c:pt>
                <c:pt idx="7">
                  <c:v>11.115000000000004</c:v>
                </c:pt>
                <c:pt idx="8">
                  <c:v>11.460000000000004</c:v>
                </c:pt>
                <c:pt idx="9">
                  <c:v>11.805000000000005</c:v>
                </c:pt>
                <c:pt idx="10">
                  <c:v>12.150000000000006</c:v>
                </c:pt>
                <c:pt idx="11">
                  <c:v>12.150000000000006</c:v>
                </c:pt>
                <c:pt idx="12">
                  <c:v>8.6999999999999993</c:v>
                </c:pt>
                <c:pt idx="13">
                  <c:v>8.6999999999999993</c:v>
                </c:pt>
              </c:numCache>
            </c:numRef>
          </c:xVal>
          <c:yVal>
            <c:numRef>
              <c:f>PlotM!$AR$21:$BE$21</c:f>
              <c:numCache>
                <c:formatCode>General</c:formatCode>
                <c:ptCount val="14"/>
                <c:pt idx="0">
                  <c:v>6.0786534524921541</c:v>
                </c:pt>
                <c:pt idx="1">
                  <c:v>5.042922761993724</c:v>
                </c:pt>
                <c:pt idx="2">
                  <c:v>4.0071920714952922</c:v>
                </c:pt>
                <c:pt idx="3">
                  <c:v>2.9714613809968609</c:v>
                </c:pt>
                <c:pt idx="4">
                  <c:v>1.9357306904984304</c:v>
                </c:pt>
                <c:pt idx="5">
                  <c:v>0.9</c:v>
                </c:pt>
                <c:pt idx="6">
                  <c:v>-0.13573069049843045</c:v>
                </c:pt>
                <c:pt idx="7">
                  <c:v>-1.171461380996861</c:v>
                </c:pt>
                <c:pt idx="8">
                  <c:v>-2.207192071495292</c:v>
                </c:pt>
                <c:pt idx="9">
                  <c:v>-3.242922761993722</c:v>
                </c:pt>
                <c:pt idx="10">
                  <c:v>-4.2786534524921516</c:v>
                </c:pt>
                <c:pt idx="11">
                  <c:v>0.9</c:v>
                </c:pt>
                <c:pt idx="12">
                  <c:v>0.9</c:v>
                </c:pt>
                <c:pt idx="13">
                  <c:v>6.0786534524921541</c:v>
                </c:pt>
              </c:numCache>
            </c:numRef>
          </c:yVal>
          <c:smooth val="0"/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PlotM!$AB$22:$AO$22</c:f>
              <c:numCache>
                <c:formatCode>General</c:formatCode>
                <c:ptCount val="14"/>
                <c:pt idx="0">
                  <c:v>3.3887861868873648</c:v>
                </c:pt>
                <c:pt idx="1">
                  <c:v>3.4901883022737898</c:v>
                </c:pt>
                <c:pt idx="2">
                  <c:v>3.5915904176602154</c:v>
                </c:pt>
                <c:pt idx="3">
                  <c:v>3.6929925330466404</c:v>
                </c:pt>
                <c:pt idx="4">
                  <c:v>3.7943946484330655</c:v>
                </c:pt>
                <c:pt idx="5">
                  <c:v>3.895796763819491</c:v>
                </c:pt>
                <c:pt idx="6">
                  <c:v>3.9971988792059161</c:v>
                </c:pt>
                <c:pt idx="7">
                  <c:v>4.0986009945923412</c:v>
                </c:pt>
                <c:pt idx="8">
                  <c:v>4.2000031099787662</c:v>
                </c:pt>
                <c:pt idx="9">
                  <c:v>4.3014052253651913</c:v>
                </c:pt>
                <c:pt idx="10">
                  <c:v>4.4028073407516173</c:v>
                </c:pt>
                <c:pt idx="11">
                  <c:v>4.4060029999999983</c:v>
                </c:pt>
                <c:pt idx="12">
                  <c:v>3.38565</c:v>
                </c:pt>
                <c:pt idx="13">
                  <c:v>3.3887861868873648</c:v>
                </c:pt>
              </c:numCache>
            </c:numRef>
          </c:xVal>
          <c:yVal>
            <c:numRef>
              <c:f>PlotM!$AR$22:$BE$22</c:f>
              <c:numCache>
                <c:formatCode>General</c:formatCode>
                <c:ptCount val="14"/>
                <c:pt idx="0">
                  <c:v>2.5228249533374187</c:v>
                </c:pt>
                <c:pt idx="1">
                  <c:v>2.566067365677037</c:v>
                </c:pt>
                <c:pt idx="2">
                  <c:v>2.6093097780166548</c:v>
                </c:pt>
                <c:pt idx="3">
                  <c:v>2.652552190356273</c:v>
                </c:pt>
                <c:pt idx="4">
                  <c:v>2.6957946026958908</c:v>
                </c:pt>
                <c:pt idx="5">
                  <c:v>2.739037015035509</c:v>
                </c:pt>
                <c:pt idx="6">
                  <c:v>2.7822794273751268</c:v>
                </c:pt>
                <c:pt idx="7">
                  <c:v>2.825521839714745</c:v>
                </c:pt>
                <c:pt idx="8">
                  <c:v>2.8687642520543628</c:v>
                </c:pt>
                <c:pt idx="9">
                  <c:v>2.912006664393981</c:v>
                </c:pt>
                <c:pt idx="10">
                  <c:v>2.9552490767335988</c:v>
                </c:pt>
                <c:pt idx="11">
                  <c:v>2.7448270000000017</c:v>
                </c:pt>
                <c:pt idx="12">
                  <c:v>2.7293310000000002</c:v>
                </c:pt>
                <c:pt idx="13">
                  <c:v>2.5228249533374187</c:v>
                </c:pt>
              </c:numCache>
            </c:numRef>
          </c:yVal>
          <c:smooth val="0"/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PlotM!$AB$23:$AO$23</c:f>
              <c:numCache>
                <c:formatCode>General</c:formatCode>
                <c:ptCount val="14"/>
                <c:pt idx="0">
                  <c:v>12.15</c:v>
                </c:pt>
                <c:pt idx="1">
                  <c:v>12.495081700818995</c:v>
                </c:pt>
                <c:pt idx="2">
                  <c:v>12.840163401637991</c:v>
                </c:pt>
                <c:pt idx="3">
                  <c:v>13.185245102456985</c:v>
                </c:pt>
                <c:pt idx="4">
                  <c:v>13.530326803275981</c:v>
                </c:pt>
                <c:pt idx="5">
                  <c:v>13.875408504094976</c:v>
                </c:pt>
                <c:pt idx="6">
                  <c:v>14.220490204913972</c:v>
                </c:pt>
                <c:pt idx="7">
                  <c:v>14.565571905732966</c:v>
                </c:pt>
                <c:pt idx="8">
                  <c:v>14.910653606551962</c:v>
                </c:pt>
                <c:pt idx="9">
                  <c:v>15.255735307370957</c:v>
                </c:pt>
                <c:pt idx="10">
                  <c:v>15.600817008189951</c:v>
                </c:pt>
                <c:pt idx="11">
                  <c:v>15.600816999999997</c:v>
                </c:pt>
                <c:pt idx="12">
                  <c:v>12.15</c:v>
                </c:pt>
                <c:pt idx="13">
                  <c:v>12.15</c:v>
                </c:pt>
              </c:numCache>
            </c:numRef>
          </c:xVal>
          <c:yVal>
            <c:numRef>
              <c:f>PlotM!$AR$23:$BE$23</c:f>
              <c:numCache>
                <c:formatCode>General</c:formatCode>
                <c:ptCount val="14"/>
                <c:pt idx="0">
                  <c:v>0.9</c:v>
                </c:pt>
                <c:pt idx="1">
                  <c:v>0.90000083294750732</c:v>
                </c:pt>
                <c:pt idx="2">
                  <c:v>0.90000166589501462</c:v>
                </c:pt>
                <c:pt idx="3">
                  <c:v>0.90000249884252181</c:v>
                </c:pt>
                <c:pt idx="4">
                  <c:v>0.900003331790029</c:v>
                </c:pt>
                <c:pt idx="5">
                  <c:v>0.90000416473753619</c:v>
                </c:pt>
                <c:pt idx="6">
                  <c:v>0.90000499768504338</c:v>
                </c:pt>
                <c:pt idx="7">
                  <c:v>0.90000583063255069</c:v>
                </c:pt>
                <c:pt idx="8">
                  <c:v>0.90000666358005788</c:v>
                </c:pt>
                <c:pt idx="9">
                  <c:v>0.90000749652756507</c:v>
                </c:pt>
                <c:pt idx="10">
                  <c:v>0.90000832947507226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PlotM!$AB$24:$AO$24</c:f>
              <c:numCache>
                <c:formatCode>General</c:formatCode>
                <c:ptCount val="14"/>
                <c:pt idx="0">
                  <c:v>12.149940426551186</c:v>
                </c:pt>
                <c:pt idx="1">
                  <c:v>12.629952441240949</c:v>
                </c:pt>
                <c:pt idx="2">
                  <c:v>13.109964455930712</c:v>
                </c:pt>
                <c:pt idx="3">
                  <c:v>13.589976470620474</c:v>
                </c:pt>
                <c:pt idx="4">
                  <c:v>14.069988485310237</c:v>
                </c:pt>
                <c:pt idx="5">
                  <c:v>14.550000499999999</c:v>
                </c:pt>
                <c:pt idx="6">
                  <c:v>15.030012514689762</c:v>
                </c:pt>
                <c:pt idx="7">
                  <c:v>15.510024529379525</c:v>
                </c:pt>
                <c:pt idx="8">
                  <c:v>15.990036544069287</c:v>
                </c:pt>
                <c:pt idx="9">
                  <c:v>16.47004855875905</c:v>
                </c:pt>
                <c:pt idx="10">
                  <c:v>16.950060573448816</c:v>
                </c:pt>
                <c:pt idx="11">
                  <c:v>16.950001</c:v>
                </c:pt>
                <c:pt idx="12">
                  <c:v>12.15</c:v>
                </c:pt>
                <c:pt idx="13">
                  <c:v>12.149940426551186</c:v>
                </c:pt>
              </c:numCache>
            </c:numRef>
          </c:xVal>
          <c:yVal>
            <c:numRef>
              <c:f>PlotM!$AR$24:$BE$24</c:f>
              <c:numCache>
                <c:formatCode>General</c:formatCode>
                <c:ptCount val="14"/>
                <c:pt idx="0">
                  <c:v>0.8999046824620397</c:v>
                </c:pt>
                <c:pt idx="1">
                  <c:v>0.59992374596963172</c:v>
                </c:pt>
                <c:pt idx="2">
                  <c:v>0.29994280947722374</c:v>
                </c:pt>
                <c:pt idx="3">
                  <c:v>-3.8127015184232482E-5</c:v>
                </c:pt>
                <c:pt idx="4">
                  <c:v>-0.30001906350759222</c:v>
                </c:pt>
                <c:pt idx="5">
                  <c:v>-0.6000000000000002</c:v>
                </c:pt>
                <c:pt idx="6">
                  <c:v>-0.89998093649240818</c:v>
                </c:pt>
                <c:pt idx="7">
                  <c:v>-1.199961872984816</c:v>
                </c:pt>
                <c:pt idx="8">
                  <c:v>-1.499942809477224</c:v>
                </c:pt>
                <c:pt idx="9">
                  <c:v>-1.799923745969632</c:v>
                </c:pt>
                <c:pt idx="10">
                  <c:v>-2.0999046824620402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0.8999046824620397</c:v>
                </c:pt>
              </c:numCache>
            </c:numRef>
          </c:yVal>
          <c:smooth val="0"/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PlotM!$AB$25:$AO$25</c:f>
              <c:numCache>
                <c:formatCode>General</c:formatCode>
                <c:ptCount val="14"/>
                <c:pt idx="0">
                  <c:v>21.749940548380252</c:v>
                </c:pt>
                <c:pt idx="1">
                  <c:v>21.269952538704199</c:v>
                </c:pt>
                <c:pt idx="2">
                  <c:v>20.789964529028151</c:v>
                </c:pt>
                <c:pt idx="3">
                  <c:v>20.309976519352102</c:v>
                </c:pt>
                <c:pt idx="4">
                  <c:v>19.829988509676053</c:v>
                </c:pt>
                <c:pt idx="5">
                  <c:v>19.350000500000004</c:v>
                </c:pt>
                <c:pt idx="6">
                  <c:v>18.870012490323955</c:v>
                </c:pt>
                <c:pt idx="7">
                  <c:v>18.390024480647906</c:v>
                </c:pt>
                <c:pt idx="8">
                  <c:v>17.910036470971857</c:v>
                </c:pt>
                <c:pt idx="9">
                  <c:v>17.430048461295808</c:v>
                </c:pt>
                <c:pt idx="10">
                  <c:v>16.950060451619755</c:v>
                </c:pt>
                <c:pt idx="11">
                  <c:v>16.950001000000007</c:v>
                </c:pt>
                <c:pt idx="12">
                  <c:v>21.75</c:v>
                </c:pt>
                <c:pt idx="13">
                  <c:v>21.749940548380252</c:v>
                </c:pt>
              </c:numCache>
            </c:numRef>
          </c:xVal>
          <c:yVal>
            <c:numRef>
              <c:f>PlotM!$AR$25:$BE$25</c:f>
              <c:numCache>
                <c:formatCode>General</c:formatCode>
                <c:ptCount val="14"/>
                <c:pt idx="0">
                  <c:v>0.90009512257178215</c:v>
                </c:pt>
                <c:pt idx="1">
                  <c:v>0.60007609805742568</c:v>
                </c:pt>
                <c:pt idx="2">
                  <c:v>0.30005707354306921</c:v>
                </c:pt>
                <c:pt idx="3">
                  <c:v>3.8049028712726445E-5</c:v>
                </c:pt>
                <c:pt idx="4">
                  <c:v>-0.29998097548564373</c:v>
                </c:pt>
                <c:pt idx="5">
                  <c:v>-0.6000000000000002</c:v>
                </c:pt>
                <c:pt idx="6">
                  <c:v>-0.90001902451435667</c:v>
                </c:pt>
                <c:pt idx="7">
                  <c:v>-1.200038049028713</c:v>
                </c:pt>
                <c:pt idx="8">
                  <c:v>-1.5000570735430694</c:v>
                </c:pt>
                <c:pt idx="9">
                  <c:v>-1.800076098057426</c:v>
                </c:pt>
                <c:pt idx="10">
                  <c:v>-2.1000951225717825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0.90009512257178215</c:v>
                </c:pt>
              </c:numCache>
            </c:numRef>
          </c:yVal>
          <c:smooth val="0"/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PlotM!$AB$26:$AO$26</c:f>
              <c:numCache>
                <c:formatCode>General</c:formatCode>
                <c:ptCount val="14"/>
                <c:pt idx="0">
                  <c:v>16.950001000091572</c:v>
                </c:pt>
                <c:pt idx="1">
                  <c:v>17.087176498007189</c:v>
                </c:pt>
                <c:pt idx="2">
                  <c:v>17.224351995922806</c:v>
                </c:pt>
                <c:pt idx="3">
                  <c:v>17.361527493838423</c:v>
                </c:pt>
                <c:pt idx="4">
                  <c:v>17.498702991754037</c:v>
                </c:pt>
                <c:pt idx="5">
                  <c:v>17.635878489669654</c:v>
                </c:pt>
                <c:pt idx="6">
                  <c:v>17.773053987585271</c:v>
                </c:pt>
                <c:pt idx="7">
                  <c:v>17.910229485500885</c:v>
                </c:pt>
                <c:pt idx="8">
                  <c:v>18.047404983416502</c:v>
                </c:pt>
                <c:pt idx="9">
                  <c:v>18.184580481332119</c:v>
                </c:pt>
                <c:pt idx="10">
                  <c:v>18.321755979247733</c:v>
                </c:pt>
                <c:pt idx="11">
                  <c:v>18.321756000000015</c:v>
                </c:pt>
                <c:pt idx="12">
                  <c:v>16.950001</c:v>
                </c:pt>
                <c:pt idx="13">
                  <c:v>16.950001000091572</c:v>
                </c:pt>
              </c:numCache>
            </c:numRef>
          </c:xVal>
          <c:yVal>
            <c:numRef>
              <c:f>PlotM!$AR$26:$BE$26</c:f>
              <c:numCache>
                <c:formatCode>General</c:formatCode>
                <c:ptCount val="14"/>
                <c:pt idx="0">
                  <c:v>0.90000076594529821</c:v>
                </c:pt>
                <c:pt idx="1">
                  <c:v>0.89996693139724393</c:v>
                </c:pt>
                <c:pt idx="2">
                  <c:v>0.89993309684918965</c:v>
                </c:pt>
                <c:pt idx="3">
                  <c:v>0.89989926230113537</c:v>
                </c:pt>
                <c:pt idx="4">
                  <c:v>0.89986542775308109</c:v>
                </c:pt>
                <c:pt idx="5">
                  <c:v>0.8998315932050267</c:v>
                </c:pt>
                <c:pt idx="6">
                  <c:v>0.89979775865697242</c:v>
                </c:pt>
                <c:pt idx="7">
                  <c:v>0.89976392410891814</c:v>
                </c:pt>
                <c:pt idx="8">
                  <c:v>0.89973008956086387</c:v>
                </c:pt>
                <c:pt idx="9">
                  <c:v>0.89969625501280959</c:v>
                </c:pt>
                <c:pt idx="10">
                  <c:v>0.89966242046475531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0.90000076594529821</c:v>
                </c:pt>
              </c:numCache>
            </c:numRef>
          </c:yVal>
          <c:smooth val="0"/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PlotM!$AB$27:$AO$27</c:f>
              <c:numCache>
                <c:formatCode>General</c:formatCode>
                <c:ptCount val="14"/>
                <c:pt idx="0">
                  <c:v>16.350000000000001</c:v>
                </c:pt>
                <c:pt idx="1">
                  <c:v>16.358553139418348</c:v>
                </c:pt>
                <c:pt idx="2">
                  <c:v>16.367106278836694</c:v>
                </c:pt>
                <c:pt idx="3">
                  <c:v>16.37565941825504</c:v>
                </c:pt>
                <c:pt idx="4">
                  <c:v>16.384212557673386</c:v>
                </c:pt>
                <c:pt idx="5">
                  <c:v>16.392765697091733</c:v>
                </c:pt>
                <c:pt idx="6">
                  <c:v>16.401318836510079</c:v>
                </c:pt>
                <c:pt idx="7">
                  <c:v>16.409871975928425</c:v>
                </c:pt>
                <c:pt idx="8">
                  <c:v>16.418425115346771</c:v>
                </c:pt>
                <c:pt idx="9">
                  <c:v>16.426978254765118</c:v>
                </c:pt>
                <c:pt idx="10">
                  <c:v>16.435531394183467</c:v>
                </c:pt>
                <c:pt idx="11">
                  <c:v>16.43565000000001</c:v>
                </c:pt>
                <c:pt idx="12">
                  <c:v>16.350000000000001</c:v>
                </c:pt>
                <c:pt idx="13">
                  <c:v>16.350000000000001</c:v>
                </c:pt>
              </c:numCache>
            </c:numRef>
          </c:xVal>
          <c:yVal>
            <c:numRef>
              <c:f>PlotM!$AR$27:$BE$27</c:f>
              <c:numCache>
                <c:formatCode>General</c:formatCode>
                <c:ptCount val="14"/>
                <c:pt idx="0">
                  <c:v>3.6</c:v>
                </c:pt>
                <c:pt idx="1">
                  <c:v>3.5129319332433813</c:v>
                </c:pt>
                <c:pt idx="2">
                  <c:v>3.425863866486762</c:v>
                </c:pt>
                <c:pt idx="3">
                  <c:v>3.3387957997301432</c:v>
                </c:pt>
                <c:pt idx="4">
                  <c:v>3.2517277329735244</c:v>
                </c:pt>
                <c:pt idx="5">
                  <c:v>3.1646596662169055</c:v>
                </c:pt>
                <c:pt idx="6">
                  <c:v>3.0775915994602863</c:v>
                </c:pt>
                <c:pt idx="7">
                  <c:v>2.9905235327036674</c:v>
                </c:pt>
                <c:pt idx="8">
                  <c:v>2.9034554659470486</c:v>
                </c:pt>
                <c:pt idx="9">
                  <c:v>2.8163873991904298</c:v>
                </c:pt>
                <c:pt idx="10">
                  <c:v>2.7293193324338105</c:v>
                </c:pt>
                <c:pt idx="11">
                  <c:v>2.7293310000000006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PlotM!$AB$28:$AO$28</c:f>
              <c:numCache>
                <c:formatCode>General</c:formatCode>
                <c:ptCount val="14"/>
                <c:pt idx="0">
                  <c:v>17.549999</c:v>
                </c:pt>
                <c:pt idx="1">
                  <c:v>17.540586947674015</c:v>
                </c:pt>
                <c:pt idx="2">
                  <c:v>17.531174895348027</c:v>
                </c:pt>
                <c:pt idx="3">
                  <c:v>17.521762843022042</c:v>
                </c:pt>
                <c:pt idx="4">
                  <c:v>17.512350790696058</c:v>
                </c:pt>
                <c:pt idx="5">
                  <c:v>17.502938738370069</c:v>
                </c:pt>
                <c:pt idx="6">
                  <c:v>17.493526686044085</c:v>
                </c:pt>
                <c:pt idx="7">
                  <c:v>17.4841146337181</c:v>
                </c:pt>
                <c:pt idx="8">
                  <c:v>17.474702581392112</c:v>
                </c:pt>
                <c:pt idx="9">
                  <c:v>17.465290529066127</c:v>
                </c:pt>
                <c:pt idx="10">
                  <c:v>17.455878476740143</c:v>
                </c:pt>
                <c:pt idx="11">
                  <c:v>17.456002999999981</c:v>
                </c:pt>
                <c:pt idx="12">
                  <c:v>17.549999</c:v>
                </c:pt>
                <c:pt idx="13">
                  <c:v>17.549999</c:v>
                </c:pt>
              </c:numCache>
            </c:numRef>
          </c:xVal>
          <c:yVal>
            <c:numRef>
              <c:f>PlotM!$AR$28:$BE$28</c:f>
              <c:numCache>
                <c:formatCode>General</c:formatCode>
                <c:ptCount val="14"/>
                <c:pt idx="0">
                  <c:v>3.6</c:v>
                </c:pt>
                <c:pt idx="1">
                  <c:v>3.5144840686924557</c:v>
                </c:pt>
                <c:pt idx="2">
                  <c:v>3.4289681373849108</c:v>
                </c:pt>
                <c:pt idx="3">
                  <c:v>3.3434522060773659</c:v>
                </c:pt>
                <c:pt idx="4">
                  <c:v>3.2579362747698215</c:v>
                </c:pt>
                <c:pt idx="5">
                  <c:v>3.1724203434622766</c:v>
                </c:pt>
                <c:pt idx="6">
                  <c:v>3.0869044121547318</c:v>
                </c:pt>
                <c:pt idx="7">
                  <c:v>3.0013884808471869</c:v>
                </c:pt>
                <c:pt idx="8">
                  <c:v>2.915872549539642</c:v>
                </c:pt>
                <c:pt idx="9">
                  <c:v>2.8303566182320972</c:v>
                </c:pt>
                <c:pt idx="10">
                  <c:v>2.7448406869245523</c:v>
                </c:pt>
                <c:pt idx="11">
                  <c:v>2.7448269999999981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PlotM!$AB$29:$AO$29</c:f>
              <c:numCache>
                <c:formatCode>General</c:formatCode>
                <c:ptCount val="14"/>
                <c:pt idx="0">
                  <c:v>15.600816979052498</c:v>
                </c:pt>
                <c:pt idx="1">
                  <c:v>15.735735381137937</c:v>
                </c:pt>
                <c:pt idx="2">
                  <c:v>15.870653783223377</c:v>
                </c:pt>
                <c:pt idx="3">
                  <c:v>16.005572185308818</c:v>
                </c:pt>
                <c:pt idx="4">
                  <c:v>16.140490587394257</c:v>
                </c:pt>
                <c:pt idx="5">
                  <c:v>16.275408989479697</c:v>
                </c:pt>
                <c:pt idx="6">
                  <c:v>16.410327391565136</c:v>
                </c:pt>
                <c:pt idx="7">
                  <c:v>16.545245793650576</c:v>
                </c:pt>
                <c:pt idx="8">
                  <c:v>16.680164195736015</c:v>
                </c:pt>
                <c:pt idx="9">
                  <c:v>16.815082597821455</c:v>
                </c:pt>
                <c:pt idx="10">
                  <c:v>16.950000999906894</c:v>
                </c:pt>
                <c:pt idx="11">
                  <c:v>16.950001</c:v>
                </c:pt>
                <c:pt idx="12">
                  <c:v>15.600816999999999</c:v>
                </c:pt>
                <c:pt idx="13">
                  <c:v>15.600816979052498</c:v>
                </c:pt>
              </c:numCache>
            </c:numRef>
          </c:xVal>
          <c:yVal>
            <c:numRef>
              <c:f>PlotM!$AR$29:$BE$29</c:f>
              <c:numCache>
                <c:formatCode>General</c:formatCode>
                <c:ptCount val="14"/>
                <c:pt idx="0">
                  <c:v>0.90000832947399412</c:v>
                </c:pt>
                <c:pt idx="1">
                  <c:v>0.90000757312112456</c:v>
                </c:pt>
                <c:pt idx="2">
                  <c:v>0.900006816768255</c:v>
                </c:pt>
                <c:pt idx="3">
                  <c:v>0.90000606041538533</c:v>
                </c:pt>
                <c:pt idx="4">
                  <c:v>0.90000530406251578</c:v>
                </c:pt>
                <c:pt idx="5">
                  <c:v>0.90000454770964622</c:v>
                </c:pt>
                <c:pt idx="6">
                  <c:v>0.90000379135677655</c:v>
                </c:pt>
                <c:pt idx="7">
                  <c:v>0.90000303500390699</c:v>
                </c:pt>
                <c:pt idx="8">
                  <c:v>0.90000227865103744</c:v>
                </c:pt>
                <c:pt idx="9">
                  <c:v>0.90000152229816777</c:v>
                </c:pt>
                <c:pt idx="10">
                  <c:v>0.90000076594529821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0.90000832947399412</c:v>
                </c:pt>
              </c:numCache>
            </c:numRef>
          </c:yVal>
          <c:smooth val="0"/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PlotM!$AB$30:$AO$30</c:f>
              <c:numCache>
                <c:formatCode>General</c:formatCode>
                <c:ptCount val="14"/>
                <c:pt idx="0">
                  <c:v>18.32175600830368</c:v>
                </c:pt>
                <c:pt idx="1">
                  <c:v>18.664580407473316</c:v>
                </c:pt>
                <c:pt idx="2">
                  <c:v>19.007404806642949</c:v>
                </c:pt>
                <c:pt idx="3">
                  <c:v>19.350229205812582</c:v>
                </c:pt>
                <c:pt idx="4">
                  <c:v>19.693053604982214</c:v>
                </c:pt>
                <c:pt idx="5">
                  <c:v>20.035878004151847</c:v>
                </c:pt>
                <c:pt idx="6">
                  <c:v>20.37870240332148</c:v>
                </c:pt>
                <c:pt idx="7">
                  <c:v>20.721526802491116</c:v>
                </c:pt>
                <c:pt idx="8">
                  <c:v>21.064351201660749</c:v>
                </c:pt>
                <c:pt idx="9">
                  <c:v>21.407175600830382</c:v>
                </c:pt>
                <c:pt idx="10">
                  <c:v>21.750000000000014</c:v>
                </c:pt>
                <c:pt idx="11">
                  <c:v>21.750000000000014</c:v>
                </c:pt>
                <c:pt idx="12">
                  <c:v>18.321756000000001</c:v>
                </c:pt>
                <c:pt idx="13">
                  <c:v>18.32175600830368</c:v>
                </c:pt>
              </c:numCache>
            </c:numRef>
          </c:xVal>
          <c:yVal>
            <c:numRef>
              <c:f>PlotM!$AR$30:$BE$30</c:f>
              <c:numCache>
                <c:formatCode>General</c:formatCode>
                <c:ptCount val="14"/>
                <c:pt idx="0">
                  <c:v>0.89966242046371359</c:v>
                </c:pt>
                <c:pt idx="1">
                  <c:v>0.89969617841734217</c:v>
                </c:pt>
                <c:pt idx="2">
                  <c:v>0.89972993637097087</c:v>
                </c:pt>
                <c:pt idx="3">
                  <c:v>0.89976369432459957</c:v>
                </c:pt>
                <c:pt idx="4">
                  <c:v>0.89979745227822827</c:v>
                </c:pt>
                <c:pt idx="5">
                  <c:v>0.89983121023185686</c:v>
                </c:pt>
                <c:pt idx="6">
                  <c:v>0.89986496818548556</c:v>
                </c:pt>
                <c:pt idx="7">
                  <c:v>0.89989872613911426</c:v>
                </c:pt>
                <c:pt idx="8">
                  <c:v>0.89993248409274296</c:v>
                </c:pt>
                <c:pt idx="9">
                  <c:v>0.89996624204637155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0.89966242046371359</c:v>
                </c:pt>
              </c:numCache>
            </c:numRef>
          </c:yVal>
          <c:smooth val="0"/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PlotM!$AB$31:$AO$31</c:f>
              <c:numCache>
                <c:formatCode>General</c:formatCode>
                <c:ptCount val="14"/>
                <c:pt idx="0">
                  <c:v>16.435620496413829</c:v>
                </c:pt>
                <c:pt idx="1">
                  <c:v>16.487058540000529</c:v>
                </c:pt>
                <c:pt idx="2">
                  <c:v>16.538496583587232</c:v>
                </c:pt>
                <c:pt idx="3">
                  <c:v>16.589934627173935</c:v>
                </c:pt>
                <c:pt idx="4">
                  <c:v>16.641372670760635</c:v>
                </c:pt>
                <c:pt idx="5">
                  <c:v>16.692810714347338</c:v>
                </c:pt>
                <c:pt idx="6">
                  <c:v>16.744248757934042</c:v>
                </c:pt>
                <c:pt idx="7">
                  <c:v>16.795686801520745</c:v>
                </c:pt>
                <c:pt idx="8">
                  <c:v>16.847124845107444</c:v>
                </c:pt>
                <c:pt idx="9">
                  <c:v>16.898562888694148</c:v>
                </c:pt>
                <c:pt idx="10">
                  <c:v>16.950000932280851</c:v>
                </c:pt>
                <c:pt idx="11">
                  <c:v>16.95000099999999</c:v>
                </c:pt>
                <c:pt idx="12">
                  <c:v>16.435649999999999</c:v>
                </c:pt>
                <c:pt idx="13">
                  <c:v>16.435620496413829</c:v>
                </c:pt>
              </c:numCache>
            </c:numRef>
          </c:xVal>
          <c:yVal>
            <c:numRef>
              <c:f>PlotM!$AR$31:$BE$31</c:f>
              <c:numCache>
                <c:formatCode>General</c:formatCode>
                <c:ptCount val="14"/>
                <c:pt idx="0">
                  <c:v>2.7293278577016049</c:v>
                </c:pt>
                <c:pt idx="1">
                  <c:v>2.2463950712101974</c:v>
                </c:pt>
                <c:pt idx="2">
                  <c:v>1.76346228471879</c:v>
                </c:pt>
                <c:pt idx="3">
                  <c:v>1.2805294982273823</c:v>
                </c:pt>
                <c:pt idx="4">
                  <c:v>0.79759671173597468</c:v>
                </c:pt>
                <c:pt idx="5">
                  <c:v>0.3146639252445671</c:v>
                </c:pt>
                <c:pt idx="6">
                  <c:v>-0.16826886124684048</c:v>
                </c:pt>
                <c:pt idx="7">
                  <c:v>-0.65120164773824796</c:v>
                </c:pt>
                <c:pt idx="8">
                  <c:v>-1.1341344342296555</c:v>
                </c:pt>
                <c:pt idx="9">
                  <c:v>-1.6170672207210632</c:v>
                </c:pt>
                <c:pt idx="10">
                  <c:v>-2.1000000072124707</c:v>
                </c:pt>
                <c:pt idx="11">
                  <c:v>-2.1000000000000005</c:v>
                </c:pt>
                <c:pt idx="12">
                  <c:v>2.7293310000000002</c:v>
                </c:pt>
                <c:pt idx="13">
                  <c:v>2.7293278577016049</c:v>
                </c:pt>
              </c:numCache>
            </c:numRef>
          </c:yVal>
          <c:smooth val="0"/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PlotM!$AB$32:$AO$32</c:f>
              <c:numCache>
                <c:formatCode>General</c:formatCode>
                <c:ptCount val="14"/>
                <c:pt idx="0">
                  <c:v>17.455973307583214</c:v>
                </c:pt>
                <c:pt idx="1">
                  <c:v>17.405376083598263</c:v>
                </c:pt>
                <c:pt idx="2">
                  <c:v>17.354778859613315</c:v>
                </c:pt>
                <c:pt idx="3">
                  <c:v>17.304181635628368</c:v>
                </c:pt>
                <c:pt idx="4">
                  <c:v>17.25358441164342</c:v>
                </c:pt>
                <c:pt idx="5">
                  <c:v>17.202987187658472</c:v>
                </c:pt>
                <c:pt idx="6">
                  <c:v>17.152389963673524</c:v>
                </c:pt>
                <c:pt idx="7">
                  <c:v>17.101792739688577</c:v>
                </c:pt>
                <c:pt idx="8">
                  <c:v>17.051195515703629</c:v>
                </c:pt>
                <c:pt idx="9">
                  <c:v>17.000598291718681</c:v>
                </c:pt>
                <c:pt idx="10">
                  <c:v>16.950001067733734</c:v>
                </c:pt>
                <c:pt idx="11">
                  <c:v>16.950001000000015</c:v>
                </c:pt>
                <c:pt idx="12">
                  <c:v>17.456002999999999</c:v>
                </c:pt>
                <c:pt idx="13">
                  <c:v>17.455973307583214</c:v>
                </c:pt>
              </c:numCache>
            </c:numRef>
          </c:xVal>
          <c:yVal>
            <c:numRef>
              <c:f>PlotM!$AR$32:$BE$32</c:f>
              <c:numCache>
                <c:formatCode>General</c:formatCode>
                <c:ptCount val="14"/>
                <c:pt idx="0">
                  <c:v>2.7448301011266816</c:v>
                </c:pt>
                <c:pt idx="1">
                  <c:v>2.260347090306591</c:v>
                </c:pt>
                <c:pt idx="2">
                  <c:v>1.7758640794865002</c:v>
                </c:pt>
                <c:pt idx="3">
                  <c:v>1.2913810686664096</c:v>
                </c:pt>
                <c:pt idx="4">
                  <c:v>0.80689805784631874</c:v>
                </c:pt>
                <c:pt idx="5">
                  <c:v>0.32241504702622797</c:v>
                </c:pt>
                <c:pt idx="6">
                  <c:v>-0.16206796379386282</c:v>
                </c:pt>
                <c:pt idx="7">
                  <c:v>-0.64655097461395361</c:v>
                </c:pt>
                <c:pt idx="8">
                  <c:v>-1.1310339854340443</c:v>
                </c:pt>
                <c:pt idx="9">
                  <c:v>-1.6155169962541351</c:v>
                </c:pt>
                <c:pt idx="10">
                  <c:v>-2.1000000070742257</c:v>
                </c:pt>
                <c:pt idx="11">
                  <c:v>-2.1000000000000005</c:v>
                </c:pt>
                <c:pt idx="12">
                  <c:v>2.7448269999999999</c:v>
                </c:pt>
                <c:pt idx="13">
                  <c:v>2.7448301011266816</c:v>
                </c:pt>
              </c:numCache>
            </c:numRef>
          </c:yVal>
          <c:smooth val="0"/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PlotM!$AB$33:$AO$33</c:f>
              <c:numCache>
                <c:formatCode>General</c:formatCode>
                <c:ptCount val="14"/>
                <c:pt idx="0">
                  <c:v>16.436034953145263</c:v>
                </c:pt>
                <c:pt idx="1">
                  <c:v>16.352471444303248</c:v>
                </c:pt>
                <c:pt idx="2">
                  <c:v>16.268907935461229</c:v>
                </c:pt>
                <c:pt idx="3">
                  <c:v>16.185344426619213</c:v>
                </c:pt>
                <c:pt idx="4">
                  <c:v>16.101780917777198</c:v>
                </c:pt>
                <c:pt idx="5">
                  <c:v>16.018217408935183</c:v>
                </c:pt>
                <c:pt idx="6">
                  <c:v>15.934653900093167</c:v>
                </c:pt>
                <c:pt idx="7">
                  <c:v>15.851090391251153</c:v>
                </c:pt>
                <c:pt idx="8">
                  <c:v>15.76752688240914</c:v>
                </c:pt>
                <c:pt idx="9">
                  <c:v>15.683963373567124</c:v>
                </c:pt>
                <c:pt idx="10">
                  <c:v>15.600399864725111</c:v>
                </c:pt>
                <c:pt idx="11">
                  <c:v>15.600816999999997</c:v>
                </c:pt>
                <c:pt idx="12">
                  <c:v>16.435649999999999</c:v>
                </c:pt>
                <c:pt idx="13">
                  <c:v>16.436034953145263</c:v>
                </c:pt>
              </c:numCache>
            </c:numRef>
          </c:xVal>
          <c:yVal>
            <c:numRef>
              <c:f>PlotM!$AR$33:$BE$33</c:f>
              <c:numCache>
                <c:formatCode>General</c:formatCode>
                <c:ptCount val="14"/>
                <c:pt idx="0">
                  <c:v>2.729155338634913</c:v>
                </c:pt>
                <c:pt idx="1">
                  <c:v>2.546242439439073</c:v>
                </c:pt>
                <c:pt idx="2">
                  <c:v>2.3633295402432326</c:v>
                </c:pt>
                <c:pt idx="3">
                  <c:v>2.1804166410473922</c:v>
                </c:pt>
                <c:pt idx="4">
                  <c:v>1.9975037418515518</c:v>
                </c:pt>
                <c:pt idx="5">
                  <c:v>1.8145908426557114</c:v>
                </c:pt>
                <c:pt idx="6">
                  <c:v>1.6316779434598707</c:v>
                </c:pt>
                <c:pt idx="7">
                  <c:v>1.4487650442640303</c:v>
                </c:pt>
                <c:pt idx="8">
                  <c:v>1.2658521450681897</c:v>
                </c:pt>
                <c:pt idx="9">
                  <c:v>1.0829392458723492</c:v>
                </c:pt>
                <c:pt idx="10">
                  <c:v>0.90002634667650872</c:v>
                </c:pt>
                <c:pt idx="11">
                  <c:v>0.89983599999999986</c:v>
                </c:pt>
                <c:pt idx="12">
                  <c:v>2.7293310000000002</c:v>
                </c:pt>
                <c:pt idx="13">
                  <c:v>2.729155338634913</c:v>
                </c:pt>
              </c:numCache>
            </c:numRef>
          </c:yVal>
          <c:smooth val="0"/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PlotM!$AB$34:$AO$34</c:f>
              <c:numCache>
                <c:formatCode>General</c:formatCode>
                <c:ptCount val="14"/>
                <c:pt idx="0">
                  <c:v>17.456376402866088</c:v>
                </c:pt>
                <c:pt idx="1">
                  <c:v>17.542873832971871</c:v>
                </c:pt>
                <c:pt idx="2">
                  <c:v>17.629371263077655</c:v>
                </c:pt>
                <c:pt idx="3">
                  <c:v>17.715868693183435</c:v>
                </c:pt>
                <c:pt idx="4">
                  <c:v>17.802366123289218</c:v>
                </c:pt>
                <c:pt idx="5">
                  <c:v>17.888863553394998</c:v>
                </c:pt>
                <c:pt idx="6">
                  <c:v>17.975360983500781</c:v>
                </c:pt>
                <c:pt idx="7">
                  <c:v>18.061858413606565</c:v>
                </c:pt>
                <c:pt idx="8">
                  <c:v>18.148355843712345</c:v>
                </c:pt>
                <c:pt idx="9">
                  <c:v>18.234853273818128</c:v>
                </c:pt>
                <c:pt idx="10">
                  <c:v>18.321350703923908</c:v>
                </c:pt>
                <c:pt idx="11">
                  <c:v>18.321755999999997</c:v>
                </c:pt>
                <c:pt idx="12">
                  <c:v>17.456002999999999</c:v>
                </c:pt>
                <c:pt idx="13">
                  <c:v>17.456376402866088</c:v>
                </c:pt>
              </c:numCache>
            </c:numRef>
          </c:xVal>
          <c:yVal>
            <c:numRef>
              <c:f>PlotM!$AR$34:$BE$34</c:f>
              <c:numCache>
                <c:formatCode>General</c:formatCode>
                <c:ptCount val="14"/>
                <c:pt idx="0">
                  <c:v>2.7450022174680124</c:v>
                </c:pt>
                <c:pt idx="1">
                  <c:v>2.5604665774011348</c:v>
                </c:pt>
                <c:pt idx="2">
                  <c:v>2.3759309373342572</c:v>
                </c:pt>
                <c:pt idx="3">
                  <c:v>2.1913952972673796</c:v>
                </c:pt>
                <c:pt idx="4">
                  <c:v>2.006859657200502</c:v>
                </c:pt>
                <c:pt idx="5">
                  <c:v>1.8223240171336241</c:v>
                </c:pt>
                <c:pt idx="6">
                  <c:v>1.6377883770667463</c:v>
                </c:pt>
                <c:pt idx="7">
                  <c:v>1.4532527369998687</c:v>
                </c:pt>
                <c:pt idx="8">
                  <c:v>1.2687170969329911</c:v>
                </c:pt>
                <c:pt idx="9">
                  <c:v>1.0841814568661134</c:v>
                </c:pt>
                <c:pt idx="10">
                  <c:v>0.89964581679923572</c:v>
                </c:pt>
                <c:pt idx="11">
                  <c:v>0.89983599999999964</c:v>
                </c:pt>
                <c:pt idx="12">
                  <c:v>2.7448269999999999</c:v>
                </c:pt>
                <c:pt idx="13">
                  <c:v>2.7450022174680124</c:v>
                </c:pt>
              </c:numCache>
            </c:numRef>
          </c:yVal>
          <c:smooth val="0"/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PlotM!$AB$35:$AO$35</c:f>
              <c:numCache>
                <c:formatCode>General</c:formatCode>
                <c:ptCount val="14"/>
                <c:pt idx="0">
                  <c:v>16.435654303315296</c:v>
                </c:pt>
                <c:pt idx="1">
                  <c:v>16.537688741666422</c:v>
                </c:pt>
                <c:pt idx="2">
                  <c:v>16.639723180017551</c:v>
                </c:pt>
                <c:pt idx="3">
                  <c:v>16.741757618368677</c:v>
                </c:pt>
                <c:pt idx="4">
                  <c:v>16.843792056719806</c:v>
                </c:pt>
                <c:pt idx="5">
                  <c:v>16.945826495070932</c:v>
                </c:pt>
                <c:pt idx="6">
                  <c:v>17.047860933422058</c:v>
                </c:pt>
                <c:pt idx="7">
                  <c:v>17.149895371773187</c:v>
                </c:pt>
                <c:pt idx="8">
                  <c:v>17.251929810124313</c:v>
                </c:pt>
                <c:pt idx="9">
                  <c:v>17.353964248475442</c:v>
                </c:pt>
                <c:pt idx="10">
                  <c:v>17.455998686826568</c:v>
                </c:pt>
                <c:pt idx="11">
                  <c:v>17.456003000000006</c:v>
                </c:pt>
                <c:pt idx="12">
                  <c:v>16.435649999999999</c:v>
                </c:pt>
                <c:pt idx="13">
                  <c:v>16.435654303315296</c:v>
                </c:pt>
              </c:numCache>
            </c:numRef>
          </c:xVal>
          <c:yVal>
            <c:numRef>
              <c:f>PlotM!$AR$35:$BE$35</c:f>
              <c:numCache>
                <c:formatCode>General</c:formatCode>
                <c:ptCount val="14"/>
                <c:pt idx="0">
                  <c:v>2.7290476429612371</c:v>
                </c:pt>
                <c:pt idx="1">
                  <c:v>2.7306539792811177</c:v>
                </c:pt>
                <c:pt idx="2">
                  <c:v>2.7322603156009988</c:v>
                </c:pt>
                <c:pt idx="3">
                  <c:v>2.7338666519208794</c:v>
                </c:pt>
                <c:pt idx="4">
                  <c:v>2.73547298824076</c:v>
                </c:pt>
                <c:pt idx="5">
                  <c:v>2.7370793245606411</c:v>
                </c:pt>
                <c:pt idx="6">
                  <c:v>2.7386856608805217</c:v>
                </c:pt>
                <c:pt idx="7">
                  <c:v>2.7402919972004023</c:v>
                </c:pt>
                <c:pt idx="8">
                  <c:v>2.7418983335202833</c:v>
                </c:pt>
                <c:pt idx="9">
                  <c:v>2.7435046698401639</c:v>
                </c:pt>
                <c:pt idx="10">
                  <c:v>2.745111006160045</c:v>
                </c:pt>
                <c:pt idx="11">
                  <c:v>2.7448270000000017</c:v>
                </c:pt>
                <c:pt idx="12">
                  <c:v>2.7293310000000002</c:v>
                </c:pt>
                <c:pt idx="13">
                  <c:v>2.7290476429612371</c:v>
                </c:pt>
              </c:numCache>
            </c:numRef>
          </c:yVal>
          <c:smooth val="0"/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PlotM!$AB$36:$AO$36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PlotM!$AR$36:$BE$36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PlotM!$AB$37:$AO$37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PlotM!$AR$37:$BE$37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PlotM!$AB$38:$AO$38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PlotM!$AR$38:$BE$38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PlotM!$AB$39:$AO$39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PlotM!$AR$39:$BE$39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PlotM!$AB$40:$AO$40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PlotM!$AR$40:$BE$40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PlotM!$AB$41:$AO$41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PlotM!$AR$41:$BE$41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PlotM!$AB$42:$AO$42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PlotM!$AR$42:$BE$42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001112"/>
        <c:axId val="676994448"/>
        <c:extLst xmlns:c16r2="http://schemas.microsoft.com/office/drawing/2015/06/chart"/>
      </c:scatterChart>
      <c:valAx>
        <c:axId val="677001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6994448"/>
        <c:crosses val="max"/>
        <c:crossBetween val="midCat"/>
        <c:majorUnit val="1.0000000000000005E-2"/>
      </c:valAx>
      <c:valAx>
        <c:axId val="67699444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67700111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PlotS!$BH$6:$BH$9</c:f>
              <c:numCache>
                <c:formatCode>General</c:formatCode>
                <c:ptCount val="4"/>
                <c:pt idx="0">
                  <c:v>-6.7351485915161824</c:v>
                </c:pt>
                <c:pt idx="1">
                  <c:v>22.035148591516197</c:v>
                </c:pt>
                <c:pt idx="2">
                  <c:v>22.035148591516197</c:v>
                </c:pt>
                <c:pt idx="3">
                  <c:v>-6.7351485915161824</c:v>
                </c:pt>
              </c:numCache>
            </c:numRef>
          </c:xVal>
          <c:yVal>
            <c:numRef>
              <c:f>PlotS!$BI$6:$BI$9</c:f>
              <c:numCache>
                <c:formatCode>General</c:formatCode>
                <c:ptCount val="4"/>
                <c:pt idx="0">
                  <c:v>15.13514859151619</c:v>
                </c:pt>
                <c:pt idx="1">
                  <c:v>15.13514859151619</c:v>
                </c:pt>
                <c:pt idx="2">
                  <c:v>-13.63514859151619</c:v>
                </c:pt>
                <c:pt idx="3">
                  <c:v>-13.63514859151619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PlotS!$AB$3:$AO$3</c:f>
              <c:numCache>
                <c:formatCode>General</c:formatCode>
                <c:ptCount val="14"/>
                <c:pt idx="0">
                  <c:v>-3.75</c:v>
                </c:pt>
                <c:pt idx="1">
                  <c:v>-3.4649999999999999</c:v>
                </c:pt>
                <c:pt idx="2">
                  <c:v>-3.1799999999999997</c:v>
                </c:pt>
                <c:pt idx="3">
                  <c:v>-2.8949999999999996</c:v>
                </c:pt>
                <c:pt idx="4">
                  <c:v>-2.6099999999999994</c:v>
                </c:pt>
                <c:pt idx="5">
                  <c:v>-2.3249999999999993</c:v>
                </c:pt>
                <c:pt idx="6">
                  <c:v>-2.0399999999999991</c:v>
                </c:pt>
                <c:pt idx="7">
                  <c:v>-1.754999999999999</c:v>
                </c:pt>
                <c:pt idx="8">
                  <c:v>-1.4699999999999989</c:v>
                </c:pt>
                <c:pt idx="9">
                  <c:v>-1.1849999999999987</c:v>
                </c:pt>
                <c:pt idx="10">
                  <c:v>-0.89999999999999869</c:v>
                </c:pt>
                <c:pt idx="11">
                  <c:v>-0.89999999999999869</c:v>
                </c:pt>
                <c:pt idx="12">
                  <c:v>-3.75</c:v>
                </c:pt>
                <c:pt idx="13">
                  <c:v>-3.75</c:v>
                </c:pt>
              </c:numCache>
            </c:numRef>
          </c:xVal>
          <c:yVal>
            <c:numRef>
              <c:f>PlotS!$AR$3:$BE$3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PlotS!$AB$4:$AO$4</c:f>
              <c:numCache>
                <c:formatCode>General</c:formatCode>
                <c:ptCount val="14"/>
                <c:pt idx="0">
                  <c:v>-0.9</c:v>
                </c:pt>
                <c:pt idx="1">
                  <c:v>-0.55491829999999998</c:v>
                </c:pt>
                <c:pt idx="2">
                  <c:v>-0.20983659999999998</c:v>
                </c:pt>
                <c:pt idx="3">
                  <c:v>0.13524510000000001</c:v>
                </c:pt>
                <c:pt idx="4">
                  <c:v>0.4803268</c:v>
                </c:pt>
                <c:pt idx="5">
                  <c:v>0.82540849999999999</c:v>
                </c:pt>
                <c:pt idx="6">
                  <c:v>1.1704901999999999</c:v>
                </c:pt>
                <c:pt idx="7">
                  <c:v>1.5155718999999999</c:v>
                </c:pt>
                <c:pt idx="8">
                  <c:v>1.8606535999999998</c:v>
                </c:pt>
                <c:pt idx="9">
                  <c:v>2.2057352999999997</c:v>
                </c:pt>
                <c:pt idx="10">
                  <c:v>2.5508169999999999</c:v>
                </c:pt>
                <c:pt idx="11">
                  <c:v>2.5508169999999999</c:v>
                </c:pt>
                <c:pt idx="12">
                  <c:v>-0.9</c:v>
                </c:pt>
                <c:pt idx="13">
                  <c:v>-0.9</c:v>
                </c:pt>
              </c:numCache>
            </c:numRef>
          </c:xVal>
          <c:yVal>
            <c:numRef>
              <c:f>PlotS!$AR$4:$BE$4</c:f>
              <c:numCache>
                <c:formatCode>General</c:formatCode>
                <c:ptCount val="14"/>
                <c:pt idx="0">
                  <c:v>0.9</c:v>
                </c:pt>
                <c:pt idx="1">
                  <c:v>0.89998359999999999</c:v>
                </c:pt>
                <c:pt idx="2">
                  <c:v>0.89996719999999997</c:v>
                </c:pt>
                <c:pt idx="3">
                  <c:v>0.89995079999999994</c:v>
                </c:pt>
                <c:pt idx="4">
                  <c:v>0.89993439999999991</c:v>
                </c:pt>
                <c:pt idx="5">
                  <c:v>0.89991799999999988</c:v>
                </c:pt>
                <c:pt idx="6">
                  <c:v>0.89990159999999986</c:v>
                </c:pt>
                <c:pt idx="7">
                  <c:v>0.89988519999999983</c:v>
                </c:pt>
                <c:pt idx="8">
                  <c:v>0.8998687999999998</c:v>
                </c:pt>
                <c:pt idx="9">
                  <c:v>0.89985239999999977</c:v>
                </c:pt>
                <c:pt idx="10">
                  <c:v>0.89983599999999975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PlotS!$AB$5:$AO$5</c:f>
              <c:numCache>
                <c:formatCode>General</c:formatCode>
                <c:ptCount val="14"/>
                <c:pt idx="0">
                  <c:v>-0.9</c:v>
                </c:pt>
                <c:pt idx="1">
                  <c:v>-0.42</c:v>
                </c:pt>
                <c:pt idx="2">
                  <c:v>6.0000000000000053E-2</c:v>
                </c:pt>
                <c:pt idx="3">
                  <c:v>0.54</c:v>
                </c:pt>
                <c:pt idx="4">
                  <c:v>1.02</c:v>
                </c:pt>
                <c:pt idx="5">
                  <c:v>1.5</c:v>
                </c:pt>
                <c:pt idx="6">
                  <c:v>1.98</c:v>
                </c:pt>
                <c:pt idx="7">
                  <c:v>2.46</c:v>
                </c:pt>
                <c:pt idx="8">
                  <c:v>2.94</c:v>
                </c:pt>
                <c:pt idx="9">
                  <c:v>3.42</c:v>
                </c:pt>
                <c:pt idx="10">
                  <c:v>3.9</c:v>
                </c:pt>
                <c:pt idx="11">
                  <c:v>3.9</c:v>
                </c:pt>
                <c:pt idx="12">
                  <c:v>-0.9</c:v>
                </c:pt>
                <c:pt idx="13">
                  <c:v>-0.9</c:v>
                </c:pt>
              </c:numCache>
            </c:numRef>
          </c:xVal>
          <c:yVal>
            <c:numRef>
              <c:f>PlotS!$AR$5:$BE$5</c:f>
              <c:numCache>
                <c:formatCode>General</c:formatCode>
                <c:ptCount val="14"/>
                <c:pt idx="0">
                  <c:v>0.9</c:v>
                </c:pt>
                <c:pt idx="1">
                  <c:v>0.6</c:v>
                </c:pt>
                <c:pt idx="2">
                  <c:v>0.29999999999999993</c:v>
                </c:pt>
                <c:pt idx="3">
                  <c:v>-1.1102230246251565E-16</c:v>
                </c:pt>
                <c:pt idx="4">
                  <c:v>-0.30000000000000016</c:v>
                </c:pt>
                <c:pt idx="5">
                  <c:v>-0.6000000000000002</c:v>
                </c:pt>
                <c:pt idx="6">
                  <c:v>-0.90000000000000024</c:v>
                </c:pt>
                <c:pt idx="7">
                  <c:v>-1.2000000000000002</c:v>
                </c:pt>
                <c:pt idx="8">
                  <c:v>-1.5000000000000002</c:v>
                </c:pt>
                <c:pt idx="9">
                  <c:v>-1.8000000000000003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PlotS!$AB$6:$AO$6</c:f>
              <c:numCache>
                <c:formatCode>General</c:formatCode>
                <c:ptCount val="14"/>
                <c:pt idx="0">
                  <c:v>8.6999999999999993</c:v>
                </c:pt>
                <c:pt idx="1">
                  <c:v>8.2199999999999989</c:v>
                </c:pt>
                <c:pt idx="2">
                  <c:v>7.7399999999999984</c:v>
                </c:pt>
                <c:pt idx="3">
                  <c:v>7.259999999999998</c:v>
                </c:pt>
                <c:pt idx="4">
                  <c:v>6.7799999999999976</c:v>
                </c:pt>
                <c:pt idx="5">
                  <c:v>6.2999999999999972</c:v>
                </c:pt>
                <c:pt idx="6">
                  <c:v>5.8199999999999967</c:v>
                </c:pt>
                <c:pt idx="7">
                  <c:v>5.3399999999999963</c:v>
                </c:pt>
                <c:pt idx="8">
                  <c:v>4.8599999999999959</c:v>
                </c:pt>
                <c:pt idx="9">
                  <c:v>4.3799999999999955</c:v>
                </c:pt>
                <c:pt idx="10">
                  <c:v>3.8999999999999955</c:v>
                </c:pt>
                <c:pt idx="11">
                  <c:v>3.8999999999999955</c:v>
                </c:pt>
                <c:pt idx="12">
                  <c:v>8.6999999999999993</c:v>
                </c:pt>
                <c:pt idx="13">
                  <c:v>8.6999999999999993</c:v>
                </c:pt>
              </c:numCache>
            </c:numRef>
          </c:xVal>
          <c:yVal>
            <c:numRef>
              <c:f>PlotS!$AR$6:$BE$6</c:f>
              <c:numCache>
                <c:formatCode>General</c:formatCode>
                <c:ptCount val="14"/>
                <c:pt idx="0">
                  <c:v>0.9</c:v>
                </c:pt>
                <c:pt idx="1">
                  <c:v>0.6</c:v>
                </c:pt>
                <c:pt idx="2">
                  <c:v>0.29999999999999993</c:v>
                </c:pt>
                <c:pt idx="3">
                  <c:v>-1.1102230246251565E-16</c:v>
                </c:pt>
                <c:pt idx="4">
                  <c:v>-0.30000000000000016</c:v>
                </c:pt>
                <c:pt idx="5">
                  <c:v>-0.6000000000000002</c:v>
                </c:pt>
                <c:pt idx="6">
                  <c:v>-0.90000000000000024</c:v>
                </c:pt>
                <c:pt idx="7">
                  <c:v>-1.2000000000000002</c:v>
                </c:pt>
                <c:pt idx="8">
                  <c:v>-1.5000000000000002</c:v>
                </c:pt>
                <c:pt idx="9">
                  <c:v>-1.8000000000000003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PlotS!$AB$7:$AO$7</c:f>
              <c:numCache>
                <c:formatCode>General</c:formatCode>
                <c:ptCount val="14"/>
                <c:pt idx="0">
                  <c:v>3.9</c:v>
                </c:pt>
                <c:pt idx="1">
                  <c:v>4.0371756000000003</c:v>
                </c:pt>
                <c:pt idx="2">
                  <c:v>4.1743512000000003</c:v>
                </c:pt>
                <c:pt idx="3">
                  <c:v>4.3115268000000002</c:v>
                </c:pt>
                <c:pt idx="4">
                  <c:v>4.4487024000000002</c:v>
                </c:pt>
                <c:pt idx="5">
                  <c:v>4.5858780000000001</c:v>
                </c:pt>
                <c:pt idx="6">
                  <c:v>4.7230536000000001</c:v>
                </c:pt>
                <c:pt idx="7">
                  <c:v>4.8602292</c:v>
                </c:pt>
                <c:pt idx="8">
                  <c:v>4.9974048</c:v>
                </c:pt>
                <c:pt idx="9">
                  <c:v>5.1345803999999999</c:v>
                </c:pt>
                <c:pt idx="10">
                  <c:v>5.2717559999999999</c:v>
                </c:pt>
                <c:pt idx="11">
                  <c:v>5.2717559999999999</c:v>
                </c:pt>
                <c:pt idx="12">
                  <c:v>3.9</c:v>
                </c:pt>
                <c:pt idx="13">
                  <c:v>3.9</c:v>
                </c:pt>
              </c:numCache>
            </c:numRef>
          </c:xVal>
          <c:yVal>
            <c:numRef>
              <c:f>PlotS!$AR$7:$BE$7</c:f>
              <c:numCache>
                <c:formatCode>General</c:formatCode>
                <c:ptCount val="14"/>
                <c:pt idx="0">
                  <c:v>0.9</c:v>
                </c:pt>
                <c:pt idx="1">
                  <c:v>0.89998359999999999</c:v>
                </c:pt>
                <c:pt idx="2">
                  <c:v>0.89996719999999997</c:v>
                </c:pt>
                <c:pt idx="3">
                  <c:v>0.89995079999999994</c:v>
                </c:pt>
                <c:pt idx="4">
                  <c:v>0.89993439999999991</c:v>
                </c:pt>
                <c:pt idx="5">
                  <c:v>0.89991799999999988</c:v>
                </c:pt>
                <c:pt idx="6">
                  <c:v>0.89990159999999986</c:v>
                </c:pt>
                <c:pt idx="7">
                  <c:v>0.89988519999999983</c:v>
                </c:pt>
                <c:pt idx="8">
                  <c:v>0.8998687999999998</c:v>
                </c:pt>
                <c:pt idx="9">
                  <c:v>0.89985239999999977</c:v>
                </c:pt>
                <c:pt idx="10">
                  <c:v>0.89983599999999975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PlotS!$AB$8:$AO$8</c:f>
              <c:numCache>
                <c:formatCode>General</c:formatCode>
                <c:ptCount val="14"/>
                <c:pt idx="0">
                  <c:v>3.3</c:v>
                </c:pt>
                <c:pt idx="1">
                  <c:v>3.3085649999999998</c:v>
                </c:pt>
                <c:pt idx="2">
                  <c:v>3.3171299999999997</c:v>
                </c:pt>
                <c:pt idx="3">
                  <c:v>3.3256949999999996</c:v>
                </c:pt>
                <c:pt idx="4">
                  <c:v>3.3342599999999996</c:v>
                </c:pt>
                <c:pt idx="5">
                  <c:v>3.3428249999999995</c:v>
                </c:pt>
                <c:pt idx="6">
                  <c:v>3.3513899999999994</c:v>
                </c:pt>
                <c:pt idx="7">
                  <c:v>3.3599549999999994</c:v>
                </c:pt>
                <c:pt idx="8">
                  <c:v>3.3685199999999993</c:v>
                </c:pt>
                <c:pt idx="9">
                  <c:v>3.3770849999999992</c:v>
                </c:pt>
                <c:pt idx="10">
                  <c:v>3.3856499999999992</c:v>
                </c:pt>
                <c:pt idx="11">
                  <c:v>3.3856499999999992</c:v>
                </c:pt>
                <c:pt idx="12">
                  <c:v>3.3</c:v>
                </c:pt>
                <c:pt idx="13">
                  <c:v>3.3</c:v>
                </c:pt>
              </c:numCache>
            </c:numRef>
          </c:xVal>
          <c:yVal>
            <c:numRef>
              <c:f>PlotS!$AR$8:$BE$8</c:f>
              <c:numCache>
                <c:formatCode>General</c:formatCode>
                <c:ptCount val="14"/>
                <c:pt idx="0">
                  <c:v>3.6</c:v>
                </c:pt>
                <c:pt idx="1">
                  <c:v>3.5129331000000001</c:v>
                </c:pt>
                <c:pt idx="2">
                  <c:v>3.4258662000000002</c:v>
                </c:pt>
                <c:pt idx="3">
                  <c:v>3.3387993000000002</c:v>
                </c:pt>
                <c:pt idx="4">
                  <c:v>3.2517324000000003</c:v>
                </c:pt>
                <c:pt idx="5">
                  <c:v>3.1646655000000004</c:v>
                </c:pt>
                <c:pt idx="6">
                  <c:v>3.0775986000000004</c:v>
                </c:pt>
                <c:pt idx="7">
                  <c:v>2.9905317000000005</c:v>
                </c:pt>
                <c:pt idx="8">
                  <c:v>2.9034648000000005</c:v>
                </c:pt>
                <c:pt idx="9">
                  <c:v>2.8163979000000006</c:v>
                </c:pt>
                <c:pt idx="10">
                  <c:v>2.7293310000000006</c:v>
                </c:pt>
                <c:pt idx="11">
                  <c:v>2.7293310000000006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PlotS!$AB$9:$AO$9</c:f>
              <c:numCache>
                <c:formatCode>General</c:formatCode>
                <c:ptCount val="14"/>
                <c:pt idx="0">
                  <c:v>4.5</c:v>
                </c:pt>
                <c:pt idx="1">
                  <c:v>4.4906002999999997</c:v>
                </c:pt>
                <c:pt idx="2">
                  <c:v>4.4812005999999993</c:v>
                </c:pt>
                <c:pt idx="3">
                  <c:v>4.471800899999999</c:v>
                </c:pt>
                <c:pt idx="4">
                  <c:v>4.4624011999999986</c:v>
                </c:pt>
                <c:pt idx="5">
                  <c:v>4.4530014999999983</c:v>
                </c:pt>
                <c:pt idx="6">
                  <c:v>4.4436017999999979</c:v>
                </c:pt>
                <c:pt idx="7">
                  <c:v>4.4342020999999976</c:v>
                </c:pt>
                <c:pt idx="8">
                  <c:v>4.4248023999999972</c:v>
                </c:pt>
                <c:pt idx="9">
                  <c:v>4.4154026999999969</c:v>
                </c:pt>
                <c:pt idx="10">
                  <c:v>4.4060029999999966</c:v>
                </c:pt>
                <c:pt idx="11">
                  <c:v>4.4060029999999966</c:v>
                </c:pt>
                <c:pt idx="12">
                  <c:v>4.5</c:v>
                </c:pt>
                <c:pt idx="13">
                  <c:v>4.5</c:v>
                </c:pt>
              </c:numCache>
            </c:numRef>
          </c:xVal>
          <c:yVal>
            <c:numRef>
              <c:f>PlotS!$AR$9:$BE$9</c:f>
              <c:numCache>
                <c:formatCode>General</c:formatCode>
                <c:ptCount val="14"/>
                <c:pt idx="0">
                  <c:v>3.6</c:v>
                </c:pt>
                <c:pt idx="1">
                  <c:v>3.5144827000000003</c:v>
                </c:pt>
                <c:pt idx="2">
                  <c:v>3.4289654000000001</c:v>
                </c:pt>
                <c:pt idx="3">
                  <c:v>3.3434480999999998</c:v>
                </c:pt>
                <c:pt idx="4">
                  <c:v>3.2579307999999996</c:v>
                </c:pt>
                <c:pt idx="5">
                  <c:v>3.1724134999999993</c:v>
                </c:pt>
                <c:pt idx="6">
                  <c:v>3.0868961999999991</c:v>
                </c:pt>
                <c:pt idx="7">
                  <c:v>3.0013788999999989</c:v>
                </c:pt>
                <c:pt idx="8">
                  <c:v>2.9158615999999986</c:v>
                </c:pt>
                <c:pt idx="9">
                  <c:v>2.8303442999999984</c:v>
                </c:pt>
                <c:pt idx="10">
                  <c:v>2.7448269999999981</c:v>
                </c:pt>
                <c:pt idx="11">
                  <c:v>2.7448269999999981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PlotS!$AB$10:$AO$10</c:f>
              <c:numCache>
                <c:formatCode>General</c:formatCode>
                <c:ptCount val="14"/>
                <c:pt idx="0">
                  <c:v>2.5508169999999999</c:v>
                </c:pt>
                <c:pt idx="1">
                  <c:v>2.6857352999999997</c:v>
                </c:pt>
                <c:pt idx="2">
                  <c:v>2.8206535999999995</c:v>
                </c:pt>
                <c:pt idx="3">
                  <c:v>2.9555718999999994</c:v>
                </c:pt>
                <c:pt idx="4">
                  <c:v>3.0904901999999992</c:v>
                </c:pt>
                <c:pt idx="5">
                  <c:v>3.225408499999999</c:v>
                </c:pt>
                <c:pt idx="6">
                  <c:v>3.3603267999999988</c:v>
                </c:pt>
                <c:pt idx="7">
                  <c:v>3.4952450999999987</c:v>
                </c:pt>
                <c:pt idx="8">
                  <c:v>3.6301633999999985</c:v>
                </c:pt>
                <c:pt idx="9">
                  <c:v>3.7650816999999983</c:v>
                </c:pt>
                <c:pt idx="10">
                  <c:v>3.8999999999999981</c:v>
                </c:pt>
                <c:pt idx="11">
                  <c:v>3.8999999999999981</c:v>
                </c:pt>
                <c:pt idx="12">
                  <c:v>2.5508169999999999</c:v>
                </c:pt>
                <c:pt idx="13">
                  <c:v>2.5508169999999999</c:v>
                </c:pt>
              </c:numCache>
            </c:numRef>
          </c:xVal>
          <c:yVal>
            <c:numRef>
              <c:f>PlotS!$AR$10:$BE$10</c:f>
              <c:numCache>
                <c:formatCode>General</c:formatCode>
                <c:ptCount val="14"/>
                <c:pt idx="0">
                  <c:v>0.89983599999999997</c:v>
                </c:pt>
                <c:pt idx="1">
                  <c:v>0.8998524</c:v>
                </c:pt>
                <c:pt idx="2">
                  <c:v>0.89986880000000002</c:v>
                </c:pt>
                <c:pt idx="3">
                  <c:v>0.89988520000000005</c:v>
                </c:pt>
                <c:pt idx="4">
                  <c:v>0.89990160000000008</c:v>
                </c:pt>
                <c:pt idx="5">
                  <c:v>0.89991800000000011</c:v>
                </c:pt>
                <c:pt idx="6">
                  <c:v>0.89993440000000013</c:v>
                </c:pt>
                <c:pt idx="7">
                  <c:v>0.89995080000000016</c:v>
                </c:pt>
                <c:pt idx="8">
                  <c:v>0.89996720000000019</c:v>
                </c:pt>
                <c:pt idx="9">
                  <c:v>0.89998360000000022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0.89983599999999997</c:v>
                </c:pt>
              </c:numCache>
            </c:numRef>
          </c:yVal>
          <c:smooth val="0"/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PlotS!$AB$11:$AO$11</c:f>
              <c:numCache>
                <c:formatCode>General</c:formatCode>
                <c:ptCount val="14"/>
                <c:pt idx="0">
                  <c:v>5.2717559999999999</c:v>
                </c:pt>
                <c:pt idx="1">
                  <c:v>5.6145803999999995</c:v>
                </c:pt>
                <c:pt idx="2">
                  <c:v>5.9574047999999991</c:v>
                </c:pt>
                <c:pt idx="3">
                  <c:v>6.3002291999999986</c:v>
                </c:pt>
                <c:pt idx="4">
                  <c:v>6.6430535999999982</c:v>
                </c:pt>
                <c:pt idx="5">
                  <c:v>6.9858779999999978</c:v>
                </c:pt>
                <c:pt idx="6">
                  <c:v>7.3287023999999974</c:v>
                </c:pt>
                <c:pt idx="7">
                  <c:v>7.671526799999997</c:v>
                </c:pt>
                <c:pt idx="8">
                  <c:v>8.0143511999999966</c:v>
                </c:pt>
                <c:pt idx="9">
                  <c:v>8.3571755999999962</c:v>
                </c:pt>
                <c:pt idx="10">
                  <c:v>8.6999999999999957</c:v>
                </c:pt>
                <c:pt idx="11">
                  <c:v>8.6999999999999957</c:v>
                </c:pt>
                <c:pt idx="12">
                  <c:v>5.2717559999999999</c:v>
                </c:pt>
                <c:pt idx="13">
                  <c:v>5.2717559999999999</c:v>
                </c:pt>
              </c:numCache>
            </c:numRef>
          </c:xVal>
          <c:yVal>
            <c:numRef>
              <c:f>PlotS!$AR$11:$BE$11</c:f>
              <c:numCache>
                <c:formatCode>General</c:formatCode>
                <c:ptCount val="14"/>
                <c:pt idx="0">
                  <c:v>0.89983599999999997</c:v>
                </c:pt>
                <c:pt idx="1">
                  <c:v>0.8998524</c:v>
                </c:pt>
                <c:pt idx="2">
                  <c:v>0.89986880000000002</c:v>
                </c:pt>
                <c:pt idx="3">
                  <c:v>0.89988520000000005</c:v>
                </c:pt>
                <c:pt idx="4">
                  <c:v>0.89990160000000008</c:v>
                </c:pt>
                <c:pt idx="5">
                  <c:v>0.89991800000000011</c:v>
                </c:pt>
                <c:pt idx="6">
                  <c:v>0.89993440000000013</c:v>
                </c:pt>
                <c:pt idx="7">
                  <c:v>0.89995080000000016</c:v>
                </c:pt>
                <c:pt idx="8">
                  <c:v>0.89996720000000019</c:v>
                </c:pt>
                <c:pt idx="9">
                  <c:v>0.89998360000000022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0.89983599999999997</c:v>
                </c:pt>
              </c:numCache>
            </c:numRef>
          </c:yVal>
          <c:smooth val="0"/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PlotS!$AB$12:$AO$12</c:f>
              <c:numCache>
                <c:formatCode>General</c:formatCode>
                <c:ptCount val="14"/>
                <c:pt idx="0">
                  <c:v>3.38565</c:v>
                </c:pt>
                <c:pt idx="1">
                  <c:v>3.4370850000000002</c:v>
                </c:pt>
                <c:pt idx="2">
                  <c:v>3.4885200000000003</c:v>
                </c:pt>
                <c:pt idx="3">
                  <c:v>3.5399550000000004</c:v>
                </c:pt>
                <c:pt idx="4">
                  <c:v>3.5913900000000005</c:v>
                </c:pt>
                <c:pt idx="5">
                  <c:v>3.6428250000000006</c:v>
                </c:pt>
                <c:pt idx="6">
                  <c:v>3.6942600000000008</c:v>
                </c:pt>
                <c:pt idx="7">
                  <c:v>3.7456950000000009</c:v>
                </c:pt>
                <c:pt idx="8">
                  <c:v>3.797130000000001</c:v>
                </c:pt>
                <c:pt idx="9">
                  <c:v>3.8485650000000011</c:v>
                </c:pt>
                <c:pt idx="10">
                  <c:v>3.9000000000000012</c:v>
                </c:pt>
                <c:pt idx="11">
                  <c:v>3.9000000000000012</c:v>
                </c:pt>
                <c:pt idx="12">
                  <c:v>3.38565</c:v>
                </c:pt>
                <c:pt idx="13">
                  <c:v>3.38565</c:v>
                </c:pt>
              </c:numCache>
            </c:numRef>
          </c:xVal>
          <c:yVal>
            <c:numRef>
              <c:f>PlotS!$AR$12:$BE$12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2.2463979000000003</c:v>
                </c:pt>
                <c:pt idx="2">
                  <c:v>1.7634648000000002</c:v>
                </c:pt>
                <c:pt idx="3">
                  <c:v>1.2805317000000001</c:v>
                </c:pt>
                <c:pt idx="4">
                  <c:v>0.79759859999999994</c:v>
                </c:pt>
                <c:pt idx="5">
                  <c:v>0.31466549999999988</c:v>
                </c:pt>
                <c:pt idx="6">
                  <c:v>-0.16826760000000018</c:v>
                </c:pt>
                <c:pt idx="7">
                  <c:v>-0.65120070000000019</c:v>
                </c:pt>
                <c:pt idx="8">
                  <c:v>-1.1341338000000003</c:v>
                </c:pt>
                <c:pt idx="9">
                  <c:v>-1.6170669000000004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PlotS!$AB$13:$AO$13</c:f>
              <c:numCache>
                <c:formatCode>General</c:formatCode>
                <c:ptCount val="14"/>
                <c:pt idx="0">
                  <c:v>4.4060030000000001</c:v>
                </c:pt>
                <c:pt idx="1">
                  <c:v>4.3554027</c:v>
                </c:pt>
                <c:pt idx="2">
                  <c:v>4.3048023999999998</c:v>
                </c:pt>
                <c:pt idx="3">
                  <c:v>4.2542020999999997</c:v>
                </c:pt>
                <c:pt idx="4">
                  <c:v>4.2036017999999995</c:v>
                </c:pt>
                <c:pt idx="5">
                  <c:v>4.1530014999999993</c:v>
                </c:pt>
                <c:pt idx="6">
                  <c:v>4.1024011999999992</c:v>
                </c:pt>
                <c:pt idx="7">
                  <c:v>4.051800899999999</c:v>
                </c:pt>
                <c:pt idx="8">
                  <c:v>4.0012005999999989</c:v>
                </c:pt>
                <c:pt idx="9">
                  <c:v>3.9506002999999987</c:v>
                </c:pt>
                <c:pt idx="10">
                  <c:v>3.8999999999999986</c:v>
                </c:pt>
                <c:pt idx="11">
                  <c:v>3.8999999999999986</c:v>
                </c:pt>
                <c:pt idx="12">
                  <c:v>4.4060030000000001</c:v>
                </c:pt>
                <c:pt idx="13">
                  <c:v>4.4060030000000001</c:v>
                </c:pt>
              </c:numCache>
            </c:numRef>
          </c:xVal>
          <c:yVal>
            <c:numRef>
              <c:f>PlotS!$AR$13:$BE$13</c:f>
              <c:numCache>
                <c:formatCode>General</c:formatCode>
                <c:ptCount val="14"/>
                <c:pt idx="0">
                  <c:v>2.7448269999999999</c:v>
                </c:pt>
                <c:pt idx="1">
                  <c:v>2.2603442999999999</c:v>
                </c:pt>
                <c:pt idx="2">
                  <c:v>1.7758615999999998</c:v>
                </c:pt>
                <c:pt idx="3">
                  <c:v>1.2913788999999998</c:v>
                </c:pt>
                <c:pt idx="4">
                  <c:v>0.80689619999999973</c:v>
                </c:pt>
                <c:pt idx="5">
                  <c:v>0.32241349999999969</c:v>
                </c:pt>
                <c:pt idx="6">
                  <c:v>-0.16206920000000036</c:v>
                </c:pt>
                <c:pt idx="7">
                  <c:v>-0.6465519000000004</c:v>
                </c:pt>
                <c:pt idx="8">
                  <c:v>-1.1310346000000004</c:v>
                </c:pt>
                <c:pt idx="9">
                  <c:v>-1.6155173000000005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2.7448269999999999</c:v>
                </c:pt>
                <c:pt idx="13">
                  <c:v>2.7448269999999999</c:v>
                </c:pt>
              </c:numCache>
            </c:numRef>
          </c:yVal>
          <c:smooth val="0"/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PlotS!$AB$14:$AO$14</c:f>
              <c:numCache>
                <c:formatCode>General</c:formatCode>
                <c:ptCount val="14"/>
                <c:pt idx="0">
                  <c:v>3.38565</c:v>
                </c:pt>
                <c:pt idx="1">
                  <c:v>3.3021666999999999</c:v>
                </c:pt>
                <c:pt idx="2">
                  <c:v>3.2186833999999998</c:v>
                </c:pt>
                <c:pt idx="3">
                  <c:v>3.1352000999999996</c:v>
                </c:pt>
                <c:pt idx="4">
                  <c:v>3.0517167999999995</c:v>
                </c:pt>
                <c:pt idx="5">
                  <c:v>2.9682334999999993</c:v>
                </c:pt>
                <c:pt idx="6">
                  <c:v>2.8847501999999992</c:v>
                </c:pt>
                <c:pt idx="7">
                  <c:v>2.801266899999999</c:v>
                </c:pt>
                <c:pt idx="8">
                  <c:v>2.7177835999999989</c:v>
                </c:pt>
                <c:pt idx="9">
                  <c:v>2.6343002999999987</c:v>
                </c:pt>
                <c:pt idx="10">
                  <c:v>2.5508169999999986</c:v>
                </c:pt>
                <c:pt idx="11">
                  <c:v>2.5508169999999986</c:v>
                </c:pt>
                <c:pt idx="12">
                  <c:v>3.38565</c:v>
                </c:pt>
                <c:pt idx="13">
                  <c:v>3.38565</c:v>
                </c:pt>
              </c:numCache>
            </c:numRef>
          </c:xVal>
          <c:yVal>
            <c:numRef>
              <c:f>PlotS!$AR$14:$BE$14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2.5463815000000003</c:v>
                </c:pt>
                <c:pt idx="2">
                  <c:v>2.3634320000000004</c:v>
                </c:pt>
                <c:pt idx="3">
                  <c:v>2.1804825000000005</c:v>
                </c:pt>
                <c:pt idx="4">
                  <c:v>1.9975330000000004</c:v>
                </c:pt>
                <c:pt idx="5">
                  <c:v>1.8145835000000003</c:v>
                </c:pt>
                <c:pt idx="6">
                  <c:v>1.6316340000000003</c:v>
                </c:pt>
                <c:pt idx="7">
                  <c:v>1.4486845000000002</c:v>
                </c:pt>
                <c:pt idx="8">
                  <c:v>1.2657350000000001</c:v>
                </c:pt>
                <c:pt idx="9">
                  <c:v>1.0827855</c:v>
                </c:pt>
                <c:pt idx="10">
                  <c:v>0.89983599999999986</c:v>
                </c:pt>
                <c:pt idx="11">
                  <c:v>0.89983599999999986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PlotS!$AB$15:$AO$15</c:f>
              <c:numCache>
                <c:formatCode>General</c:formatCode>
                <c:ptCount val="14"/>
                <c:pt idx="0">
                  <c:v>4.4060030000000001</c:v>
                </c:pt>
                <c:pt idx="1">
                  <c:v>4.4925782999999999</c:v>
                </c:pt>
                <c:pt idx="2">
                  <c:v>4.5791535999999997</c:v>
                </c:pt>
                <c:pt idx="3">
                  <c:v>4.6657288999999995</c:v>
                </c:pt>
                <c:pt idx="4">
                  <c:v>4.7523041999999993</c:v>
                </c:pt>
                <c:pt idx="5">
                  <c:v>4.8388794999999991</c:v>
                </c:pt>
                <c:pt idx="6">
                  <c:v>4.9254547999999989</c:v>
                </c:pt>
                <c:pt idx="7">
                  <c:v>5.0120300999999987</c:v>
                </c:pt>
                <c:pt idx="8">
                  <c:v>5.0986053999999985</c:v>
                </c:pt>
                <c:pt idx="9">
                  <c:v>5.1851806999999983</c:v>
                </c:pt>
                <c:pt idx="10">
                  <c:v>5.2717559999999981</c:v>
                </c:pt>
                <c:pt idx="11">
                  <c:v>5.2717559999999981</c:v>
                </c:pt>
                <c:pt idx="12">
                  <c:v>4.4060030000000001</c:v>
                </c:pt>
                <c:pt idx="13">
                  <c:v>4.4060030000000001</c:v>
                </c:pt>
              </c:numCache>
            </c:numRef>
          </c:xVal>
          <c:yVal>
            <c:numRef>
              <c:f>PlotS!$AR$15:$BE$15</c:f>
              <c:numCache>
                <c:formatCode>General</c:formatCode>
                <c:ptCount val="14"/>
                <c:pt idx="0">
                  <c:v>2.7448269999999999</c:v>
                </c:pt>
                <c:pt idx="1">
                  <c:v>2.5603278999999999</c:v>
                </c:pt>
                <c:pt idx="2">
                  <c:v>2.3758287999999999</c:v>
                </c:pt>
                <c:pt idx="3">
                  <c:v>2.1913296999999998</c:v>
                </c:pt>
                <c:pt idx="4">
                  <c:v>2.0068305999999998</c:v>
                </c:pt>
                <c:pt idx="5">
                  <c:v>1.8223314999999998</c:v>
                </c:pt>
                <c:pt idx="6">
                  <c:v>1.6378323999999997</c:v>
                </c:pt>
                <c:pt idx="7">
                  <c:v>1.4533332999999997</c:v>
                </c:pt>
                <c:pt idx="8">
                  <c:v>1.2688341999999997</c:v>
                </c:pt>
                <c:pt idx="9">
                  <c:v>1.0843350999999997</c:v>
                </c:pt>
                <c:pt idx="10">
                  <c:v>0.89983599999999964</c:v>
                </c:pt>
                <c:pt idx="11">
                  <c:v>0.89983599999999964</c:v>
                </c:pt>
                <c:pt idx="12">
                  <c:v>2.7448269999999999</c:v>
                </c:pt>
                <c:pt idx="13">
                  <c:v>2.7448269999999999</c:v>
                </c:pt>
              </c:numCache>
            </c:numRef>
          </c:yVal>
          <c:smooth val="0"/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PlotS!$AB$16:$AO$16</c:f>
              <c:numCache>
                <c:formatCode>General</c:formatCode>
                <c:ptCount val="14"/>
                <c:pt idx="0">
                  <c:v>-6.45</c:v>
                </c:pt>
                <c:pt idx="1">
                  <c:v>-6.3900000000000006</c:v>
                </c:pt>
                <c:pt idx="2">
                  <c:v>-6.33</c:v>
                </c:pt>
                <c:pt idx="3">
                  <c:v>-6.27</c:v>
                </c:pt>
                <c:pt idx="4">
                  <c:v>-6.2099999999999991</c:v>
                </c:pt>
                <c:pt idx="5">
                  <c:v>-6.1499999999999986</c:v>
                </c:pt>
                <c:pt idx="6">
                  <c:v>-6.0899999999999981</c:v>
                </c:pt>
                <c:pt idx="7">
                  <c:v>-6.0299999999999976</c:v>
                </c:pt>
                <c:pt idx="8">
                  <c:v>-5.9699999999999971</c:v>
                </c:pt>
                <c:pt idx="9">
                  <c:v>-5.9099999999999966</c:v>
                </c:pt>
                <c:pt idx="10">
                  <c:v>-5.8499999999999961</c:v>
                </c:pt>
                <c:pt idx="11">
                  <c:v>-5.8499999999999961</c:v>
                </c:pt>
                <c:pt idx="12">
                  <c:v>-6.45</c:v>
                </c:pt>
                <c:pt idx="13">
                  <c:v>-6.45</c:v>
                </c:pt>
              </c:numCache>
            </c:numRef>
          </c:xVal>
          <c:yVal>
            <c:numRef>
              <c:f>PlotS!$AR$16:$BE$16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PlotS!$AB$17:$AO$17</c:f>
              <c:numCache>
                <c:formatCode>General</c:formatCode>
                <c:ptCount val="14"/>
                <c:pt idx="0">
                  <c:v>-5.85</c:v>
                </c:pt>
                <c:pt idx="1">
                  <c:v>-5.6999999999999993</c:v>
                </c:pt>
                <c:pt idx="2">
                  <c:v>-5.5499999999999989</c:v>
                </c:pt>
                <c:pt idx="3">
                  <c:v>-5.3999999999999986</c:v>
                </c:pt>
                <c:pt idx="4">
                  <c:v>-5.2499999999999982</c:v>
                </c:pt>
                <c:pt idx="5">
                  <c:v>-5.0999999999999979</c:v>
                </c:pt>
                <c:pt idx="6">
                  <c:v>-4.9499999999999975</c:v>
                </c:pt>
                <c:pt idx="7">
                  <c:v>-4.7999999999999972</c:v>
                </c:pt>
                <c:pt idx="8">
                  <c:v>-4.6499999999999968</c:v>
                </c:pt>
                <c:pt idx="9">
                  <c:v>-4.4999999999999964</c:v>
                </c:pt>
                <c:pt idx="10">
                  <c:v>-4.3499999999999961</c:v>
                </c:pt>
                <c:pt idx="11">
                  <c:v>-4.3499999999999961</c:v>
                </c:pt>
                <c:pt idx="12">
                  <c:v>-5.85</c:v>
                </c:pt>
                <c:pt idx="13">
                  <c:v>-5.85</c:v>
                </c:pt>
              </c:numCache>
            </c:numRef>
          </c:xVal>
          <c:yVal>
            <c:numRef>
              <c:f>PlotS!$AR$17:$BE$17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PlotS!$AB$18:$AO$18</c:f>
              <c:numCache>
                <c:formatCode>General</c:formatCode>
                <c:ptCount val="14"/>
                <c:pt idx="0">
                  <c:v>-4.3499999999999996</c:v>
                </c:pt>
                <c:pt idx="1">
                  <c:v>-4.29</c:v>
                </c:pt>
                <c:pt idx="2">
                  <c:v>-4.2300000000000004</c:v>
                </c:pt>
                <c:pt idx="3">
                  <c:v>-4.1700000000000008</c:v>
                </c:pt>
                <c:pt idx="4">
                  <c:v>-4.1100000000000012</c:v>
                </c:pt>
                <c:pt idx="5">
                  <c:v>-4.0500000000000016</c:v>
                </c:pt>
                <c:pt idx="6">
                  <c:v>-3.9900000000000015</c:v>
                </c:pt>
                <c:pt idx="7">
                  <c:v>-3.9300000000000015</c:v>
                </c:pt>
                <c:pt idx="8">
                  <c:v>-3.8700000000000014</c:v>
                </c:pt>
                <c:pt idx="9">
                  <c:v>-3.8100000000000014</c:v>
                </c:pt>
                <c:pt idx="10">
                  <c:v>-3.7500000000000013</c:v>
                </c:pt>
                <c:pt idx="11">
                  <c:v>-3.7500000000000013</c:v>
                </c:pt>
                <c:pt idx="12">
                  <c:v>-4.3499999999999996</c:v>
                </c:pt>
                <c:pt idx="13">
                  <c:v>-4.3499999999999996</c:v>
                </c:pt>
              </c:numCache>
            </c:numRef>
          </c:xVal>
          <c:yVal>
            <c:numRef>
              <c:f>PlotS!$AR$18:$BE$18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PlotS!$AB$19:$AO$19</c:f>
              <c:numCache>
                <c:formatCode>General</c:formatCode>
                <c:ptCount val="14"/>
                <c:pt idx="0">
                  <c:v>-5.55</c:v>
                </c:pt>
                <c:pt idx="1">
                  <c:v>-5.58</c:v>
                </c:pt>
                <c:pt idx="2">
                  <c:v>-5.61</c:v>
                </c:pt>
                <c:pt idx="3">
                  <c:v>-5.6400000000000006</c:v>
                </c:pt>
                <c:pt idx="4">
                  <c:v>-5.6700000000000008</c:v>
                </c:pt>
                <c:pt idx="5">
                  <c:v>-5.7000000000000011</c:v>
                </c:pt>
                <c:pt idx="6">
                  <c:v>-5.7300000000000013</c:v>
                </c:pt>
                <c:pt idx="7">
                  <c:v>-5.7600000000000016</c:v>
                </c:pt>
                <c:pt idx="8">
                  <c:v>-5.7900000000000018</c:v>
                </c:pt>
                <c:pt idx="9">
                  <c:v>-5.8200000000000021</c:v>
                </c:pt>
                <c:pt idx="10">
                  <c:v>-5.8500000000000023</c:v>
                </c:pt>
                <c:pt idx="11">
                  <c:v>-5.8500000000000023</c:v>
                </c:pt>
                <c:pt idx="12">
                  <c:v>-5.55</c:v>
                </c:pt>
                <c:pt idx="13">
                  <c:v>-5.55</c:v>
                </c:pt>
              </c:numCache>
            </c:numRef>
          </c:xVal>
          <c:yVal>
            <c:numRef>
              <c:f>PlotS!$AR$19:$BE$19</c:f>
              <c:numCache>
                <c:formatCode>General</c:formatCode>
                <c:ptCount val="14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  <c:pt idx="11">
                  <c:v>0.90000000000000036</c:v>
                </c:pt>
                <c:pt idx="12">
                  <c:v>2.85</c:v>
                </c:pt>
                <c:pt idx="13">
                  <c:v>2.85</c:v>
                </c:pt>
              </c:numCache>
            </c:numRef>
          </c:yVal>
          <c:smooth val="0"/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PlotS!$AB$20:$AO$20</c:f>
              <c:numCache>
                <c:formatCode>General</c:formatCode>
                <c:ptCount val="14"/>
                <c:pt idx="0">
                  <c:v>-4.6500000000000004</c:v>
                </c:pt>
                <c:pt idx="1">
                  <c:v>-4.62</c:v>
                </c:pt>
                <c:pt idx="2">
                  <c:v>-4.59</c:v>
                </c:pt>
                <c:pt idx="3">
                  <c:v>-4.5599999999999996</c:v>
                </c:pt>
                <c:pt idx="4">
                  <c:v>-4.5299999999999994</c:v>
                </c:pt>
                <c:pt idx="5">
                  <c:v>-4.4999999999999991</c:v>
                </c:pt>
                <c:pt idx="6">
                  <c:v>-4.4699999999999989</c:v>
                </c:pt>
                <c:pt idx="7">
                  <c:v>-4.4399999999999986</c:v>
                </c:pt>
                <c:pt idx="8">
                  <c:v>-4.4099999999999984</c:v>
                </c:pt>
                <c:pt idx="9">
                  <c:v>-4.3799999999999981</c:v>
                </c:pt>
                <c:pt idx="10">
                  <c:v>-4.3499999999999979</c:v>
                </c:pt>
                <c:pt idx="11">
                  <c:v>-4.3499999999999979</c:v>
                </c:pt>
                <c:pt idx="12">
                  <c:v>-4.6500000000000004</c:v>
                </c:pt>
                <c:pt idx="13">
                  <c:v>-4.6500000000000004</c:v>
                </c:pt>
              </c:numCache>
            </c:numRef>
          </c:xVal>
          <c:yVal>
            <c:numRef>
              <c:f>PlotS!$AR$20:$BE$20</c:f>
              <c:numCache>
                <c:formatCode>General</c:formatCode>
                <c:ptCount val="14"/>
                <c:pt idx="0">
                  <c:v>2.85</c:v>
                </c:pt>
                <c:pt idx="1">
                  <c:v>2.6550000000000002</c:v>
                </c:pt>
                <c:pt idx="2">
                  <c:v>2.4600000000000004</c:v>
                </c:pt>
                <c:pt idx="3">
                  <c:v>2.2650000000000006</c:v>
                </c:pt>
                <c:pt idx="4">
                  <c:v>2.0700000000000007</c:v>
                </c:pt>
                <c:pt idx="5">
                  <c:v>1.8750000000000007</c:v>
                </c:pt>
                <c:pt idx="6">
                  <c:v>1.6800000000000006</c:v>
                </c:pt>
                <c:pt idx="7">
                  <c:v>1.4850000000000005</c:v>
                </c:pt>
                <c:pt idx="8">
                  <c:v>1.2900000000000005</c:v>
                </c:pt>
                <c:pt idx="9">
                  <c:v>1.0950000000000004</c:v>
                </c:pt>
                <c:pt idx="10">
                  <c:v>0.90000000000000036</c:v>
                </c:pt>
                <c:pt idx="11">
                  <c:v>0.90000000000000036</c:v>
                </c:pt>
                <c:pt idx="12">
                  <c:v>2.85</c:v>
                </c:pt>
                <c:pt idx="13">
                  <c:v>2.85</c:v>
                </c:pt>
              </c:numCache>
            </c:numRef>
          </c:yVal>
          <c:smooth val="0"/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PlotS!$AB$21:$AO$21</c:f>
              <c:numCache>
                <c:formatCode>General</c:formatCode>
                <c:ptCount val="14"/>
                <c:pt idx="0">
                  <c:v>8.6999999999999993</c:v>
                </c:pt>
                <c:pt idx="1">
                  <c:v>9.0449999999999999</c:v>
                </c:pt>
                <c:pt idx="2">
                  <c:v>9.39</c:v>
                </c:pt>
                <c:pt idx="3">
                  <c:v>9.7350000000000012</c:v>
                </c:pt>
                <c:pt idx="4">
                  <c:v>10.080000000000002</c:v>
                </c:pt>
                <c:pt idx="5">
                  <c:v>10.425000000000002</c:v>
                </c:pt>
                <c:pt idx="6">
                  <c:v>10.770000000000003</c:v>
                </c:pt>
                <c:pt idx="7">
                  <c:v>11.115000000000004</c:v>
                </c:pt>
                <c:pt idx="8">
                  <c:v>11.460000000000004</c:v>
                </c:pt>
                <c:pt idx="9">
                  <c:v>11.805000000000005</c:v>
                </c:pt>
                <c:pt idx="10">
                  <c:v>12.150000000000006</c:v>
                </c:pt>
                <c:pt idx="11">
                  <c:v>12.150000000000006</c:v>
                </c:pt>
                <c:pt idx="12">
                  <c:v>8.6999999999999993</c:v>
                </c:pt>
                <c:pt idx="13">
                  <c:v>8.6999999999999993</c:v>
                </c:pt>
              </c:numCache>
            </c:numRef>
          </c:xVal>
          <c:yVal>
            <c:numRef>
              <c:f>PlotS!$AR$21:$BE$21</c:f>
              <c:numCache>
                <c:formatCode>General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PlotS!$AB$22:$AO$22</c:f>
              <c:numCache>
                <c:formatCode>General</c:formatCode>
                <c:ptCount val="14"/>
                <c:pt idx="0">
                  <c:v>3.38565</c:v>
                </c:pt>
                <c:pt idx="1">
                  <c:v>3.4876852999999999</c:v>
                </c:pt>
                <c:pt idx="2">
                  <c:v>3.5897205999999997</c:v>
                </c:pt>
                <c:pt idx="3">
                  <c:v>3.6917558999999995</c:v>
                </c:pt>
                <c:pt idx="4">
                  <c:v>3.7937911999999994</c:v>
                </c:pt>
                <c:pt idx="5">
                  <c:v>3.8958264999999992</c:v>
                </c:pt>
                <c:pt idx="6">
                  <c:v>3.997861799999999</c:v>
                </c:pt>
                <c:pt idx="7">
                  <c:v>4.0998970999999989</c:v>
                </c:pt>
                <c:pt idx="8">
                  <c:v>4.2019323999999987</c:v>
                </c:pt>
                <c:pt idx="9">
                  <c:v>4.3039676999999985</c:v>
                </c:pt>
                <c:pt idx="10">
                  <c:v>4.4060029999999983</c:v>
                </c:pt>
                <c:pt idx="11">
                  <c:v>4.4060029999999983</c:v>
                </c:pt>
                <c:pt idx="12">
                  <c:v>3.38565</c:v>
                </c:pt>
                <c:pt idx="13">
                  <c:v>3.38565</c:v>
                </c:pt>
              </c:numCache>
            </c:numRef>
          </c:xVal>
          <c:yVal>
            <c:numRef>
              <c:f>PlotS!$AR$22:$BE$22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2.7308806000000003</c:v>
                </c:pt>
                <c:pt idx="2">
                  <c:v>2.7324302000000005</c:v>
                </c:pt>
                <c:pt idx="3">
                  <c:v>2.7339798000000006</c:v>
                </c:pt>
                <c:pt idx="4">
                  <c:v>2.7355294000000008</c:v>
                </c:pt>
                <c:pt idx="5">
                  <c:v>2.7370790000000009</c:v>
                </c:pt>
                <c:pt idx="6">
                  <c:v>2.7386286000000011</c:v>
                </c:pt>
                <c:pt idx="7">
                  <c:v>2.7401782000000012</c:v>
                </c:pt>
                <c:pt idx="8">
                  <c:v>2.7417278000000014</c:v>
                </c:pt>
                <c:pt idx="9">
                  <c:v>2.7432774000000015</c:v>
                </c:pt>
                <c:pt idx="10">
                  <c:v>2.7448270000000017</c:v>
                </c:pt>
                <c:pt idx="11">
                  <c:v>2.7448270000000017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PlotS!$AB$23:$AO$23</c:f>
              <c:numCache>
                <c:formatCode>General</c:formatCode>
                <c:ptCount val="14"/>
                <c:pt idx="0">
                  <c:v>12.15</c:v>
                </c:pt>
                <c:pt idx="1">
                  <c:v>12.4950817</c:v>
                </c:pt>
                <c:pt idx="2">
                  <c:v>12.8401634</c:v>
                </c:pt>
                <c:pt idx="3">
                  <c:v>13.185245099999999</c:v>
                </c:pt>
                <c:pt idx="4">
                  <c:v>13.530326799999999</c:v>
                </c:pt>
                <c:pt idx="5">
                  <c:v>13.875408499999999</c:v>
                </c:pt>
                <c:pt idx="6">
                  <c:v>14.220490199999999</c:v>
                </c:pt>
                <c:pt idx="7">
                  <c:v>14.565571899999998</c:v>
                </c:pt>
                <c:pt idx="8">
                  <c:v>14.910653599999998</c:v>
                </c:pt>
                <c:pt idx="9">
                  <c:v>15.255735299999998</c:v>
                </c:pt>
                <c:pt idx="10">
                  <c:v>15.600816999999997</c:v>
                </c:pt>
                <c:pt idx="11">
                  <c:v>15.600816999999997</c:v>
                </c:pt>
                <c:pt idx="12">
                  <c:v>12.15</c:v>
                </c:pt>
                <c:pt idx="13">
                  <c:v>12.15</c:v>
                </c:pt>
              </c:numCache>
            </c:numRef>
          </c:xVal>
          <c:yVal>
            <c:numRef>
              <c:f>PlotS!$AR$23:$BE$23</c:f>
              <c:numCache>
                <c:formatCode>General</c:formatCode>
                <c:ptCount val="14"/>
                <c:pt idx="0">
                  <c:v>0.9</c:v>
                </c:pt>
                <c:pt idx="1">
                  <c:v>0.89998359999999999</c:v>
                </c:pt>
                <c:pt idx="2">
                  <c:v>0.89996719999999997</c:v>
                </c:pt>
                <c:pt idx="3">
                  <c:v>0.89995079999999994</c:v>
                </c:pt>
                <c:pt idx="4">
                  <c:v>0.89993439999999991</c:v>
                </c:pt>
                <c:pt idx="5">
                  <c:v>0.89991799999999988</c:v>
                </c:pt>
                <c:pt idx="6">
                  <c:v>0.89990159999999986</c:v>
                </c:pt>
                <c:pt idx="7">
                  <c:v>0.89988519999999983</c:v>
                </c:pt>
                <c:pt idx="8">
                  <c:v>0.8998687999999998</c:v>
                </c:pt>
                <c:pt idx="9">
                  <c:v>0.89985239999999977</c:v>
                </c:pt>
                <c:pt idx="10">
                  <c:v>0.89983599999999975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PlotS!$AB$24:$AO$24</c:f>
              <c:numCache>
                <c:formatCode>General</c:formatCode>
                <c:ptCount val="14"/>
                <c:pt idx="0">
                  <c:v>12.15</c:v>
                </c:pt>
                <c:pt idx="1">
                  <c:v>12.6300001</c:v>
                </c:pt>
                <c:pt idx="2">
                  <c:v>13.1100002</c:v>
                </c:pt>
                <c:pt idx="3">
                  <c:v>13.5900003</c:v>
                </c:pt>
                <c:pt idx="4">
                  <c:v>14.0700004</c:v>
                </c:pt>
                <c:pt idx="5">
                  <c:v>14.550000499999999</c:v>
                </c:pt>
                <c:pt idx="6">
                  <c:v>15.030000599999999</c:v>
                </c:pt>
                <c:pt idx="7">
                  <c:v>15.510000699999999</c:v>
                </c:pt>
                <c:pt idx="8">
                  <c:v>15.990000799999999</c:v>
                </c:pt>
                <c:pt idx="9">
                  <c:v>16.470000899999999</c:v>
                </c:pt>
                <c:pt idx="10">
                  <c:v>16.950001</c:v>
                </c:pt>
                <c:pt idx="11">
                  <c:v>16.950001</c:v>
                </c:pt>
                <c:pt idx="12">
                  <c:v>12.15</c:v>
                </c:pt>
                <c:pt idx="13">
                  <c:v>12.15</c:v>
                </c:pt>
              </c:numCache>
            </c:numRef>
          </c:xVal>
          <c:yVal>
            <c:numRef>
              <c:f>PlotS!$AR$24:$BE$24</c:f>
              <c:numCache>
                <c:formatCode>General</c:formatCode>
                <c:ptCount val="14"/>
                <c:pt idx="0">
                  <c:v>0.9</c:v>
                </c:pt>
                <c:pt idx="1">
                  <c:v>0.6</c:v>
                </c:pt>
                <c:pt idx="2">
                  <c:v>0.29999999999999993</c:v>
                </c:pt>
                <c:pt idx="3">
                  <c:v>-1.1102230246251565E-16</c:v>
                </c:pt>
                <c:pt idx="4">
                  <c:v>-0.30000000000000016</c:v>
                </c:pt>
                <c:pt idx="5">
                  <c:v>-0.6000000000000002</c:v>
                </c:pt>
                <c:pt idx="6">
                  <c:v>-0.90000000000000024</c:v>
                </c:pt>
                <c:pt idx="7">
                  <c:v>-1.2000000000000002</c:v>
                </c:pt>
                <c:pt idx="8">
                  <c:v>-1.5000000000000002</c:v>
                </c:pt>
                <c:pt idx="9">
                  <c:v>-1.8000000000000003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PlotS!$AB$25:$AO$25</c:f>
              <c:numCache>
                <c:formatCode>General</c:formatCode>
                <c:ptCount val="14"/>
                <c:pt idx="0">
                  <c:v>21.75</c:v>
                </c:pt>
                <c:pt idx="1">
                  <c:v>21.270000100000001</c:v>
                </c:pt>
                <c:pt idx="2">
                  <c:v>20.790000200000001</c:v>
                </c:pt>
                <c:pt idx="3">
                  <c:v>20.310000300000002</c:v>
                </c:pt>
                <c:pt idx="4">
                  <c:v>19.830000400000003</c:v>
                </c:pt>
                <c:pt idx="5">
                  <c:v>19.350000500000004</c:v>
                </c:pt>
                <c:pt idx="6">
                  <c:v>18.870000600000004</c:v>
                </c:pt>
                <c:pt idx="7">
                  <c:v>18.390000700000005</c:v>
                </c:pt>
                <c:pt idx="8">
                  <c:v>17.910000800000006</c:v>
                </c:pt>
                <c:pt idx="9">
                  <c:v>17.430000900000007</c:v>
                </c:pt>
                <c:pt idx="10">
                  <c:v>16.950001000000007</c:v>
                </c:pt>
                <c:pt idx="11">
                  <c:v>16.950001000000007</c:v>
                </c:pt>
                <c:pt idx="12">
                  <c:v>21.75</c:v>
                </c:pt>
                <c:pt idx="13">
                  <c:v>21.75</c:v>
                </c:pt>
              </c:numCache>
            </c:numRef>
          </c:xVal>
          <c:yVal>
            <c:numRef>
              <c:f>PlotS!$AR$25:$BE$25</c:f>
              <c:numCache>
                <c:formatCode>General</c:formatCode>
                <c:ptCount val="14"/>
                <c:pt idx="0">
                  <c:v>0.9</c:v>
                </c:pt>
                <c:pt idx="1">
                  <c:v>0.6</c:v>
                </c:pt>
                <c:pt idx="2">
                  <c:v>0.29999999999999993</c:v>
                </c:pt>
                <c:pt idx="3">
                  <c:v>-1.1102230246251565E-16</c:v>
                </c:pt>
                <c:pt idx="4">
                  <c:v>-0.30000000000000016</c:v>
                </c:pt>
                <c:pt idx="5">
                  <c:v>-0.6000000000000002</c:v>
                </c:pt>
                <c:pt idx="6">
                  <c:v>-0.90000000000000024</c:v>
                </c:pt>
                <c:pt idx="7">
                  <c:v>-1.2000000000000002</c:v>
                </c:pt>
                <c:pt idx="8">
                  <c:v>-1.5000000000000002</c:v>
                </c:pt>
                <c:pt idx="9">
                  <c:v>-1.8000000000000003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PlotS!$AB$26:$AO$26</c:f>
              <c:numCache>
                <c:formatCode>General</c:formatCode>
                <c:ptCount val="14"/>
                <c:pt idx="0">
                  <c:v>16.950001</c:v>
                </c:pt>
                <c:pt idx="1">
                  <c:v>17.087176500000002</c:v>
                </c:pt>
                <c:pt idx="2">
                  <c:v>17.224352000000003</c:v>
                </c:pt>
                <c:pt idx="3">
                  <c:v>17.361527500000005</c:v>
                </c:pt>
                <c:pt idx="4">
                  <c:v>17.498703000000006</c:v>
                </c:pt>
                <c:pt idx="5">
                  <c:v>17.635878500000008</c:v>
                </c:pt>
                <c:pt idx="6">
                  <c:v>17.773054000000009</c:v>
                </c:pt>
                <c:pt idx="7">
                  <c:v>17.91022950000001</c:v>
                </c:pt>
                <c:pt idx="8">
                  <c:v>18.047405000000012</c:v>
                </c:pt>
                <c:pt idx="9">
                  <c:v>18.184580500000013</c:v>
                </c:pt>
                <c:pt idx="10">
                  <c:v>18.321756000000015</c:v>
                </c:pt>
                <c:pt idx="11">
                  <c:v>18.321756000000015</c:v>
                </c:pt>
                <c:pt idx="12">
                  <c:v>16.950001</c:v>
                </c:pt>
                <c:pt idx="13">
                  <c:v>16.950001</c:v>
                </c:pt>
              </c:numCache>
            </c:numRef>
          </c:xVal>
          <c:yVal>
            <c:numRef>
              <c:f>PlotS!$AR$26:$BE$26</c:f>
              <c:numCache>
                <c:formatCode>General</c:formatCode>
                <c:ptCount val="14"/>
                <c:pt idx="0">
                  <c:v>0.9</c:v>
                </c:pt>
                <c:pt idx="1">
                  <c:v>0.89998359999999999</c:v>
                </c:pt>
                <c:pt idx="2">
                  <c:v>0.89996719999999997</c:v>
                </c:pt>
                <c:pt idx="3">
                  <c:v>0.89995079999999994</c:v>
                </c:pt>
                <c:pt idx="4">
                  <c:v>0.89993439999999991</c:v>
                </c:pt>
                <c:pt idx="5">
                  <c:v>0.89991799999999988</c:v>
                </c:pt>
                <c:pt idx="6">
                  <c:v>0.89990159999999986</c:v>
                </c:pt>
                <c:pt idx="7">
                  <c:v>0.89988519999999983</c:v>
                </c:pt>
                <c:pt idx="8">
                  <c:v>0.8998687999999998</c:v>
                </c:pt>
                <c:pt idx="9">
                  <c:v>0.89985239999999977</c:v>
                </c:pt>
                <c:pt idx="10">
                  <c:v>0.89983599999999975</c:v>
                </c:pt>
                <c:pt idx="11">
                  <c:v>0.89983599999999975</c:v>
                </c:pt>
                <c:pt idx="12">
                  <c:v>0.9</c:v>
                </c:pt>
                <c:pt idx="13">
                  <c:v>0.9</c:v>
                </c:pt>
              </c:numCache>
            </c:numRef>
          </c:yVal>
          <c:smooth val="0"/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PlotS!$AB$27:$AO$27</c:f>
              <c:numCache>
                <c:formatCode>General</c:formatCode>
                <c:ptCount val="14"/>
                <c:pt idx="0">
                  <c:v>16.350000000000001</c:v>
                </c:pt>
                <c:pt idx="1">
                  <c:v>16.358565000000002</c:v>
                </c:pt>
                <c:pt idx="2">
                  <c:v>16.367130000000003</c:v>
                </c:pt>
                <c:pt idx="3">
                  <c:v>16.375695000000004</c:v>
                </c:pt>
                <c:pt idx="4">
                  <c:v>16.384260000000005</c:v>
                </c:pt>
                <c:pt idx="5">
                  <c:v>16.392825000000006</c:v>
                </c:pt>
                <c:pt idx="6">
                  <c:v>16.401390000000006</c:v>
                </c:pt>
                <c:pt idx="7">
                  <c:v>16.409955000000007</c:v>
                </c:pt>
                <c:pt idx="8">
                  <c:v>16.418520000000008</c:v>
                </c:pt>
                <c:pt idx="9">
                  <c:v>16.427085000000009</c:v>
                </c:pt>
                <c:pt idx="10">
                  <c:v>16.43565000000001</c:v>
                </c:pt>
                <c:pt idx="11">
                  <c:v>16.43565000000001</c:v>
                </c:pt>
                <c:pt idx="12">
                  <c:v>16.350000000000001</c:v>
                </c:pt>
                <c:pt idx="13">
                  <c:v>16.350000000000001</c:v>
                </c:pt>
              </c:numCache>
            </c:numRef>
          </c:xVal>
          <c:yVal>
            <c:numRef>
              <c:f>PlotS!$AR$27:$BE$27</c:f>
              <c:numCache>
                <c:formatCode>General</c:formatCode>
                <c:ptCount val="14"/>
                <c:pt idx="0">
                  <c:v>3.6</c:v>
                </c:pt>
                <c:pt idx="1">
                  <c:v>3.5129331000000001</c:v>
                </c:pt>
                <c:pt idx="2">
                  <c:v>3.4258662000000002</c:v>
                </c:pt>
                <c:pt idx="3">
                  <c:v>3.3387993000000002</c:v>
                </c:pt>
                <c:pt idx="4">
                  <c:v>3.2517324000000003</c:v>
                </c:pt>
                <c:pt idx="5">
                  <c:v>3.1646655000000004</c:v>
                </c:pt>
                <c:pt idx="6">
                  <c:v>3.0775986000000004</c:v>
                </c:pt>
                <c:pt idx="7">
                  <c:v>2.9905317000000005</c:v>
                </c:pt>
                <c:pt idx="8">
                  <c:v>2.9034648000000005</c:v>
                </c:pt>
                <c:pt idx="9">
                  <c:v>2.8163979000000006</c:v>
                </c:pt>
                <c:pt idx="10">
                  <c:v>2.7293310000000006</c:v>
                </c:pt>
                <c:pt idx="11">
                  <c:v>2.7293310000000006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PlotS!$AB$28:$AO$28</c:f>
              <c:numCache>
                <c:formatCode>General</c:formatCode>
                <c:ptCount val="14"/>
                <c:pt idx="0">
                  <c:v>17.549999</c:v>
                </c:pt>
                <c:pt idx="1">
                  <c:v>17.540599399999998</c:v>
                </c:pt>
                <c:pt idx="2">
                  <c:v>17.531199799999996</c:v>
                </c:pt>
                <c:pt idx="3">
                  <c:v>17.521800199999994</c:v>
                </c:pt>
                <c:pt idx="4">
                  <c:v>17.512400599999992</c:v>
                </c:pt>
                <c:pt idx="5">
                  <c:v>17.50300099999999</c:v>
                </c:pt>
                <c:pt idx="6">
                  <c:v>17.493601399999989</c:v>
                </c:pt>
                <c:pt idx="7">
                  <c:v>17.484201799999987</c:v>
                </c:pt>
                <c:pt idx="8">
                  <c:v>17.474802199999985</c:v>
                </c:pt>
                <c:pt idx="9">
                  <c:v>17.465402599999983</c:v>
                </c:pt>
                <c:pt idx="10">
                  <c:v>17.456002999999981</c:v>
                </c:pt>
                <c:pt idx="11">
                  <c:v>17.456002999999981</c:v>
                </c:pt>
                <c:pt idx="12">
                  <c:v>17.549999</c:v>
                </c:pt>
                <c:pt idx="13">
                  <c:v>17.549999</c:v>
                </c:pt>
              </c:numCache>
            </c:numRef>
          </c:xVal>
          <c:yVal>
            <c:numRef>
              <c:f>PlotS!$AR$28:$BE$28</c:f>
              <c:numCache>
                <c:formatCode>General</c:formatCode>
                <c:ptCount val="14"/>
                <c:pt idx="0">
                  <c:v>3.6</c:v>
                </c:pt>
                <c:pt idx="1">
                  <c:v>3.5144827000000003</c:v>
                </c:pt>
                <c:pt idx="2">
                  <c:v>3.4289654000000001</c:v>
                </c:pt>
                <c:pt idx="3">
                  <c:v>3.3434480999999998</c:v>
                </c:pt>
                <c:pt idx="4">
                  <c:v>3.2579307999999996</c:v>
                </c:pt>
                <c:pt idx="5">
                  <c:v>3.1724134999999993</c:v>
                </c:pt>
                <c:pt idx="6">
                  <c:v>3.0868961999999991</c:v>
                </c:pt>
                <c:pt idx="7">
                  <c:v>3.0013788999999989</c:v>
                </c:pt>
                <c:pt idx="8">
                  <c:v>2.9158615999999986</c:v>
                </c:pt>
                <c:pt idx="9">
                  <c:v>2.8303442999999984</c:v>
                </c:pt>
                <c:pt idx="10">
                  <c:v>2.7448269999999981</c:v>
                </c:pt>
                <c:pt idx="11">
                  <c:v>2.7448269999999981</c:v>
                </c:pt>
                <c:pt idx="12">
                  <c:v>3.6</c:v>
                </c:pt>
                <c:pt idx="13">
                  <c:v>3.6</c:v>
                </c:pt>
              </c:numCache>
            </c:numRef>
          </c:yVal>
          <c:smooth val="0"/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PlotS!$AB$29:$AO$29</c:f>
              <c:numCache>
                <c:formatCode>General</c:formatCode>
                <c:ptCount val="14"/>
                <c:pt idx="0">
                  <c:v>15.600816999999999</c:v>
                </c:pt>
                <c:pt idx="1">
                  <c:v>15.735735399999999</c:v>
                </c:pt>
                <c:pt idx="2">
                  <c:v>15.870653799999999</c:v>
                </c:pt>
                <c:pt idx="3">
                  <c:v>16.0055722</c:v>
                </c:pt>
                <c:pt idx="4">
                  <c:v>16.1404906</c:v>
                </c:pt>
                <c:pt idx="5">
                  <c:v>16.275409</c:v>
                </c:pt>
                <c:pt idx="6">
                  <c:v>16.4103274</c:v>
                </c:pt>
                <c:pt idx="7">
                  <c:v>16.5452458</c:v>
                </c:pt>
                <c:pt idx="8">
                  <c:v>16.6801642</c:v>
                </c:pt>
                <c:pt idx="9">
                  <c:v>16.8150826</c:v>
                </c:pt>
                <c:pt idx="10">
                  <c:v>16.950001</c:v>
                </c:pt>
                <c:pt idx="11">
                  <c:v>16.950001</c:v>
                </c:pt>
                <c:pt idx="12">
                  <c:v>15.600816999999999</c:v>
                </c:pt>
                <c:pt idx="13">
                  <c:v>15.600816999999999</c:v>
                </c:pt>
              </c:numCache>
            </c:numRef>
          </c:xVal>
          <c:yVal>
            <c:numRef>
              <c:f>PlotS!$AR$29:$BE$29</c:f>
              <c:numCache>
                <c:formatCode>General</c:formatCode>
                <c:ptCount val="14"/>
                <c:pt idx="0">
                  <c:v>0.89983599999999997</c:v>
                </c:pt>
                <c:pt idx="1">
                  <c:v>0.8998524</c:v>
                </c:pt>
                <c:pt idx="2">
                  <c:v>0.89986880000000002</c:v>
                </c:pt>
                <c:pt idx="3">
                  <c:v>0.89988520000000005</c:v>
                </c:pt>
                <c:pt idx="4">
                  <c:v>0.89990160000000008</c:v>
                </c:pt>
                <c:pt idx="5">
                  <c:v>0.89991800000000011</c:v>
                </c:pt>
                <c:pt idx="6">
                  <c:v>0.89993440000000013</c:v>
                </c:pt>
                <c:pt idx="7">
                  <c:v>0.89995080000000016</c:v>
                </c:pt>
                <c:pt idx="8">
                  <c:v>0.89996720000000019</c:v>
                </c:pt>
                <c:pt idx="9">
                  <c:v>0.89998360000000022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0.89983599999999997</c:v>
                </c:pt>
              </c:numCache>
            </c:numRef>
          </c:yVal>
          <c:smooth val="0"/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PlotS!$AB$30:$AO$30</c:f>
              <c:numCache>
                <c:formatCode>General</c:formatCode>
                <c:ptCount val="14"/>
                <c:pt idx="0">
                  <c:v>18.321756000000001</c:v>
                </c:pt>
                <c:pt idx="1">
                  <c:v>18.664580400000002</c:v>
                </c:pt>
                <c:pt idx="2">
                  <c:v>19.007404800000003</c:v>
                </c:pt>
                <c:pt idx="3">
                  <c:v>19.350229200000005</c:v>
                </c:pt>
                <c:pt idx="4">
                  <c:v>19.693053600000006</c:v>
                </c:pt>
                <c:pt idx="5">
                  <c:v>20.035878000000007</c:v>
                </c:pt>
                <c:pt idx="6">
                  <c:v>20.378702400000009</c:v>
                </c:pt>
                <c:pt idx="7">
                  <c:v>20.72152680000001</c:v>
                </c:pt>
                <c:pt idx="8">
                  <c:v>21.064351200000011</c:v>
                </c:pt>
                <c:pt idx="9">
                  <c:v>21.407175600000013</c:v>
                </c:pt>
                <c:pt idx="10">
                  <c:v>21.750000000000014</c:v>
                </c:pt>
                <c:pt idx="11">
                  <c:v>21.750000000000014</c:v>
                </c:pt>
                <c:pt idx="12">
                  <c:v>18.321756000000001</c:v>
                </c:pt>
                <c:pt idx="13">
                  <c:v>18.321756000000001</c:v>
                </c:pt>
              </c:numCache>
            </c:numRef>
          </c:xVal>
          <c:yVal>
            <c:numRef>
              <c:f>PlotS!$AR$30:$BE$30</c:f>
              <c:numCache>
                <c:formatCode>General</c:formatCode>
                <c:ptCount val="14"/>
                <c:pt idx="0">
                  <c:v>0.89983599999999997</c:v>
                </c:pt>
                <c:pt idx="1">
                  <c:v>0.8998524</c:v>
                </c:pt>
                <c:pt idx="2">
                  <c:v>0.89986880000000002</c:v>
                </c:pt>
                <c:pt idx="3">
                  <c:v>0.89988520000000005</c:v>
                </c:pt>
                <c:pt idx="4">
                  <c:v>0.89990160000000008</c:v>
                </c:pt>
                <c:pt idx="5">
                  <c:v>0.89991800000000011</c:v>
                </c:pt>
                <c:pt idx="6">
                  <c:v>0.89993440000000013</c:v>
                </c:pt>
                <c:pt idx="7">
                  <c:v>0.89995080000000016</c:v>
                </c:pt>
                <c:pt idx="8">
                  <c:v>0.89996720000000019</c:v>
                </c:pt>
                <c:pt idx="9">
                  <c:v>0.89998360000000022</c:v>
                </c:pt>
                <c:pt idx="10">
                  <c:v>0.90000000000000024</c:v>
                </c:pt>
                <c:pt idx="11">
                  <c:v>0.90000000000000024</c:v>
                </c:pt>
                <c:pt idx="12">
                  <c:v>0.89983599999999997</c:v>
                </c:pt>
                <c:pt idx="13">
                  <c:v>0.89983599999999997</c:v>
                </c:pt>
              </c:numCache>
            </c:numRef>
          </c:yVal>
          <c:smooth val="0"/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PlotS!$AB$31:$AO$31</c:f>
              <c:numCache>
                <c:formatCode>General</c:formatCode>
                <c:ptCount val="14"/>
                <c:pt idx="0">
                  <c:v>16.435649999999999</c:v>
                </c:pt>
                <c:pt idx="1">
                  <c:v>16.487085099999998</c:v>
                </c:pt>
                <c:pt idx="2">
                  <c:v>16.538520199999997</c:v>
                </c:pt>
                <c:pt idx="3">
                  <c:v>16.589955299999996</c:v>
                </c:pt>
                <c:pt idx="4">
                  <c:v>16.641390399999995</c:v>
                </c:pt>
                <c:pt idx="5">
                  <c:v>16.692825499999994</c:v>
                </c:pt>
                <c:pt idx="6">
                  <c:v>16.744260599999993</c:v>
                </c:pt>
                <c:pt idx="7">
                  <c:v>16.795695699999992</c:v>
                </c:pt>
                <c:pt idx="8">
                  <c:v>16.847130799999992</c:v>
                </c:pt>
                <c:pt idx="9">
                  <c:v>16.898565899999991</c:v>
                </c:pt>
                <c:pt idx="10">
                  <c:v>16.95000099999999</c:v>
                </c:pt>
                <c:pt idx="11">
                  <c:v>16.95000099999999</c:v>
                </c:pt>
                <c:pt idx="12">
                  <c:v>16.435649999999999</c:v>
                </c:pt>
                <c:pt idx="13">
                  <c:v>16.435649999999999</c:v>
                </c:pt>
              </c:numCache>
            </c:numRef>
          </c:xVal>
          <c:yVal>
            <c:numRef>
              <c:f>PlotS!$AR$31:$BE$31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2.2463979000000003</c:v>
                </c:pt>
                <c:pt idx="2">
                  <c:v>1.7634648000000002</c:v>
                </c:pt>
                <c:pt idx="3">
                  <c:v>1.2805317000000001</c:v>
                </c:pt>
                <c:pt idx="4">
                  <c:v>0.79759859999999994</c:v>
                </c:pt>
                <c:pt idx="5">
                  <c:v>0.31466549999999988</c:v>
                </c:pt>
                <c:pt idx="6">
                  <c:v>-0.16826760000000018</c:v>
                </c:pt>
                <c:pt idx="7">
                  <c:v>-0.65120070000000019</c:v>
                </c:pt>
                <c:pt idx="8">
                  <c:v>-1.1341338000000003</c:v>
                </c:pt>
                <c:pt idx="9">
                  <c:v>-1.6170669000000004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PlotS!$AB$32:$AO$32</c:f>
              <c:numCache>
                <c:formatCode>General</c:formatCode>
                <c:ptCount val="14"/>
                <c:pt idx="0">
                  <c:v>17.456002999999999</c:v>
                </c:pt>
                <c:pt idx="1">
                  <c:v>17.405402799999997</c:v>
                </c:pt>
                <c:pt idx="2">
                  <c:v>17.354802599999999</c:v>
                </c:pt>
                <c:pt idx="3">
                  <c:v>17.304202400000001</c:v>
                </c:pt>
                <c:pt idx="4">
                  <c:v>17.253602200000003</c:v>
                </c:pt>
                <c:pt idx="5">
                  <c:v>17.203002000000005</c:v>
                </c:pt>
                <c:pt idx="6">
                  <c:v>17.152401800000007</c:v>
                </c:pt>
                <c:pt idx="7">
                  <c:v>17.101801600000009</c:v>
                </c:pt>
                <c:pt idx="8">
                  <c:v>17.051201400000011</c:v>
                </c:pt>
                <c:pt idx="9">
                  <c:v>17.000601200000013</c:v>
                </c:pt>
                <c:pt idx="10">
                  <c:v>16.950001000000015</c:v>
                </c:pt>
                <c:pt idx="11">
                  <c:v>16.950001000000015</c:v>
                </c:pt>
                <c:pt idx="12">
                  <c:v>17.456002999999999</c:v>
                </c:pt>
                <c:pt idx="13">
                  <c:v>17.456002999999999</c:v>
                </c:pt>
              </c:numCache>
            </c:numRef>
          </c:xVal>
          <c:yVal>
            <c:numRef>
              <c:f>PlotS!$AR$32:$BE$32</c:f>
              <c:numCache>
                <c:formatCode>General</c:formatCode>
                <c:ptCount val="14"/>
                <c:pt idx="0">
                  <c:v>2.7448269999999999</c:v>
                </c:pt>
                <c:pt idx="1">
                  <c:v>2.2603442999999999</c:v>
                </c:pt>
                <c:pt idx="2">
                  <c:v>1.7758615999999998</c:v>
                </c:pt>
                <c:pt idx="3">
                  <c:v>1.2913788999999998</c:v>
                </c:pt>
                <c:pt idx="4">
                  <c:v>0.80689619999999973</c:v>
                </c:pt>
                <c:pt idx="5">
                  <c:v>0.32241349999999969</c:v>
                </c:pt>
                <c:pt idx="6">
                  <c:v>-0.16206920000000036</c:v>
                </c:pt>
                <c:pt idx="7">
                  <c:v>-0.6465519000000004</c:v>
                </c:pt>
                <c:pt idx="8">
                  <c:v>-1.1310346000000004</c:v>
                </c:pt>
                <c:pt idx="9">
                  <c:v>-1.6155173000000005</c:v>
                </c:pt>
                <c:pt idx="10">
                  <c:v>-2.1000000000000005</c:v>
                </c:pt>
                <c:pt idx="11">
                  <c:v>-2.1000000000000005</c:v>
                </c:pt>
                <c:pt idx="12">
                  <c:v>2.7448269999999999</c:v>
                </c:pt>
                <c:pt idx="13">
                  <c:v>2.7448269999999999</c:v>
                </c:pt>
              </c:numCache>
            </c:numRef>
          </c:yVal>
          <c:smooth val="0"/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PlotS!$AB$33:$AO$33</c:f>
              <c:numCache>
                <c:formatCode>General</c:formatCode>
                <c:ptCount val="14"/>
                <c:pt idx="0">
                  <c:v>16.435649999999999</c:v>
                </c:pt>
                <c:pt idx="1">
                  <c:v>16.352166699999998</c:v>
                </c:pt>
                <c:pt idx="2">
                  <c:v>16.268683399999997</c:v>
                </c:pt>
                <c:pt idx="3">
                  <c:v>16.185200099999996</c:v>
                </c:pt>
                <c:pt idx="4">
                  <c:v>16.101716799999995</c:v>
                </c:pt>
                <c:pt idx="5">
                  <c:v>16.018233499999994</c:v>
                </c:pt>
                <c:pt idx="6">
                  <c:v>15.934750199999995</c:v>
                </c:pt>
                <c:pt idx="7">
                  <c:v>15.851266899999995</c:v>
                </c:pt>
                <c:pt idx="8">
                  <c:v>15.767783599999996</c:v>
                </c:pt>
                <c:pt idx="9">
                  <c:v>15.684300299999997</c:v>
                </c:pt>
                <c:pt idx="10">
                  <c:v>15.600816999999997</c:v>
                </c:pt>
                <c:pt idx="11">
                  <c:v>15.600816999999997</c:v>
                </c:pt>
                <c:pt idx="12">
                  <c:v>16.435649999999999</c:v>
                </c:pt>
                <c:pt idx="13">
                  <c:v>16.435649999999999</c:v>
                </c:pt>
              </c:numCache>
            </c:numRef>
          </c:xVal>
          <c:yVal>
            <c:numRef>
              <c:f>PlotS!$AR$33:$BE$33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2.5463815000000003</c:v>
                </c:pt>
                <c:pt idx="2">
                  <c:v>2.3634320000000004</c:v>
                </c:pt>
                <c:pt idx="3">
                  <c:v>2.1804825000000005</c:v>
                </c:pt>
                <c:pt idx="4">
                  <c:v>1.9975330000000004</c:v>
                </c:pt>
                <c:pt idx="5">
                  <c:v>1.8145835000000003</c:v>
                </c:pt>
                <c:pt idx="6">
                  <c:v>1.6316340000000003</c:v>
                </c:pt>
                <c:pt idx="7">
                  <c:v>1.4486845000000002</c:v>
                </c:pt>
                <c:pt idx="8">
                  <c:v>1.2657350000000001</c:v>
                </c:pt>
                <c:pt idx="9">
                  <c:v>1.0827855</c:v>
                </c:pt>
                <c:pt idx="10">
                  <c:v>0.89983599999999986</c:v>
                </c:pt>
                <c:pt idx="11">
                  <c:v>0.89983599999999986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PlotS!$AB$34:$AO$34</c:f>
              <c:numCache>
                <c:formatCode>General</c:formatCode>
                <c:ptCount val="14"/>
                <c:pt idx="0">
                  <c:v>17.456002999999999</c:v>
                </c:pt>
                <c:pt idx="1">
                  <c:v>17.542578299999999</c:v>
                </c:pt>
                <c:pt idx="2">
                  <c:v>17.629153599999999</c:v>
                </c:pt>
                <c:pt idx="3">
                  <c:v>17.715728899999998</c:v>
                </c:pt>
                <c:pt idx="4">
                  <c:v>17.802304199999998</c:v>
                </c:pt>
                <c:pt idx="5">
                  <c:v>17.888879499999998</c:v>
                </c:pt>
                <c:pt idx="6">
                  <c:v>17.975454799999998</c:v>
                </c:pt>
                <c:pt idx="7">
                  <c:v>18.062030099999998</c:v>
                </c:pt>
                <c:pt idx="8">
                  <c:v>18.148605399999997</c:v>
                </c:pt>
                <c:pt idx="9">
                  <c:v>18.235180699999997</c:v>
                </c:pt>
                <c:pt idx="10">
                  <c:v>18.321755999999997</c:v>
                </c:pt>
                <c:pt idx="11">
                  <c:v>18.321755999999997</c:v>
                </c:pt>
                <c:pt idx="12">
                  <c:v>17.456002999999999</c:v>
                </c:pt>
                <c:pt idx="13">
                  <c:v>17.456002999999999</c:v>
                </c:pt>
              </c:numCache>
            </c:numRef>
          </c:xVal>
          <c:yVal>
            <c:numRef>
              <c:f>PlotS!$AR$34:$BE$34</c:f>
              <c:numCache>
                <c:formatCode>General</c:formatCode>
                <c:ptCount val="14"/>
                <c:pt idx="0">
                  <c:v>2.7448269999999999</c:v>
                </c:pt>
                <c:pt idx="1">
                  <c:v>2.5603278999999999</c:v>
                </c:pt>
                <c:pt idx="2">
                  <c:v>2.3758287999999999</c:v>
                </c:pt>
                <c:pt idx="3">
                  <c:v>2.1913296999999998</c:v>
                </c:pt>
                <c:pt idx="4">
                  <c:v>2.0068305999999998</c:v>
                </c:pt>
                <c:pt idx="5">
                  <c:v>1.8223314999999998</c:v>
                </c:pt>
                <c:pt idx="6">
                  <c:v>1.6378323999999997</c:v>
                </c:pt>
                <c:pt idx="7">
                  <c:v>1.4533332999999997</c:v>
                </c:pt>
                <c:pt idx="8">
                  <c:v>1.2688341999999997</c:v>
                </c:pt>
                <c:pt idx="9">
                  <c:v>1.0843350999999997</c:v>
                </c:pt>
                <c:pt idx="10">
                  <c:v>0.89983599999999964</c:v>
                </c:pt>
                <c:pt idx="11">
                  <c:v>0.89983599999999964</c:v>
                </c:pt>
                <c:pt idx="12">
                  <c:v>2.7448269999999999</c:v>
                </c:pt>
                <c:pt idx="13">
                  <c:v>2.7448269999999999</c:v>
                </c:pt>
              </c:numCache>
            </c:numRef>
          </c:yVal>
          <c:smooth val="0"/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PlotS!$AB$35:$AO$35</c:f>
              <c:numCache>
                <c:formatCode>General</c:formatCode>
                <c:ptCount val="14"/>
                <c:pt idx="0">
                  <c:v>16.435649999999999</c:v>
                </c:pt>
                <c:pt idx="1">
                  <c:v>16.5376853</c:v>
                </c:pt>
                <c:pt idx="2">
                  <c:v>16.6397206</c:v>
                </c:pt>
                <c:pt idx="3">
                  <c:v>16.741755900000001</c:v>
                </c:pt>
                <c:pt idx="4">
                  <c:v>16.843791200000002</c:v>
                </c:pt>
                <c:pt idx="5">
                  <c:v>16.945826500000003</c:v>
                </c:pt>
                <c:pt idx="6">
                  <c:v>17.047861800000003</c:v>
                </c:pt>
                <c:pt idx="7">
                  <c:v>17.149897100000004</c:v>
                </c:pt>
                <c:pt idx="8">
                  <c:v>17.251932400000005</c:v>
                </c:pt>
                <c:pt idx="9">
                  <c:v>17.353967700000005</c:v>
                </c:pt>
                <c:pt idx="10">
                  <c:v>17.456003000000006</c:v>
                </c:pt>
                <c:pt idx="11">
                  <c:v>17.456003000000006</c:v>
                </c:pt>
                <c:pt idx="12">
                  <c:v>16.435649999999999</c:v>
                </c:pt>
                <c:pt idx="13">
                  <c:v>16.435649999999999</c:v>
                </c:pt>
              </c:numCache>
            </c:numRef>
          </c:xVal>
          <c:yVal>
            <c:numRef>
              <c:f>PlotS!$AR$35:$BE$35</c:f>
              <c:numCache>
                <c:formatCode>General</c:formatCode>
                <c:ptCount val="14"/>
                <c:pt idx="0">
                  <c:v>2.7293310000000002</c:v>
                </c:pt>
                <c:pt idx="1">
                  <c:v>2.7308806000000003</c:v>
                </c:pt>
                <c:pt idx="2">
                  <c:v>2.7324302000000005</c:v>
                </c:pt>
                <c:pt idx="3">
                  <c:v>2.7339798000000006</c:v>
                </c:pt>
                <c:pt idx="4">
                  <c:v>2.7355294000000008</c:v>
                </c:pt>
                <c:pt idx="5">
                  <c:v>2.7370790000000009</c:v>
                </c:pt>
                <c:pt idx="6">
                  <c:v>2.7386286000000011</c:v>
                </c:pt>
                <c:pt idx="7">
                  <c:v>2.7401782000000012</c:v>
                </c:pt>
                <c:pt idx="8">
                  <c:v>2.7417278000000014</c:v>
                </c:pt>
                <c:pt idx="9">
                  <c:v>2.7432774000000015</c:v>
                </c:pt>
                <c:pt idx="10">
                  <c:v>2.7448270000000017</c:v>
                </c:pt>
                <c:pt idx="11">
                  <c:v>2.7448270000000017</c:v>
                </c:pt>
                <c:pt idx="12">
                  <c:v>2.7293310000000002</c:v>
                </c:pt>
                <c:pt idx="13">
                  <c:v>2.7293310000000002</c:v>
                </c:pt>
              </c:numCache>
            </c:numRef>
          </c:yVal>
          <c:smooth val="0"/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PlotS!$AB$36:$AO$36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PlotS!$AR$36:$BE$36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PlotS!$AB$37:$AO$37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PlotS!$AR$37:$BE$37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PlotS!$AB$38:$AO$38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PlotS!$AR$38:$BE$38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PlotS!$AB$39:$AO$39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PlotS!$AR$39:$BE$39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PlotS!$AB$40:$AO$40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PlotS!$AR$40:$BE$40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PlotS!$AB$41:$AO$41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PlotS!$AR$41:$BE$41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PlotS!$AB$42:$AO$42</c:f>
              <c:numCache>
                <c:formatCode>General</c:formatCode>
                <c:ptCount val="14"/>
                <c:pt idx="0">
                  <c:v>7.6500000953674316</c:v>
                </c:pt>
                <c:pt idx="1">
                  <c:v>7.6500000953674316</c:v>
                </c:pt>
                <c:pt idx="2">
                  <c:v>7.6500000953674316</c:v>
                </c:pt>
                <c:pt idx="3">
                  <c:v>7.6500000953674316</c:v>
                </c:pt>
                <c:pt idx="4">
                  <c:v>7.6500000953674316</c:v>
                </c:pt>
                <c:pt idx="5">
                  <c:v>7.6500000953674316</c:v>
                </c:pt>
                <c:pt idx="6">
                  <c:v>7.6500000953674316</c:v>
                </c:pt>
                <c:pt idx="7">
                  <c:v>7.6500000953674316</c:v>
                </c:pt>
                <c:pt idx="8">
                  <c:v>7.6500000953674316</c:v>
                </c:pt>
                <c:pt idx="9">
                  <c:v>7.6500000953674316</c:v>
                </c:pt>
                <c:pt idx="10">
                  <c:v>7.6500000953674316</c:v>
                </c:pt>
                <c:pt idx="11">
                  <c:v>7.6500000953674316</c:v>
                </c:pt>
                <c:pt idx="12">
                  <c:v>7.6500000953674316</c:v>
                </c:pt>
                <c:pt idx="13">
                  <c:v>7.6500000953674316</c:v>
                </c:pt>
              </c:numCache>
            </c:numRef>
          </c:xVal>
          <c:yVal>
            <c:numRef>
              <c:f>PlotS!$AR$42:$BE$42</c:f>
              <c:numCache>
                <c:formatCode>General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996408"/>
        <c:axId val="676997976"/>
        <c:extLst xmlns:c16r2="http://schemas.microsoft.com/office/drawing/2015/06/chart"/>
      </c:scatterChart>
      <c:valAx>
        <c:axId val="67699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6997976"/>
        <c:crosses val="max"/>
        <c:crossBetween val="midCat"/>
        <c:majorUnit val="1.0000000000000005E-2"/>
      </c:valAx>
      <c:valAx>
        <c:axId val="67699797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676996408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4.6138162612915039</c:v>
                </c:pt>
                <c:pt idx="54">
                  <c:v>4.6142458915710449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4.7629218897782266E-5</c:v>
                </c:pt>
                <c:pt idx="72">
                  <c:v>4.7629218897782266E-5</c:v>
                </c:pt>
                <c:pt idx="73">
                  <c:v>4.7629218897782266E-5</c:v>
                </c:pt>
                <c:pt idx="74">
                  <c:v>4.7629218897782266E-5</c:v>
                </c:pt>
                <c:pt idx="75">
                  <c:v>4.7629220034650643E-7</c:v>
                </c:pt>
                <c:pt idx="76">
                  <c:v>4.7629219479858875E-3</c:v>
                </c:pt>
                <c:pt idx="77">
                  <c:v>4.7629219479858875E-3</c:v>
                </c:pt>
                <c:pt idx="78">
                  <c:v>7.5526535511016846E-3</c:v>
                </c:pt>
                <c:pt idx="79">
                  <c:v>2.7642752975225449E-2</c:v>
                </c:pt>
                <c:pt idx="80">
                  <c:v>2.76456568390131E-2</c:v>
                </c:pt>
                <c:pt idx="81">
                  <c:v>2.7648704126477242E-2</c:v>
                </c:pt>
                <c:pt idx="82">
                  <c:v>2.765190415084362E-2</c:v>
                </c:pt>
                <c:pt idx="83">
                  <c:v>2.7655104175209999E-2</c:v>
                </c:pt>
                <c:pt idx="84">
                  <c:v>2.7658464387059212E-2</c:v>
                </c:pt>
                <c:pt idx="85">
                  <c:v>2.7661824598908424E-2</c:v>
                </c:pt>
                <c:pt idx="86">
                  <c:v>2.7665184810757637E-2</c:v>
                </c:pt>
                <c:pt idx="87">
                  <c:v>2.76685431599617E-2</c:v>
                </c:pt>
                <c:pt idx="88">
                  <c:v>2.7672071009874344E-2</c:v>
                </c:pt>
                <c:pt idx="89">
                  <c:v>2.7675600722432137E-2</c:v>
                </c:pt>
                <c:pt idx="90">
                  <c:v>2.7679303660988808E-2</c:v>
                </c:pt>
                <c:pt idx="91">
                  <c:v>2.7683194726705551E-2</c:v>
                </c:pt>
                <c:pt idx="92">
                  <c:v>2.7687277644872665E-2</c:v>
                </c:pt>
                <c:pt idx="93">
                  <c:v>2.7691565454006195E-2</c:v>
                </c:pt>
                <c:pt idx="94">
                  <c:v>2.7695855125784874E-2</c:v>
                </c:pt>
                <c:pt idx="95">
                  <c:v>2.7691565454006195E-2</c:v>
                </c:pt>
                <c:pt idx="96">
                  <c:v>2.7687063440680504E-2</c:v>
                </c:pt>
                <c:pt idx="97">
                  <c:v>2.7682336047291756E-2</c:v>
                </c:pt>
                <c:pt idx="98">
                  <c:v>2.7677608653903008E-2</c:v>
                </c:pt>
                <c:pt idx="99">
                  <c:v>2.7672642841935158E-2</c:v>
                </c:pt>
                <c:pt idx="100">
                  <c:v>2.766743116080761E-2</c:v>
                </c:pt>
                <c:pt idx="101">
                  <c:v>2.7661958709359169E-2</c:v>
                </c:pt>
                <c:pt idx="102">
                  <c:v>2.7656210586428642E-2</c:v>
                </c:pt>
                <c:pt idx="103">
                  <c:v>2.7662245556712151E-2</c:v>
                </c:pt>
                <c:pt idx="104">
                  <c:v>2.7668580412864685E-2</c:v>
                </c:pt>
                <c:pt idx="105">
                  <c:v>2.7675233781337738E-2</c:v>
                </c:pt>
                <c:pt idx="106">
                  <c:v>2.7682218700647354E-2</c:v>
                </c:pt>
                <c:pt idx="107">
                  <c:v>2.7689553797245026E-2</c:v>
                </c:pt>
                <c:pt idx="108">
                  <c:v>2.7697253972291946E-2</c:v>
                </c:pt>
                <c:pt idx="109">
                  <c:v>2.7705341577529907E-2</c:v>
                </c:pt>
                <c:pt idx="110">
                  <c:v>2.7713831514120102E-2</c:v>
                </c:pt>
                <c:pt idx="111">
                  <c:v>2.7722746133804321E-2</c:v>
                </c:pt>
                <c:pt idx="112">
                  <c:v>2.7732107788324356E-2</c:v>
                </c:pt>
                <c:pt idx="113">
                  <c:v>2.7741936966776848E-2</c:v>
                </c:pt>
                <c:pt idx="114">
                  <c:v>2.7770960703492165E-2</c:v>
                </c:pt>
                <c:pt idx="115">
                  <c:v>2.7801437303423882E-2</c:v>
                </c:pt>
                <c:pt idx="116">
                  <c:v>2.7833437547087669E-2</c:v>
                </c:pt>
                <c:pt idx="117">
                  <c:v>2.7865437790751457E-2</c:v>
                </c:pt>
                <c:pt idx="118">
                  <c:v>2.7899036183953285E-2</c:v>
                </c:pt>
                <c:pt idx="119">
                  <c:v>2.7934316545724869E-2</c:v>
                </c:pt>
                <c:pt idx="120">
                  <c:v>2.7971360832452774E-2</c:v>
                </c:pt>
                <c:pt idx="121">
                  <c:v>2.8010256588459015E-2</c:v>
                </c:pt>
                <c:pt idx="122">
                  <c:v>2.8051098808646202E-2</c:v>
                </c:pt>
                <c:pt idx="123">
                  <c:v>2.8093980625271797E-2</c:v>
                </c:pt>
                <c:pt idx="124">
                  <c:v>2.8139008209109306E-2</c:v>
                </c:pt>
                <c:pt idx="125">
                  <c:v>2.8186285868287086E-2</c:v>
                </c:pt>
                <c:pt idx="126">
                  <c:v>2.823592908680439E-2</c:v>
                </c:pt>
                <c:pt idx="127">
                  <c:v>2.8288053348660469E-2</c:v>
                </c:pt>
                <c:pt idx="128">
                  <c:v>2.8342783451080322E-2</c:v>
                </c:pt>
                <c:pt idx="129">
                  <c:v>2.8400251641869545E-2</c:v>
                </c:pt>
                <c:pt idx="130">
                  <c:v>2.8457717970013618E-2</c:v>
                </c:pt>
                <c:pt idx="131">
                  <c:v>2.8515186160802841E-2</c:v>
                </c:pt>
                <c:pt idx="132">
                  <c:v>2.8791613876819611E-2</c:v>
                </c:pt>
                <c:pt idx="133">
                  <c:v>2.9081862419843674E-2</c:v>
                </c:pt>
                <c:pt idx="134">
                  <c:v>2.9386624693870544E-2</c:v>
                </c:pt>
                <c:pt idx="135">
                  <c:v>2.9691385105252266E-2</c:v>
                </c:pt>
                <c:pt idx="136">
                  <c:v>3.0011383816599846E-2</c:v>
                </c:pt>
                <c:pt idx="137">
                  <c:v>3.0331384390592575E-2</c:v>
                </c:pt>
                <c:pt idx="138">
                  <c:v>3.0667383223772049E-2</c:v>
                </c:pt>
                <c:pt idx="139">
                  <c:v>3.1020183116197586E-2</c:v>
                </c:pt>
                <c:pt idx="140">
                  <c:v>3.1355343759059906E-2</c:v>
                </c:pt>
                <c:pt idx="141">
                  <c:v>3.1673744320869446E-2</c:v>
                </c:pt>
                <c:pt idx="142">
                  <c:v>3.1976226717233658E-2</c:v>
                </c:pt>
                <c:pt idx="143">
                  <c:v>3.2263580709695816E-2</c:v>
                </c:pt>
                <c:pt idx="144">
                  <c:v>3.2536569982767105E-2</c:v>
                </c:pt>
                <c:pt idx="145">
                  <c:v>3.2795913517475128E-2</c:v>
                </c:pt>
                <c:pt idx="146">
                  <c:v>3.3042285591363907E-2</c:v>
                </c:pt>
                <c:pt idx="147">
                  <c:v>3.3276338130235672E-2</c:v>
                </c:pt>
                <c:pt idx="148">
                  <c:v>3.3498689532279968E-2</c:v>
                </c:pt>
                <c:pt idx="149">
                  <c:v>3.3709924668073654E-2</c:v>
                </c:pt>
                <c:pt idx="150">
                  <c:v>3.3498689532279968E-2</c:v>
                </c:pt>
                <c:pt idx="151">
                  <c:v>3.3287458121776581E-2</c:v>
                </c:pt>
                <c:pt idx="152">
                  <c:v>3.3076222985982895E-2</c:v>
                </c:pt>
                <c:pt idx="153">
                  <c:v>3.3287458121776581E-2</c:v>
                </c:pt>
                <c:pt idx="154">
                  <c:v>3.3509250730276108E-2</c:v>
                </c:pt>
                <c:pt idx="155">
                  <c:v>3.3742137253284454E-2</c:v>
                </c:pt>
                <c:pt idx="156">
                  <c:v>3.3975023776292801E-2</c:v>
                </c:pt>
                <c:pt idx="157">
                  <c:v>3.4219551831483841E-2</c:v>
                </c:pt>
                <c:pt idx="158">
                  <c:v>3.4476310014724731E-2</c:v>
                </c:pt>
                <c:pt idx="159">
                  <c:v>3.4745901823043823E-2</c:v>
                </c:pt>
                <c:pt idx="160">
                  <c:v>3.5028975456953049E-2</c:v>
                </c:pt>
                <c:pt idx="161">
                  <c:v>3.5297896713018417E-2</c:v>
                </c:pt>
                <c:pt idx="162">
                  <c:v>3.5553369671106339E-2</c:v>
                </c:pt>
                <c:pt idx="163">
                  <c:v>3.5796072334051132E-2</c:v>
                </c:pt>
                <c:pt idx="164">
                  <c:v>3.6026638001203537E-2</c:v>
                </c:pt>
                <c:pt idx="165">
                  <c:v>3.6245673894882202E-2</c:v>
                </c:pt>
                <c:pt idx="166">
                  <c:v>3.6453761160373688E-2</c:v>
                </c:pt>
                <c:pt idx="167">
                  <c:v>3.6651439964771271E-2</c:v>
                </c:pt>
                <c:pt idx="168">
                  <c:v>3.6651439964771271E-2</c:v>
                </c:pt>
                <c:pt idx="169">
                  <c:v>3.6651525646448135E-2</c:v>
                </c:pt>
                <c:pt idx="170">
                  <c:v>3.6651525646448135E-2</c:v>
                </c:pt>
                <c:pt idx="171">
                  <c:v>3.9415802806615829E-2</c:v>
                </c:pt>
                <c:pt idx="172">
                  <c:v>4.2318291962146759E-2</c:v>
                </c:pt>
                <c:pt idx="173">
                  <c:v>4.5365907251834869E-2</c:v>
                </c:pt>
                <c:pt idx="174">
                  <c:v>4.8413518816232681E-2</c:v>
                </c:pt>
                <c:pt idx="175">
                  <c:v>5.1461134105920792E-2</c:v>
                </c:pt>
                <c:pt idx="176">
                  <c:v>5.4661128669977188E-2</c:v>
                </c:pt>
                <c:pt idx="177">
                  <c:v>5.7861119508743286E-2</c:v>
                </c:pt>
                <c:pt idx="178">
                  <c:v>6.1061114072799683E-2</c:v>
                </c:pt>
                <c:pt idx="179">
                  <c:v>6.4261108636856079E-2</c:v>
                </c:pt>
                <c:pt idx="180">
                  <c:v>6.7621104419231415E-2</c:v>
                </c:pt>
                <c:pt idx="181">
                  <c:v>7.098110020160675E-2</c:v>
                </c:pt>
                <c:pt idx="182">
                  <c:v>7.4341088533401489E-2</c:v>
                </c:pt>
                <c:pt idx="183">
                  <c:v>7.786908745765686E-2</c:v>
                </c:pt>
                <c:pt idx="184">
                  <c:v>8.1397078931331635E-2</c:v>
                </c:pt>
                <c:pt idx="185">
                  <c:v>8.4925070405006409E-2</c:v>
                </c:pt>
                <c:pt idx="186">
                  <c:v>8.8629469275474548E-2</c:v>
                </c:pt>
                <c:pt idx="187">
                  <c:v>9.2333860695362091E-2</c:v>
                </c:pt>
                <c:pt idx="188">
                  <c:v>9.6038252115249634E-2</c:v>
                </c:pt>
                <c:pt idx="189">
                  <c:v>9.9927864968776703E-2</c:v>
                </c:pt>
                <c:pt idx="190">
                  <c:v>9.6038252115249634E-2</c:v>
                </c:pt>
                <c:pt idx="191">
                  <c:v>9.2148639261722565E-2</c:v>
                </c:pt>
                <c:pt idx="192">
                  <c:v>8.8259026408195496E-2</c:v>
                </c:pt>
                <c:pt idx="193">
                  <c:v>8.4369413554668427E-2</c:v>
                </c:pt>
                <c:pt idx="194">
                  <c:v>8.0479800701141357E-2</c:v>
                </c:pt>
                <c:pt idx="195">
                  <c:v>7.6590187847614288E-2</c:v>
                </c:pt>
                <c:pt idx="196">
                  <c:v>7.2700574994087219E-2</c:v>
                </c:pt>
                <c:pt idx="197">
                  <c:v>6.881096214056015E-2</c:v>
                </c:pt>
                <c:pt idx="198">
                  <c:v>6.4921349287033081E-2</c:v>
                </c:pt>
                <c:pt idx="199">
                  <c:v>6.1031736433506012E-2</c:v>
                </c:pt>
                <c:pt idx="200">
                  <c:v>5.7142123579978943E-2</c:v>
                </c:pt>
                <c:pt idx="201">
                  <c:v>5.3252510726451874E-2</c:v>
                </c:pt>
                <c:pt idx="202">
                  <c:v>4.9557376652956009E-2</c:v>
                </c:pt>
                <c:pt idx="203">
                  <c:v>4.5862246304750443E-2</c:v>
                </c:pt>
                <c:pt idx="204">
                  <c:v>4.2167112231254578E-2</c:v>
                </c:pt>
                <c:pt idx="205">
                  <c:v>3.8471978157758713E-2</c:v>
                </c:pt>
                <c:pt idx="206">
                  <c:v>3.4776847809553146E-2</c:v>
                </c:pt>
                <c:pt idx="207">
                  <c:v>3.1081715598702431E-2</c:v>
                </c:pt>
                <c:pt idx="208">
                  <c:v>2.7571339160203934E-2</c:v>
                </c:pt>
                <c:pt idx="209">
                  <c:v>2.4060962721705437E-2</c:v>
                </c:pt>
                <c:pt idx="210">
                  <c:v>2.0550588145852089E-2</c:v>
                </c:pt>
                <c:pt idx="211">
                  <c:v>1.7040211707353592E-2</c:v>
                </c:pt>
                <c:pt idx="212">
                  <c:v>1.352983620017767E-2</c:v>
                </c:pt>
                <c:pt idx="213">
                  <c:v>1.0194978676736355E-2</c:v>
                </c:pt>
                <c:pt idx="214">
                  <c:v>6.8601220846176147E-3</c:v>
                </c:pt>
                <c:pt idx="215">
                  <c:v>3.5252650268375874E-3</c:v>
                </c:pt>
                <c:pt idx="216">
                  <c:v>1.9040811457671225E-4</c:v>
                </c:pt>
                <c:pt idx="217">
                  <c:v>-3.1444488558918238E-3</c:v>
                </c:pt>
                <c:pt idx="218">
                  <c:v>-6.4793056808412075E-3</c:v>
                </c:pt>
                <c:pt idx="219">
                  <c:v>-9.8141627386212349E-3</c:v>
                </c:pt>
                <c:pt idx="220">
                  <c:v>-1.314902026206255E-2</c:v>
                </c:pt>
                <c:pt idx="221">
                  <c:v>-1.6317134723067284E-2</c:v>
                </c:pt>
                <c:pt idx="222">
                  <c:v>-1.9485248252749443E-2</c:v>
                </c:pt>
                <c:pt idx="223">
                  <c:v>-2.2653361782431602E-2</c:v>
                </c:pt>
                <c:pt idx="224">
                  <c:v>-2.5821477174758911E-2</c:v>
                </c:pt>
                <c:pt idx="225">
                  <c:v>-2.8989590704441071E-2</c:v>
                </c:pt>
                <c:pt idx="226">
                  <c:v>-3.215770423412323E-2</c:v>
                </c:pt>
                <c:pt idx="227">
                  <c:v>-3.5325817763805389E-2</c:v>
                </c:pt>
                <c:pt idx="228">
                  <c:v>-3.8493931293487549E-2</c:v>
                </c:pt>
                <c:pt idx="229">
                  <c:v>-4.1662048548460007E-2</c:v>
                </c:pt>
                <c:pt idx="230">
                  <c:v>-4.4830162078142166E-2</c:v>
                </c:pt>
                <c:pt idx="231">
                  <c:v>-4.7998275607824326E-2</c:v>
                </c:pt>
                <c:pt idx="232">
                  <c:v>-5.1007982343435287E-2</c:v>
                </c:pt>
                <c:pt idx="233">
                  <c:v>-4.7998275607824326E-2</c:v>
                </c:pt>
                <c:pt idx="234">
                  <c:v>-4.4988568872213364E-2</c:v>
                </c:pt>
                <c:pt idx="235">
                  <c:v>-4.1978858411312103E-2</c:v>
                </c:pt>
                <c:pt idx="236">
                  <c:v>-3.8969151675701141E-2</c:v>
                </c:pt>
                <c:pt idx="237">
                  <c:v>-3.5959441214799881E-2</c:v>
                </c:pt>
                <c:pt idx="238">
                  <c:v>-3.2949734479188919E-2</c:v>
                </c:pt>
                <c:pt idx="239">
                  <c:v>-2.9940024018287659E-2</c:v>
                </c:pt>
                <c:pt idx="240">
                  <c:v>-2.6930317282676697E-2</c:v>
                </c:pt>
                <c:pt idx="241">
                  <c:v>-2.3920608684420586E-2</c:v>
                </c:pt>
                <c:pt idx="242">
                  <c:v>-2.0910900086164474E-2</c:v>
                </c:pt>
                <c:pt idx="243">
                  <c:v>-1.7901191487908363E-2</c:v>
                </c:pt>
                <c:pt idx="244">
                  <c:v>-1.4891482889652252E-2</c:v>
                </c:pt>
                <c:pt idx="245">
                  <c:v>-1.1881774291396141E-2</c:v>
                </c:pt>
                <c:pt idx="246">
                  <c:v>-8.8720656931400299E-3</c:v>
                </c:pt>
                <c:pt idx="247">
                  <c:v>-5.8623575605452061E-3</c:v>
                </c:pt>
                <c:pt idx="248">
                  <c:v>-2.8526489622890949E-3</c:v>
                </c:pt>
                <c:pt idx="249">
                  <c:v>1.5705953410360962E-4</c:v>
                </c:pt>
                <c:pt idx="250">
                  <c:v>3.1667680013924837E-3</c:v>
                </c:pt>
                <c:pt idx="251">
                  <c:v>6.1764763668179512E-3</c:v>
                </c:pt>
                <c:pt idx="252">
                  <c:v>9.1861849650740623E-3</c:v>
                </c:pt>
                <c:pt idx="253">
                  <c:v>1.2195893563330173E-2</c:v>
                </c:pt>
                <c:pt idx="254">
                  <c:v>1.5205602161586285E-2</c:v>
                </c:pt>
                <c:pt idx="255">
                  <c:v>1.8215309828519821E-2</c:v>
                </c:pt>
                <c:pt idx="256">
                  <c:v>2.1225018426775932E-2</c:v>
                </c:pt>
                <c:pt idx="257">
                  <c:v>2.4234727025032043E-2</c:v>
                </c:pt>
                <c:pt idx="258">
                  <c:v>2.7244435623288155E-2</c:v>
                </c:pt>
                <c:pt idx="259">
                  <c:v>3.0254144221544266E-2</c:v>
                </c:pt>
                <c:pt idx="260">
                  <c:v>3.3263850957155228E-2</c:v>
                </c:pt>
                <c:pt idx="261">
                  <c:v>3.6273561418056488E-2</c:v>
                </c:pt>
                <c:pt idx="262">
                  <c:v>3.9132785052061081E-2</c:v>
                </c:pt>
                <c:pt idx="263">
                  <c:v>4.1849046945571899E-2</c:v>
                </c:pt>
                <c:pt idx="264">
                  <c:v>4.4565308839082718E-2</c:v>
                </c:pt>
                <c:pt idx="265">
                  <c:v>4.7281570732593536E-2</c:v>
                </c:pt>
                <c:pt idx="266">
                  <c:v>4.9997832626104355E-2</c:v>
                </c:pt>
                <c:pt idx="267">
                  <c:v>5.2578281611204147E-2</c:v>
                </c:pt>
                <c:pt idx="268">
                  <c:v>5.515873059630394E-2</c:v>
                </c:pt>
                <c:pt idx="269">
                  <c:v>5.7739175856113434E-2</c:v>
                </c:pt>
                <c:pt idx="270">
                  <c:v>6.0319624841213226E-2</c:v>
                </c:pt>
                <c:pt idx="271">
                  <c:v>6.2900073826313019E-2</c:v>
                </c:pt>
                <c:pt idx="272">
                  <c:v>6.5480522811412811E-2</c:v>
                </c:pt>
                <c:pt idx="273">
                  <c:v>6.8060971796512604E-2</c:v>
                </c:pt>
                <c:pt idx="274">
                  <c:v>7.0641420781612396E-2</c:v>
                </c:pt>
                <c:pt idx="275">
                  <c:v>7.3221869766712189E-2</c:v>
                </c:pt>
                <c:pt idx="276">
                  <c:v>7.5802318751811981E-2</c:v>
                </c:pt>
                <c:pt idx="277">
                  <c:v>7.8253746032714844E-2</c:v>
                </c:pt>
                <c:pt idx="278">
                  <c:v>8.0705173313617706E-2</c:v>
                </c:pt>
                <c:pt idx="279">
                  <c:v>8.3156600594520569E-2</c:v>
                </c:pt>
                <c:pt idx="280">
                  <c:v>8.5608027875423431E-2</c:v>
                </c:pt>
                <c:pt idx="281">
                  <c:v>8.7936878204345703E-2</c:v>
                </c:pt>
                <c:pt idx="282">
                  <c:v>8.5724465548992157E-2</c:v>
                </c:pt>
                <c:pt idx="283">
                  <c:v>8.3622679114341736E-2</c:v>
                </c:pt>
                <c:pt idx="284">
                  <c:v>8.1520885229110718E-2</c:v>
                </c:pt>
                <c:pt idx="285">
                  <c:v>7.952418178319931E-2</c:v>
                </c:pt>
                <c:pt idx="286">
                  <c:v>7.7527478337287903E-2</c:v>
                </c:pt>
                <c:pt idx="287">
                  <c:v>7.5530774891376495E-2</c:v>
                </c:pt>
                <c:pt idx="288">
                  <c:v>7.3633909225463867E-2</c:v>
                </c:pt>
                <c:pt idx="289">
                  <c:v>7.1831889450550079E-2</c:v>
                </c:pt>
                <c:pt idx="290">
                  <c:v>7.0029862225055695E-2</c:v>
                </c:pt>
                <c:pt idx="291">
                  <c:v>6.8227842450141907E-2</c:v>
                </c:pt>
                <c:pt idx="292">
                  <c:v>6.6515915095806122E-2</c:v>
                </c:pt>
                <c:pt idx="293">
                  <c:v>6.4889587461948395E-2</c:v>
                </c:pt>
                <c:pt idx="294">
                  <c:v>6.3263267278671265E-2</c:v>
                </c:pt>
                <c:pt idx="295">
                  <c:v>6.1718255281448364E-2</c:v>
                </c:pt>
                <c:pt idx="296">
                  <c:v>6.0173243284225464E-2</c:v>
                </c:pt>
                <c:pt idx="297">
                  <c:v>5.8628235012292862E-2</c:v>
                </c:pt>
                <c:pt idx="298">
                  <c:v>5.7083223015069962E-2</c:v>
                </c:pt>
                <c:pt idx="299">
                  <c:v>5.8628235012292862E-2</c:v>
                </c:pt>
                <c:pt idx="300">
                  <c:v>6.0095995664596558E-2</c:v>
                </c:pt>
                <c:pt idx="301">
                  <c:v>6.1563752591609955E-2</c:v>
                </c:pt>
                <c:pt idx="302">
                  <c:v>6.2958128750324249E-2</c:v>
                </c:pt>
                <c:pt idx="303">
                  <c:v>6.4282774925231934E-2</c:v>
                </c:pt>
                <c:pt idx="304">
                  <c:v>6.5607428550720215E-2</c:v>
                </c:pt>
                <c:pt idx="305">
                  <c:v>6.6932082176208496E-2</c:v>
                </c:pt>
                <c:pt idx="306">
                  <c:v>6.8190507590770721E-2</c:v>
                </c:pt>
                <c:pt idx="307">
                  <c:v>6.944892555475235E-2</c:v>
                </c:pt>
                <c:pt idx="308">
                  <c:v>7.0707343518733978E-2</c:v>
                </c:pt>
                <c:pt idx="309">
                  <c:v>7.1902841329574585E-2</c:v>
                </c:pt>
                <c:pt idx="310">
                  <c:v>7.3098346590995789E-2</c:v>
                </c:pt>
                <c:pt idx="311">
                  <c:v>7.4293844401836395E-2</c:v>
                </c:pt>
                <c:pt idx="312">
                  <c:v>7.5429566204547882E-2</c:v>
                </c:pt>
                <c:pt idx="313">
                  <c:v>7.4350632727146149E-2</c:v>
                </c:pt>
                <c:pt idx="314">
                  <c:v>7.3325641453266144E-2</c:v>
                </c:pt>
                <c:pt idx="315">
                  <c:v>7.2300650179386139E-2</c:v>
                </c:pt>
                <c:pt idx="316">
                  <c:v>7.1275658905506134E-2</c:v>
                </c:pt>
                <c:pt idx="317">
                  <c:v>7.0250667631626129E-2</c:v>
                </c:pt>
                <c:pt idx="318">
                  <c:v>6.9276921451091766E-2</c:v>
                </c:pt>
                <c:pt idx="319">
                  <c:v>6.8303182721138E-2</c:v>
                </c:pt>
                <c:pt idx="320">
                  <c:v>6.7378126084804535E-2</c:v>
                </c:pt>
                <c:pt idx="321">
                  <c:v>6.6453069448471069E-2</c:v>
                </c:pt>
                <c:pt idx="322">
                  <c:v>6.5528020262718201E-2</c:v>
                </c:pt>
                <c:pt idx="323">
                  <c:v>6.4602963626384735E-2</c:v>
                </c:pt>
                <c:pt idx="324">
                  <c:v>6.367790699005127E-2</c:v>
                </c:pt>
                <c:pt idx="325">
                  <c:v>6.2752850353717804E-2</c:v>
                </c:pt>
                <c:pt idx="326">
                  <c:v>6.187405064702034E-2</c:v>
                </c:pt>
                <c:pt idx="327">
                  <c:v>6.1039190739393234E-2</c:v>
                </c:pt>
                <c:pt idx="328">
                  <c:v>6.020432710647583E-2</c:v>
                </c:pt>
                <c:pt idx="329">
                  <c:v>5.941120907664299E-2</c:v>
                </c:pt>
                <c:pt idx="330">
                  <c:v>5.8657746762037277E-2</c:v>
                </c:pt>
                <c:pt idx="331">
                  <c:v>5.794195830821991E-2</c:v>
                </c:pt>
                <c:pt idx="332">
                  <c:v>5.7261958718299866E-2</c:v>
                </c:pt>
                <c:pt idx="333">
                  <c:v>5.6615956127643585E-2</c:v>
                </c:pt>
                <c:pt idx="334">
                  <c:v>5.5969957262277603E-2</c:v>
                </c:pt>
                <c:pt idx="335">
                  <c:v>5.5323958396911621E-2</c:v>
                </c:pt>
                <c:pt idx="336">
                  <c:v>5.4710257798433304E-2</c:v>
                </c:pt>
                <c:pt idx="337">
                  <c:v>5.529327318072319E-2</c:v>
                </c:pt>
                <c:pt idx="338">
                  <c:v>5.4739408195018768E-2</c:v>
                </c:pt>
                <c:pt idx="339">
                  <c:v>5.4185543209314346E-2</c:v>
                </c:pt>
                <c:pt idx="340">
                  <c:v>5.365937203168869E-2</c:v>
                </c:pt>
                <c:pt idx="341">
                  <c:v>5.3133200854063034E-2</c:v>
                </c:pt>
                <c:pt idx="342">
                  <c:v>5.2607029676437378E-2</c:v>
                </c:pt>
                <c:pt idx="343">
                  <c:v>5.2054550498723984E-2</c:v>
                </c:pt>
                <c:pt idx="344">
                  <c:v>5.150207132101059E-2</c:v>
                </c:pt>
                <c:pt idx="345">
                  <c:v>5.0949592143297195E-2</c:v>
                </c:pt>
                <c:pt idx="346">
                  <c:v>5.0397112965583801E-2</c:v>
                </c:pt>
                <c:pt idx="347">
                  <c:v>4.9844630062580109E-2</c:v>
                </c:pt>
                <c:pt idx="348">
                  <c:v>4.9292150884866714E-2</c:v>
                </c:pt>
                <c:pt idx="349">
                  <c:v>4.873967170715332E-2</c:v>
                </c:pt>
                <c:pt idx="350">
                  <c:v>4.8187192529439926E-2</c:v>
                </c:pt>
                <c:pt idx="351">
                  <c:v>4.7634713351726532E-2</c:v>
                </c:pt>
                <c:pt idx="352">
                  <c:v>4.7109857201576233E-2</c:v>
                </c:pt>
                <c:pt idx="353">
                  <c:v>4.6585001051425934E-2</c:v>
                </c:pt>
                <c:pt idx="354">
                  <c:v>4.6086389571428299E-2</c:v>
                </c:pt>
                <c:pt idx="355">
                  <c:v>4.5587774366140366E-2</c:v>
                </c:pt>
                <c:pt idx="356">
                  <c:v>4.5114092528820038E-2</c:v>
                </c:pt>
                <c:pt idx="357">
                  <c:v>4.464041069149971E-2</c:v>
                </c:pt>
                <c:pt idx="358">
                  <c:v>4.4190414249897003E-2</c:v>
                </c:pt>
                <c:pt idx="359">
                  <c:v>4.3762914836406708E-2</c:v>
                </c:pt>
                <c:pt idx="360">
                  <c:v>4.3356791138648987E-2</c:v>
                </c:pt>
                <c:pt idx="361">
                  <c:v>4.2970973998308182E-2</c:v>
                </c:pt>
                <c:pt idx="362">
                  <c:v>4.2604446411132813E-2</c:v>
                </c:pt>
                <c:pt idx="363">
                  <c:v>4.2237922549247742E-2</c:v>
                </c:pt>
                <c:pt idx="364">
                  <c:v>4.1871394962072372E-2</c:v>
                </c:pt>
                <c:pt idx="365">
                  <c:v>4.1523195803165436E-2</c:v>
                </c:pt>
                <c:pt idx="366">
                  <c:v>4.1174996644258499E-2</c:v>
                </c:pt>
                <c:pt idx="367">
                  <c:v>4.0826793760061264E-2</c:v>
                </c:pt>
                <c:pt idx="368">
                  <c:v>4.0496006608009338E-2</c:v>
                </c:pt>
                <c:pt idx="369">
                  <c:v>4.0181756019592285E-2</c:v>
                </c:pt>
                <c:pt idx="370">
                  <c:v>3.9883218705654144E-2</c:v>
                </c:pt>
                <c:pt idx="371">
                  <c:v>3.9599604904651642E-2</c:v>
                </c:pt>
                <c:pt idx="372">
                  <c:v>3.9330177009105682E-2</c:v>
                </c:pt>
                <c:pt idx="373">
                  <c:v>3.9074216037988663E-2</c:v>
                </c:pt>
                <c:pt idx="374">
                  <c:v>3.8831055164337158E-2</c:v>
                </c:pt>
                <c:pt idx="375">
                  <c:v>3.8600053638219833E-2</c:v>
                </c:pt>
                <c:pt idx="376">
                  <c:v>3.836904838681221E-2</c:v>
                </c:pt>
                <c:pt idx="377">
                  <c:v>3.8149595260620117E-2</c:v>
                </c:pt>
                <c:pt idx="378">
                  <c:v>3.7941116839647293E-2</c:v>
                </c:pt>
                <c:pt idx="379">
                  <c:v>3.7743061780929565E-2</c:v>
                </c:pt>
                <c:pt idx="380">
                  <c:v>3.755490854382515E-2</c:v>
                </c:pt>
                <c:pt idx="381">
                  <c:v>3.7366751581430435E-2</c:v>
                </c:pt>
                <c:pt idx="382">
                  <c:v>3.7188008427619934E-2</c:v>
                </c:pt>
                <c:pt idx="383">
                  <c:v>3.7018198519945145E-2</c:v>
                </c:pt>
                <c:pt idx="384">
                  <c:v>3.6856882274150848E-2</c:v>
                </c:pt>
                <c:pt idx="385">
                  <c:v>3.6695562303066254E-2</c:v>
                </c:pt>
                <c:pt idx="386">
                  <c:v>3.6534246057271957E-2</c:v>
                </c:pt>
                <c:pt idx="387">
                  <c:v>3.6372926086187363E-2</c:v>
                </c:pt>
                <c:pt idx="388">
                  <c:v>3.6219675093889236E-2</c:v>
                </c:pt>
                <c:pt idx="389">
                  <c:v>3.606642410159111E-2</c:v>
                </c:pt>
                <c:pt idx="390">
                  <c:v>3.5913169384002686E-2</c:v>
                </c:pt>
                <c:pt idx="391">
                  <c:v>3.6074087023735046E-2</c:v>
                </c:pt>
                <c:pt idx="392">
                  <c:v>3.6235000938177109E-2</c:v>
                </c:pt>
                <c:pt idx="393">
                  <c:v>3.6403961479663849E-2</c:v>
                </c:pt>
                <c:pt idx="394">
                  <c:v>3.6572922021150589E-2</c:v>
                </c:pt>
                <c:pt idx="395">
                  <c:v>3.6741882562637329E-2</c:v>
                </c:pt>
                <c:pt idx="396">
                  <c:v>3.6919292062520981E-2</c:v>
                </c:pt>
                <c:pt idx="397">
                  <c:v>3.7105567753314972E-2</c:v>
                </c:pt>
                <c:pt idx="398">
                  <c:v>3.7301160395145416E-2</c:v>
                </c:pt>
                <c:pt idx="399">
                  <c:v>3.7496753036975861E-2</c:v>
                </c:pt>
                <c:pt idx="400">
                  <c:v>3.7692349404096603E-2</c:v>
                </c:pt>
                <c:pt idx="401">
                  <c:v>3.7887942045927048E-2</c:v>
                </c:pt>
                <c:pt idx="402">
                  <c:v>3.8093313574790955E-2</c:v>
                </c:pt>
                <c:pt idx="403">
                  <c:v>3.8308955729007721E-2</c:v>
                </c:pt>
                <c:pt idx="404">
                  <c:v>3.8535378873348236E-2</c:v>
                </c:pt>
                <c:pt idx="405">
                  <c:v>3.8773123174905777E-2</c:v>
                </c:pt>
                <c:pt idx="406">
                  <c:v>3.9022751152515411E-2</c:v>
                </c:pt>
                <c:pt idx="407">
                  <c:v>3.928486630320549E-2</c:v>
                </c:pt>
                <c:pt idx="408">
                  <c:v>3.9560083299875259E-2</c:v>
                </c:pt>
                <c:pt idx="409">
                  <c:v>3.9849065244197845E-2</c:v>
                </c:pt>
                <c:pt idx="410">
                  <c:v>4.0152493864297867E-2</c:v>
                </c:pt>
                <c:pt idx="411">
                  <c:v>4.0471091866493225E-2</c:v>
                </c:pt>
                <c:pt idx="412">
                  <c:v>4.0805622935295105E-2</c:v>
                </c:pt>
                <c:pt idx="413">
                  <c:v>4.1156880557537079E-2</c:v>
                </c:pt>
                <c:pt idx="414">
                  <c:v>4.1525699198246002E-2</c:v>
                </c:pt>
                <c:pt idx="415">
                  <c:v>4.191296175122261E-2</c:v>
                </c:pt>
                <c:pt idx="416">
                  <c:v>4.2319584637880325E-2</c:v>
                </c:pt>
                <c:pt idx="417">
                  <c:v>4.2746536433696747E-2</c:v>
                </c:pt>
                <c:pt idx="418">
                  <c:v>4.3194841593503952E-2</c:v>
                </c:pt>
                <c:pt idx="419">
                  <c:v>4.3665558099746704E-2</c:v>
                </c:pt>
                <c:pt idx="420">
                  <c:v>4.4159810990095139E-2</c:v>
                </c:pt>
                <c:pt idx="421">
                  <c:v>4.4678777456283569E-2</c:v>
                </c:pt>
                <c:pt idx="422">
                  <c:v>4.5223690569400787E-2</c:v>
                </c:pt>
                <c:pt idx="423">
                  <c:v>4.4651530683040619E-2</c:v>
                </c:pt>
                <c:pt idx="424">
                  <c:v>4.4050764292478561E-2</c:v>
                </c:pt>
                <c:pt idx="425">
                  <c:v>4.4681571424007416E-2</c:v>
                </c:pt>
                <c:pt idx="426">
                  <c:v>4.5343916863203049E-2</c:v>
                </c:pt>
                <c:pt idx="427">
                  <c:v>4.6039380133152008E-2</c:v>
                </c:pt>
                <c:pt idx="428">
                  <c:v>4.6769618988037109E-2</c:v>
                </c:pt>
                <c:pt idx="429">
                  <c:v>4.7536365687847137E-2</c:v>
                </c:pt>
                <c:pt idx="430">
                  <c:v>4.8341453075408936E-2</c:v>
                </c:pt>
                <c:pt idx="431">
                  <c:v>4.9186795949935913E-2</c:v>
                </c:pt>
                <c:pt idx="432">
                  <c:v>5.0074402242898941E-2</c:v>
                </c:pt>
                <c:pt idx="433">
                  <c:v>5.1006391644477844E-2</c:v>
                </c:pt>
                <c:pt idx="434">
                  <c:v>5.1984980702400208E-2</c:v>
                </c:pt>
                <c:pt idx="435">
                  <c:v>5.301249772310257E-2</c:v>
                </c:pt>
                <c:pt idx="436">
                  <c:v>5.409139022231102E-2</c:v>
                </c:pt>
                <c:pt idx="437">
                  <c:v>5.5224228650331497E-2</c:v>
                </c:pt>
                <c:pt idx="438">
                  <c:v>5.6413706392049789E-2</c:v>
                </c:pt>
                <c:pt idx="439">
                  <c:v>5.7662658393383026E-2</c:v>
                </c:pt>
                <c:pt idx="440">
                  <c:v>5.8974061161279678E-2</c:v>
                </c:pt>
                <c:pt idx="441">
                  <c:v>6.0351032763719559E-2</c:v>
                </c:pt>
                <c:pt idx="442">
                  <c:v>6.1796851456165314E-2</c:v>
                </c:pt>
                <c:pt idx="443">
                  <c:v>6.3314966857433319E-2</c:v>
                </c:pt>
                <c:pt idx="444">
                  <c:v>6.4908981323242188E-2</c:v>
                </c:pt>
                <c:pt idx="445">
                  <c:v>6.658269464969635E-2</c:v>
                </c:pt>
                <c:pt idx="446">
                  <c:v>6.825641542673111E-2</c:v>
                </c:pt>
                <c:pt idx="447">
                  <c:v>7.0013821125030518E-2</c:v>
                </c:pt>
                <c:pt idx="448">
                  <c:v>7.1859091520309448E-2</c:v>
                </c:pt>
                <c:pt idx="449">
                  <c:v>7.3796629905700684E-2</c:v>
                </c:pt>
                <c:pt idx="450">
                  <c:v>7.1859091520309448E-2</c:v>
                </c:pt>
                <c:pt idx="451">
                  <c:v>7.0018433034420013E-2</c:v>
                </c:pt>
                <c:pt idx="452">
                  <c:v>6.8177767097949982E-2</c:v>
                </c:pt>
                <c:pt idx="453">
                  <c:v>6.6337108612060547E-2</c:v>
                </c:pt>
                <c:pt idx="454">
                  <c:v>6.4496450126171112E-2</c:v>
                </c:pt>
                <c:pt idx="455">
                  <c:v>6.2655791640281677E-2</c:v>
                </c:pt>
                <c:pt idx="456">
                  <c:v>6.0815129429101944E-2</c:v>
                </c:pt>
                <c:pt idx="457">
                  <c:v>5.9066504240036011E-2</c:v>
                </c:pt>
                <c:pt idx="458">
                  <c:v>5.740530788898468E-2</c:v>
                </c:pt>
                <c:pt idx="459">
                  <c:v>5.574411153793335E-2</c:v>
                </c:pt>
                <c:pt idx="460">
                  <c:v>5.4082915186882019E-2</c:v>
                </c:pt>
                <c:pt idx="461">
                  <c:v>5.2504781633615494E-2</c:v>
                </c:pt>
                <c:pt idx="462">
                  <c:v>5.092664435505867E-2</c:v>
                </c:pt>
                <c:pt idx="463">
                  <c:v>4.9427416175603867E-2</c:v>
                </c:pt>
                <c:pt idx="464">
                  <c:v>4.7928184270858765E-2</c:v>
                </c:pt>
                <c:pt idx="465">
                  <c:v>4.6503916382789612E-2</c:v>
                </c:pt>
                <c:pt idx="466">
                  <c:v>4.5079652220010757E-2</c:v>
                </c:pt>
                <c:pt idx="467">
                  <c:v>4.3726596981287003E-2</c:v>
                </c:pt>
                <c:pt idx="468">
                  <c:v>4.2373541742563248E-2</c:v>
                </c:pt>
                <c:pt idx="469">
                  <c:v>4.1020486503839493E-2</c:v>
                </c:pt>
                <c:pt idx="470">
                  <c:v>3.9735086262226105E-2</c:v>
                </c:pt>
                <c:pt idx="471">
                  <c:v>3.8513954728841782E-2</c:v>
                </c:pt>
                <c:pt idx="472">
                  <c:v>3.7353880703449249E-2</c:v>
                </c:pt>
                <c:pt idx="473">
                  <c:v>3.6251809448003769E-2</c:v>
                </c:pt>
                <c:pt idx="474">
                  <c:v>3.5204838961362839E-2</c:v>
                </c:pt>
                <c:pt idx="475">
                  <c:v>3.4210219979286194E-2</c:v>
                </c:pt>
                <c:pt idx="476">
                  <c:v>3.3265333622694016E-2</c:v>
                </c:pt>
                <c:pt idx="477">
                  <c:v>3.2320443540811539E-2</c:v>
                </c:pt>
                <c:pt idx="478">
                  <c:v>3.137555718421936E-2</c:v>
                </c:pt>
                <c:pt idx="479">
                  <c:v>3.2320443540811539E-2</c:v>
                </c:pt>
                <c:pt idx="480">
                  <c:v>3.3218089491128922E-2</c:v>
                </c:pt>
                <c:pt idx="481">
                  <c:v>3.4070849418640137E-2</c:v>
                </c:pt>
                <c:pt idx="482">
                  <c:v>3.4880973398685455E-2</c:v>
                </c:pt>
                <c:pt idx="483">
                  <c:v>3.5650592297315598E-2</c:v>
                </c:pt>
                <c:pt idx="484">
                  <c:v>3.6420207470655441E-2</c:v>
                </c:pt>
                <c:pt idx="485">
                  <c:v>3.7189826369285583E-2</c:v>
                </c:pt>
                <c:pt idx="486">
                  <c:v>3.7959445267915726E-2</c:v>
                </c:pt>
                <c:pt idx="487">
                  <c:v>3.8729060441255569E-2</c:v>
                </c:pt>
                <c:pt idx="488">
                  <c:v>3.9498679339885712E-2</c:v>
                </c:pt>
                <c:pt idx="489">
                  <c:v>4.0306776762008667E-2</c:v>
                </c:pt>
                <c:pt idx="490">
                  <c:v>4.1114874184131622E-2</c:v>
                </c:pt>
                <c:pt idx="491">
                  <c:v>4.1922971606254578E-2</c:v>
                </c:pt>
                <c:pt idx="492">
                  <c:v>4.2690668255090714E-2</c:v>
                </c:pt>
                <c:pt idx="493">
                  <c:v>4.3458361178636551E-2</c:v>
                </c:pt>
                <c:pt idx="494">
                  <c:v>4.4226054102182388E-2</c:v>
                </c:pt>
                <c:pt idx="495">
                  <c:v>4.4993747025728226E-2</c:v>
                </c:pt>
                <c:pt idx="496">
                  <c:v>4.5761439949274063E-2</c:v>
                </c:pt>
                <c:pt idx="497">
                  <c:v>4.6529132872819901E-2</c:v>
                </c:pt>
                <c:pt idx="498">
                  <c:v>4.7296825796365738E-2</c:v>
                </c:pt>
                <c:pt idx="499">
                  <c:v>4.8064518719911575E-2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9.9999997764825821E-3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100.010498046875</c:v>
                </c:pt>
                <c:pt idx="81">
                  <c:v>100.02152252197266</c:v>
                </c:pt>
                <c:pt idx="82">
                  <c:v>100.03310394287109</c:v>
                </c:pt>
                <c:pt idx="83">
                  <c:v>100.044677734375</c:v>
                </c:pt>
                <c:pt idx="84">
                  <c:v>100.05683135986328</c:v>
                </c:pt>
                <c:pt idx="85">
                  <c:v>100.06898498535156</c:v>
                </c:pt>
                <c:pt idx="86">
                  <c:v>100.08114624023437</c:v>
                </c:pt>
                <c:pt idx="87">
                  <c:v>100.09329986572266</c:v>
                </c:pt>
                <c:pt idx="88">
                  <c:v>100.10606384277344</c:v>
                </c:pt>
                <c:pt idx="89">
                  <c:v>100.11882019042969</c:v>
                </c:pt>
                <c:pt idx="90">
                  <c:v>100.13222503662109</c:v>
                </c:pt>
                <c:pt idx="91">
                  <c:v>100.14629364013672</c:v>
                </c:pt>
                <c:pt idx="92">
                  <c:v>100.16107177734375</c:v>
                </c:pt>
                <c:pt idx="93">
                  <c:v>100.17658233642578</c:v>
                </c:pt>
                <c:pt idx="94">
                  <c:v>100.19209289550781</c:v>
                </c:pt>
                <c:pt idx="95">
                  <c:v>100.17658233642578</c:v>
                </c:pt>
                <c:pt idx="96">
                  <c:v>100.16029357910156</c:v>
                </c:pt>
                <c:pt idx="97">
                  <c:v>100.1431884765625</c:v>
                </c:pt>
                <c:pt idx="98">
                  <c:v>100.12609100341797</c:v>
                </c:pt>
                <c:pt idx="99">
                  <c:v>100.10813140869141</c:v>
                </c:pt>
                <c:pt idx="100">
                  <c:v>100.08927154541016</c:v>
                </c:pt>
                <c:pt idx="101">
                  <c:v>100.06947326660156</c:v>
                </c:pt>
                <c:pt idx="102">
                  <c:v>100.04868316650391</c:v>
                </c:pt>
                <c:pt idx="103">
                  <c:v>100.07051086425781</c:v>
                </c:pt>
                <c:pt idx="104">
                  <c:v>100.09342956542969</c:v>
                </c:pt>
                <c:pt idx="105">
                  <c:v>100.11750030517578</c:v>
                </c:pt>
                <c:pt idx="106">
                  <c:v>100.14276885986328</c:v>
                </c:pt>
                <c:pt idx="107">
                  <c:v>100.16930389404297</c:v>
                </c:pt>
                <c:pt idx="108">
                  <c:v>100.19715881347656</c:v>
                </c:pt>
                <c:pt idx="109">
                  <c:v>100.22640991210937</c:v>
                </c:pt>
                <c:pt idx="110">
                  <c:v>100.25712585449219</c:v>
                </c:pt>
                <c:pt idx="111">
                  <c:v>100.28938293457031</c:v>
                </c:pt>
                <c:pt idx="112">
                  <c:v>100.3232421875</c:v>
                </c:pt>
                <c:pt idx="113">
                  <c:v>100.35880279541016</c:v>
                </c:pt>
                <c:pt idx="114">
                  <c:v>100.46379852294922</c:v>
                </c:pt>
                <c:pt idx="115">
                  <c:v>100.57405090332031</c:v>
                </c:pt>
                <c:pt idx="116">
                  <c:v>100.68981170654297</c:v>
                </c:pt>
                <c:pt idx="117">
                  <c:v>100.80557250976562</c:v>
                </c:pt>
                <c:pt idx="118">
                  <c:v>100.9271240234375</c:v>
                </c:pt>
                <c:pt idx="119">
                  <c:v>101.05475616455078</c:v>
                </c:pt>
                <c:pt idx="120">
                  <c:v>101.18876647949219</c:v>
                </c:pt>
                <c:pt idx="121">
                  <c:v>101.32947540283203</c:v>
                </c:pt>
                <c:pt idx="122">
                  <c:v>101.47721862792969</c:v>
                </c:pt>
                <c:pt idx="123">
                  <c:v>101.63235473632812</c:v>
                </c:pt>
                <c:pt idx="124">
                  <c:v>101.79524230957031</c:v>
                </c:pt>
                <c:pt idx="125">
                  <c:v>101.96627807617187</c:v>
                </c:pt>
                <c:pt idx="126">
                  <c:v>102.14585876464844</c:v>
                </c:pt>
                <c:pt idx="127">
                  <c:v>102.33442687988281</c:v>
                </c:pt>
                <c:pt idx="128">
                  <c:v>102.53241729736328</c:v>
                </c:pt>
                <c:pt idx="129">
                  <c:v>102.74031066894531</c:v>
                </c:pt>
                <c:pt idx="130">
                  <c:v>102.94820404052734</c:v>
                </c:pt>
                <c:pt idx="131">
                  <c:v>103.15609741210937</c:v>
                </c:pt>
                <c:pt idx="132">
                  <c:v>104.15609741210937</c:v>
                </c:pt>
                <c:pt idx="133">
                  <c:v>105.20610046386719</c:v>
                </c:pt>
                <c:pt idx="134">
                  <c:v>106.30859375</c:v>
                </c:pt>
                <c:pt idx="135">
                  <c:v>107.41109466552734</c:v>
                </c:pt>
                <c:pt idx="136">
                  <c:v>108.5687255859375</c:v>
                </c:pt>
                <c:pt idx="137">
                  <c:v>109.72634887695312</c:v>
                </c:pt>
                <c:pt idx="138">
                  <c:v>110.94185638427734</c:v>
                </c:pt>
                <c:pt idx="139">
                  <c:v>112.21813201904297</c:v>
                </c:pt>
                <c:pt idx="140">
                  <c:v>113.43060302734375</c:v>
                </c:pt>
                <c:pt idx="141">
                  <c:v>114.58244323730469</c:v>
                </c:pt>
                <c:pt idx="142">
                  <c:v>115.67669677734375</c:v>
                </c:pt>
                <c:pt idx="143">
                  <c:v>116.71623992919922</c:v>
                </c:pt>
                <c:pt idx="144">
                  <c:v>117.70380401611328</c:v>
                </c:pt>
                <c:pt idx="145">
                  <c:v>118.64198303222656</c:v>
                </c:pt>
                <c:pt idx="146">
                  <c:v>119.53325653076172</c:v>
                </c:pt>
                <c:pt idx="147">
                  <c:v>120.37997436523437</c:v>
                </c:pt>
                <c:pt idx="148">
                  <c:v>121.18434906005859</c:v>
                </c:pt>
                <c:pt idx="149">
                  <c:v>121.94850158691406</c:v>
                </c:pt>
                <c:pt idx="150">
                  <c:v>121.18434906005859</c:v>
                </c:pt>
                <c:pt idx="151">
                  <c:v>120.42018890380859</c:v>
                </c:pt>
                <c:pt idx="152">
                  <c:v>119.65603637695312</c:v>
                </c:pt>
                <c:pt idx="153">
                  <c:v>120.42018890380859</c:v>
                </c:pt>
                <c:pt idx="154">
                  <c:v>121.22255706787109</c:v>
                </c:pt>
                <c:pt idx="155">
                  <c:v>122.06504058837891</c:v>
                </c:pt>
                <c:pt idx="156">
                  <c:v>122.90752410888672</c:v>
                </c:pt>
                <c:pt idx="157">
                  <c:v>123.79212951660156</c:v>
                </c:pt>
                <c:pt idx="158">
                  <c:v>124.72096252441406</c:v>
                </c:pt>
                <c:pt idx="159">
                  <c:v>125.69624328613281</c:v>
                </c:pt>
                <c:pt idx="160">
                  <c:v>126.72029113769531</c:v>
                </c:pt>
                <c:pt idx="161">
                  <c:v>127.69313049316406</c:v>
                </c:pt>
                <c:pt idx="162">
                  <c:v>128.61732482910156</c:v>
                </c:pt>
                <c:pt idx="163">
                  <c:v>129.49531555175781</c:v>
                </c:pt>
                <c:pt idx="164">
                  <c:v>130.32940673828125</c:v>
                </c:pt>
                <c:pt idx="165">
                  <c:v>131.12179565429688</c:v>
                </c:pt>
                <c:pt idx="166">
                  <c:v>131.87455749511719</c:v>
                </c:pt>
                <c:pt idx="167">
                  <c:v>132.58969116210937</c:v>
                </c:pt>
                <c:pt idx="168">
                  <c:v>132.58969116210937</c:v>
                </c:pt>
                <c:pt idx="169">
                  <c:v>132.58999633789063</c:v>
                </c:pt>
                <c:pt idx="170">
                  <c:v>132.58999633789063</c:v>
                </c:pt>
                <c:pt idx="171">
                  <c:v>142.58999633789063</c:v>
                </c:pt>
                <c:pt idx="172">
                  <c:v>153.08999633789062</c:v>
                </c:pt>
                <c:pt idx="173">
                  <c:v>164.11500549316406</c:v>
                </c:pt>
                <c:pt idx="174">
                  <c:v>175.13999938964844</c:v>
                </c:pt>
                <c:pt idx="175">
                  <c:v>186.16499328613281</c:v>
                </c:pt>
                <c:pt idx="176">
                  <c:v>197.74125671386719</c:v>
                </c:pt>
                <c:pt idx="177">
                  <c:v>209.3175048828125</c:v>
                </c:pt>
                <c:pt idx="178">
                  <c:v>220.89375305175781</c:v>
                </c:pt>
                <c:pt idx="179">
                  <c:v>232.47000122070312</c:v>
                </c:pt>
                <c:pt idx="180">
                  <c:v>244.62506103515625</c:v>
                </c:pt>
                <c:pt idx="181">
                  <c:v>256.78012084960937</c:v>
                </c:pt>
                <c:pt idx="182">
                  <c:v>268.9351806640625</c:v>
                </c:pt>
                <c:pt idx="183">
                  <c:v>281.697998046875</c:v>
                </c:pt>
                <c:pt idx="184">
                  <c:v>294.4608154296875</c:v>
                </c:pt>
                <c:pt idx="185">
                  <c:v>307.2236328125</c:v>
                </c:pt>
                <c:pt idx="186">
                  <c:v>320.62460327148437</c:v>
                </c:pt>
                <c:pt idx="187">
                  <c:v>334.02554321289063</c:v>
                </c:pt>
                <c:pt idx="188">
                  <c:v>347.426513671875</c:v>
                </c:pt>
                <c:pt idx="189">
                  <c:v>361.49749755859375</c:v>
                </c:pt>
                <c:pt idx="190">
                  <c:v>347.426513671875</c:v>
                </c:pt>
                <c:pt idx="191">
                  <c:v>333.35549926757812</c:v>
                </c:pt>
                <c:pt idx="192">
                  <c:v>319.28448486328125</c:v>
                </c:pt>
                <c:pt idx="193">
                  <c:v>305.2135009765625</c:v>
                </c:pt>
                <c:pt idx="194">
                  <c:v>291.14248657226563</c:v>
                </c:pt>
                <c:pt idx="195">
                  <c:v>277.07147216796875</c:v>
                </c:pt>
                <c:pt idx="196">
                  <c:v>263.00048828125</c:v>
                </c:pt>
                <c:pt idx="197">
                  <c:v>248.92947387695312</c:v>
                </c:pt>
                <c:pt idx="198">
                  <c:v>234.85847473144531</c:v>
                </c:pt>
                <c:pt idx="199">
                  <c:v>220.78746032714844</c:v>
                </c:pt>
                <c:pt idx="200">
                  <c:v>206.71646118164062</c:v>
                </c:pt>
                <c:pt idx="201">
                  <c:v>192.64546203613281</c:v>
                </c:pt>
                <c:pt idx="202">
                  <c:v>179.27799987792969</c:v>
                </c:pt>
                <c:pt idx="203">
                  <c:v>165.91055297851563</c:v>
                </c:pt>
                <c:pt idx="204">
                  <c:v>152.5430908203125</c:v>
                </c:pt>
                <c:pt idx="205">
                  <c:v>139.17564392089844</c:v>
                </c:pt>
                <c:pt idx="206">
                  <c:v>125.80818939208984</c:v>
                </c:pt>
                <c:pt idx="207">
                  <c:v>112.44073486328125</c:v>
                </c:pt>
                <c:pt idx="208">
                  <c:v>99.741653442382812</c:v>
                </c:pt>
                <c:pt idx="209">
                  <c:v>87.042572021484375</c:v>
                </c:pt>
                <c:pt idx="210">
                  <c:v>74.343490600585938</c:v>
                </c:pt>
                <c:pt idx="211">
                  <c:v>61.6444091796875</c:v>
                </c:pt>
                <c:pt idx="212">
                  <c:v>48.945327758789063</c:v>
                </c:pt>
                <c:pt idx="213">
                  <c:v>36.881198883056641</c:v>
                </c:pt>
                <c:pt idx="214">
                  <c:v>24.817071914672852</c:v>
                </c:pt>
                <c:pt idx="215">
                  <c:v>12.752944946289063</c:v>
                </c:pt>
                <c:pt idx="216">
                  <c:v>0.68881744146347046</c:v>
                </c:pt>
                <c:pt idx="217">
                  <c:v>-11.375309944152832</c:v>
                </c:pt>
                <c:pt idx="218">
                  <c:v>-23.439437866210937</c:v>
                </c:pt>
                <c:pt idx="219">
                  <c:v>-35.503562927246094</c:v>
                </c:pt>
                <c:pt idx="220">
                  <c:v>-47.567691802978516</c:v>
                </c:pt>
                <c:pt idx="221">
                  <c:v>-59.028614044189453</c:v>
                </c:pt>
                <c:pt idx="222">
                  <c:v>-70.489532470703125</c:v>
                </c:pt>
                <c:pt idx="223">
                  <c:v>-81.950454711914063</c:v>
                </c:pt>
                <c:pt idx="224">
                  <c:v>-93.411376953125</c:v>
                </c:pt>
                <c:pt idx="225">
                  <c:v>-104.87229919433594</c:v>
                </c:pt>
                <c:pt idx="226">
                  <c:v>-116.33321380615234</c:v>
                </c:pt>
                <c:pt idx="227">
                  <c:v>-127.79413604736328</c:v>
                </c:pt>
                <c:pt idx="228">
                  <c:v>-139.25506591796875</c:v>
                </c:pt>
                <c:pt idx="229">
                  <c:v>-150.71597290039062</c:v>
                </c:pt>
                <c:pt idx="230">
                  <c:v>-162.17689514160156</c:v>
                </c:pt>
                <c:pt idx="231">
                  <c:v>-173.6378173828125</c:v>
                </c:pt>
                <c:pt idx="232">
                  <c:v>-184.52569580078125</c:v>
                </c:pt>
                <c:pt idx="233">
                  <c:v>-173.6378173828125</c:v>
                </c:pt>
                <c:pt idx="234">
                  <c:v>-162.74993896484375</c:v>
                </c:pt>
                <c:pt idx="235">
                  <c:v>-151.86207580566406</c:v>
                </c:pt>
                <c:pt idx="236">
                  <c:v>-140.97419738769531</c:v>
                </c:pt>
                <c:pt idx="237">
                  <c:v>-130.08631896972656</c:v>
                </c:pt>
                <c:pt idx="238">
                  <c:v>-119.19844818115234</c:v>
                </c:pt>
                <c:pt idx="239">
                  <c:v>-108.31056976318359</c:v>
                </c:pt>
                <c:pt idx="240">
                  <c:v>-97.422698974609375</c:v>
                </c:pt>
                <c:pt idx="241">
                  <c:v>-86.534820556640625</c:v>
                </c:pt>
                <c:pt idx="242">
                  <c:v>-75.646949768066406</c:v>
                </c:pt>
                <c:pt idx="243">
                  <c:v>-64.759071350097656</c:v>
                </c:pt>
                <c:pt idx="244">
                  <c:v>-53.871196746826172</c:v>
                </c:pt>
                <c:pt idx="245">
                  <c:v>-42.983322143554688</c:v>
                </c:pt>
                <c:pt idx="246">
                  <c:v>-32.095447540283203</c:v>
                </c:pt>
                <c:pt idx="247">
                  <c:v>-21.207572937011719</c:v>
                </c:pt>
                <c:pt idx="248">
                  <c:v>-10.319698333740234</c:v>
                </c:pt>
                <c:pt idx="249">
                  <c:v>0.56817615032196045</c:v>
                </c:pt>
                <c:pt idx="250">
                  <c:v>11.456050872802734</c:v>
                </c:pt>
                <c:pt idx="251">
                  <c:v>22.343925476074219</c:v>
                </c:pt>
                <c:pt idx="252">
                  <c:v>33.231800079345703</c:v>
                </c:pt>
                <c:pt idx="253">
                  <c:v>44.119674682617188</c:v>
                </c:pt>
                <c:pt idx="254">
                  <c:v>55.007549285888672</c:v>
                </c:pt>
                <c:pt idx="255">
                  <c:v>65.895423889160156</c:v>
                </c:pt>
                <c:pt idx="256">
                  <c:v>76.783302307128906</c:v>
                </c:pt>
                <c:pt idx="257">
                  <c:v>87.671173095703125</c:v>
                </c:pt>
                <c:pt idx="258">
                  <c:v>98.559051513671875</c:v>
                </c:pt>
                <c:pt idx="259">
                  <c:v>109.44692230224609</c:v>
                </c:pt>
                <c:pt idx="260">
                  <c:v>120.33480072021484</c:v>
                </c:pt>
                <c:pt idx="261">
                  <c:v>131.22267150878906</c:v>
                </c:pt>
                <c:pt idx="262">
                  <c:v>141.566162109375</c:v>
                </c:pt>
                <c:pt idx="263">
                  <c:v>151.3924560546875</c:v>
                </c:pt>
                <c:pt idx="264">
                  <c:v>161.21876525878906</c:v>
                </c:pt>
                <c:pt idx="265">
                  <c:v>171.04507446289062</c:v>
                </c:pt>
                <c:pt idx="266">
                  <c:v>180.87138366699219</c:v>
                </c:pt>
                <c:pt idx="267">
                  <c:v>190.20637512207031</c:v>
                </c:pt>
                <c:pt idx="268">
                  <c:v>199.54136657714844</c:v>
                </c:pt>
                <c:pt idx="269">
                  <c:v>208.87635803222656</c:v>
                </c:pt>
                <c:pt idx="270">
                  <c:v>218.21134948730469</c:v>
                </c:pt>
                <c:pt idx="271">
                  <c:v>227.54634094238281</c:v>
                </c:pt>
                <c:pt idx="272">
                  <c:v>236.88133239746094</c:v>
                </c:pt>
                <c:pt idx="273">
                  <c:v>246.21632385253906</c:v>
                </c:pt>
                <c:pt idx="274">
                  <c:v>255.55131530761719</c:v>
                </c:pt>
                <c:pt idx="275">
                  <c:v>264.88632202148437</c:v>
                </c:pt>
                <c:pt idx="276">
                  <c:v>274.2213134765625</c:v>
                </c:pt>
                <c:pt idx="277">
                  <c:v>283.08953857421875</c:v>
                </c:pt>
                <c:pt idx="278">
                  <c:v>291.95779418945312</c:v>
                </c:pt>
                <c:pt idx="279">
                  <c:v>300.82601928710937</c:v>
                </c:pt>
                <c:pt idx="280">
                  <c:v>309.69427490234375</c:v>
                </c:pt>
                <c:pt idx="281">
                  <c:v>318.11911010742188</c:v>
                </c:pt>
                <c:pt idx="282">
                  <c:v>310.11550903320312</c:v>
                </c:pt>
                <c:pt idx="283">
                  <c:v>302.51211547851562</c:v>
                </c:pt>
                <c:pt idx="284">
                  <c:v>294.90869140625</c:v>
                </c:pt>
                <c:pt idx="285">
                  <c:v>287.68545532226562</c:v>
                </c:pt>
                <c:pt idx="286">
                  <c:v>280.46221923828125</c:v>
                </c:pt>
                <c:pt idx="287">
                  <c:v>273.23898315429687</c:v>
                </c:pt>
                <c:pt idx="288">
                  <c:v>266.37689208984375</c:v>
                </c:pt>
                <c:pt idx="289">
                  <c:v>259.85794067382812</c:v>
                </c:pt>
                <c:pt idx="290">
                  <c:v>253.33895874023437</c:v>
                </c:pt>
                <c:pt idx="291">
                  <c:v>246.81997680664062</c:v>
                </c:pt>
                <c:pt idx="292">
                  <c:v>240.626953125</c:v>
                </c:pt>
                <c:pt idx="293">
                  <c:v>234.74359130859375</c:v>
                </c:pt>
                <c:pt idx="294">
                  <c:v>228.86021423339844</c:v>
                </c:pt>
                <c:pt idx="295">
                  <c:v>223.27101135253906</c:v>
                </c:pt>
                <c:pt idx="296">
                  <c:v>217.68180847167969</c:v>
                </c:pt>
                <c:pt idx="297">
                  <c:v>212.09259033203125</c:v>
                </c:pt>
                <c:pt idx="298">
                  <c:v>206.50338745117187</c:v>
                </c:pt>
                <c:pt idx="299">
                  <c:v>212.09259033203125</c:v>
                </c:pt>
                <c:pt idx="300">
                  <c:v>217.40234375</c:v>
                </c:pt>
                <c:pt idx="301">
                  <c:v>222.71208190917969</c:v>
                </c:pt>
                <c:pt idx="302">
                  <c:v>227.75634765625</c:v>
                </c:pt>
                <c:pt idx="303">
                  <c:v>232.54838562011719</c:v>
                </c:pt>
                <c:pt idx="304">
                  <c:v>237.34042358398437</c:v>
                </c:pt>
                <c:pt idx="305">
                  <c:v>242.13247680664062</c:v>
                </c:pt>
                <c:pt idx="306">
                  <c:v>246.68492126464844</c:v>
                </c:pt>
                <c:pt idx="307">
                  <c:v>251.23736572265625</c:v>
                </c:pt>
                <c:pt idx="308">
                  <c:v>255.789794921875</c:v>
                </c:pt>
                <c:pt idx="309">
                  <c:v>260.1146240234375</c:v>
                </c:pt>
                <c:pt idx="310">
                  <c:v>264.439453125</c:v>
                </c:pt>
                <c:pt idx="311">
                  <c:v>268.76425170898437</c:v>
                </c:pt>
                <c:pt idx="312">
                  <c:v>272.87283325195312</c:v>
                </c:pt>
                <c:pt idx="313">
                  <c:v>268.96969604492188</c:v>
                </c:pt>
                <c:pt idx="314">
                  <c:v>265.26168823242187</c:v>
                </c:pt>
                <c:pt idx="315">
                  <c:v>261.5537109375</c:v>
                </c:pt>
                <c:pt idx="316">
                  <c:v>257.845703125</c:v>
                </c:pt>
                <c:pt idx="317">
                  <c:v>254.13772583007812</c:v>
                </c:pt>
                <c:pt idx="318">
                  <c:v>250.61512756347656</c:v>
                </c:pt>
                <c:pt idx="319">
                  <c:v>247.092529296875</c:v>
                </c:pt>
                <c:pt idx="320">
                  <c:v>243.74607849121094</c:v>
                </c:pt>
                <c:pt idx="321">
                  <c:v>240.39961242675781</c:v>
                </c:pt>
                <c:pt idx="322">
                  <c:v>237.05314636230469</c:v>
                </c:pt>
                <c:pt idx="323">
                  <c:v>233.70668029785156</c:v>
                </c:pt>
                <c:pt idx="324">
                  <c:v>230.36021423339844</c:v>
                </c:pt>
                <c:pt idx="325">
                  <c:v>227.01374816894531</c:v>
                </c:pt>
                <c:pt idx="326">
                  <c:v>223.83460998535156</c:v>
                </c:pt>
                <c:pt idx="327">
                  <c:v>220.81443786621094</c:v>
                </c:pt>
                <c:pt idx="328">
                  <c:v>217.79425048828125</c:v>
                </c:pt>
                <c:pt idx="329">
                  <c:v>214.92507934570312</c:v>
                </c:pt>
                <c:pt idx="330">
                  <c:v>212.19935607910156</c:v>
                </c:pt>
                <c:pt idx="331">
                  <c:v>209.60992431640625</c:v>
                </c:pt>
                <c:pt idx="332">
                  <c:v>207.14997863769531</c:v>
                </c:pt>
                <c:pt idx="333">
                  <c:v>204.81301879882812</c:v>
                </c:pt>
                <c:pt idx="334">
                  <c:v>202.47605895996094</c:v>
                </c:pt>
                <c:pt idx="335">
                  <c:v>200.13909912109375</c:v>
                </c:pt>
                <c:pt idx="336">
                  <c:v>197.91897583007812</c:v>
                </c:pt>
                <c:pt idx="337">
                  <c:v>200.02809143066406</c:v>
                </c:pt>
                <c:pt idx="338">
                  <c:v>198.02442932128906</c:v>
                </c:pt>
                <c:pt idx="339">
                  <c:v>196.02078247070313</c:v>
                </c:pt>
                <c:pt idx="340">
                  <c:v>194.11732482910156</c:v>
                </c:pt>
                <c:pt idx="341">
                  <c:v>192.21385192871094</c:v>
                </c:pt>
                <c:pt idx="342">
                  <c:v>190.31037902832031</c:v>
                </c:pt>
                <c:pt idx="343">
                  <c:v>188.31173706054687</c:v>
                </c:pt>
                <c:pt idx="344">
                  <c:v>186.31309509277344</c:v>
                </c:pt>
                <c:pt idx="345">
                  <c:v>184.314453125</c:v>
                </c:pt>
                <c:pt idx="346">
                  <c:v>182.31581115722656</c:v>
                </c:pt>
                <c:pt idx="347">
                  <c:v>180.31716918945312</c:v>
                </c:pt>
                <c:pt idx="348">
                  <c:v>178.31852722167969</c:v>
                </c:pt>
                <c:pt idx="349">
                  <c:v>176.31988525390625</c:v>
                </c:pt>
                <c:pt idx="350">
                  <c:v>174.32124328613281</c:v>
                </c:pt>
                <c:pt idx="351">
                  <c:v>172.32260131835937</c:v>
                </c:pt>
                <c:pt idx="352">
                  <c:v>170.42388916015625</c:v>
                </c:pt>
                <c:pt idx="353">
                  <c:v>168.52517700195312</c:v>
                </c:pt>
                <c:pt idx="354">
                  <c:v>166.72140502929687</c:v>
                </c:pt>
                <c:pt idx="355">
                  <c:v>164.91763305664062</c:v>
                </c:pt>
                <c:pt idx="356">
                  <c:v>163.20405578613281</c:v>
                </c:pt>
                <c:pt idx="357">
                  <c:v>161.49046325683594</c:v>
                </c:pt>
                <c:pt idx="358">
                  <c:v>159.86256408691406</c:v>
                </c:pt>
                <c:pt idx="359">
                  <c:v>158.3160400390625</c:v>
                </c:pt>
                <c:pt idx="360">
                  <c:v>156.84686279296875</c:v>
                </c:pt>
                <c:pt idx="361">
                  <c:v>155.45114135742187</c:v>
                </c:pt>
                <c:pt idx="362">
                  <c:v>154.12519836425781</c:v>
                </c:pt>
                <c:pt idx="363">
                  <c:v>152.79925537109375</c:v>
                </c:pt>
                <c:pt idx="364">
                  <c:v>151.47331237792969</c:v>
                </c:pt>
                <c:pt idx="365">
                  <c:v>150.21366882324219</c:v>
                </c:pt>
                <c:pt idx="366">
                  <c:v>148.95402526855469</c:v>
                </c:pt>
                <c:pt idx="367">
                  <c:v>147.69438171386719</c:v>
                </c:pt>
                <c:pt idx="368">
                  <c:v>146.49772644042969</c:v>
                </c:pt>
                <c:pt idx="369">
                  <c:v>145.36090087890625</c:v>
                </c:pt>
                <c:pt idx="370">
                  <c:v>144.28091430664062</c:v>
                </c:pt>
                <c:pt idx="371">
                  <c:v>143.25492858886719</c:v>
                </c:pt>
                <c:pt idx="372">
                  <c:v>142.28024291992187</c:v>
                </c:pt>
                <c:pt idx="373">
                  <c:v>141.35427856445312</c:v>
                </c:pt>
                <c:pt idx="374">
                  <c:v>140.47462463378906</c:v>
                </c:pt>
                <c:pt idx="375">
                  <c:v>139.63896179199219</c:v>
                </c:pt>
                <c:pt idx="376">
                  <c:v>138.80328369140625</c:v>
                </c:pt>
                <c:pt idx="377">
                  <c:v>138.0093994140625</c:v>
                </c:pt>
                <c:pt idx="378">
                  <c:v>137.25520324707031</c:v>
                </c:pt>
                <c:pt idx="379">
                  <c:v>136.53871154785156</c:v>
                </c:pt>
                <c:pt idx="380">
                  <c:v>135.85804748535156</c:v>
                </c:pt>
                <c:pt idx="381">
                  <c:v>135.17738342285156</c:v>
                </c:pt>
                <c:pt idx="382">
                  <c:v>134.53076171875</c:v>
                </c:pt>
                <c:pt idx="383">
                  <c:v>133.91647338867187</c:v>
                </c:pt>
                <c:pt idx="384">
                  <c:v>133.3328857421875</c:v>
                </c:pt>
                <c:pt idx="385">
                  <c:v>132.74929809570312</c:v>
                </c:pt>
                <c:pt idx="386">
                  <c:v>132.16572570800781</c:v>
                </c:pt>
                <c:pt idx="387">
                  <c:v>131.58213806152344</c:v>
                </c:pt>
                <c:pt idx="388">
                  <c:v>131.02774047851563</c:v>
                </c:pt>
                <c:pt idx="389">
                  <c:v>130.47334289550781</c:v>
                </c:pt>
                <c:pt idx="390">
                  <c:v>129.91893005371094</c:v>
                </c:pt>
                <c:pt idx="391">
                  <c:v>130.50105285644531</c:v>
                </c:pt>
                <c:pt idx="392">
                  <c:v>131.08317565917969</c:v>
                </c:pt>
                <c:pt idx="393">
                  <c:v>131.69441223144531</c:v>
                </c:pt>
                <c:pt idx="394">
                  <c:v>132.30563354492188</c:v>
                </c:pt>
                <c:pt idx="395">
                  <c:v>132.9168701171875</c:v>
                </c:pt>
                <c:pt idx="396">
                  <c:v>133.55865478515625</c:v>
                </c:pt>
                <c:pt idx="397">
                  <c:v>134.23252868652344</c:v>
                </c:pt>
                <c:pt idx="398">
                  <c:v>134.94010925292969</c:v>
                </c:pt>
                <c:pt idx="399">
                  <c:v>135.64767456054687</c:v>
                </c:pt>
                <c:pt idx="400">
                  <c:v>136.35525512695312</c:v>
                </c:pt>
                <c:pt idx="401">
                  <c:v>137.06283569335937</c:v>
                </c:pt>
                <c:pt idx="402">
                  <c:v>137.8057861328125</c:v>
                </c:pt>
                <c:pt idx="403">
                  <c:v>138.58587646484375</c:v>
                </c:pt>
                <c:pt idx="404">
                  <c:v>139.40498352050781</c:v>
                </c:pt>
                <c:pt idx="405">
                  <c:v>140.26504516601562</c:v>
                </c:pt>
                <c:pt idx="406">
                  <c:v>141.16810607910156</c:v>
                </c:pt>
                <c:pt idx="407">
                  <c:v>142.1163330078125</c:v>
                </c:pt>
                <c:pt idx="408">
                  <c:v>143.11195373535156</c:v>
                </c:pt>
                <c:pt idx="409">
                  <c:v>144.15736389160156</c:v>
                </c:pt>
                <c:pt idx="410">
                  <c:v>145.25503540039062</c:v>
                </c:pt>
                <c:pt idx="411">
                  <c:v>146.40760803222656</c:v>
                </c:pt>
                <c:pt idx="412">
                  <c:v>147.6177978515625</c:v>
                </c:pt>
                <c:pt idx="413">
                  <c:v>148.88848876953125</c:v>
                </c:pt>
                <c:pt idx="414">
                  <c:v>150.22273254394531</c:v>
                </c:pt>
                <c:pt idx="415">
                  <c:v>151.62367248535156</c:v>
                </c:pt>
                <c:pt idx="416">
                  <c:v>153.09466552734375</c:v>
                </c:pt>
                <c:pt idx="417">
                  <c:v>154.63922119140625</c:v>
                </c:pt>
                <c:pt idx="418">
                  <c:v>156.260986328125</c:v>
                </c:pt>
                <c:pt idx="419">
                  <c:v>157.96385192871094</c:v>
                </c:pt>
                <c:pt idx="420">
                  <c:v>159.75184631347656</c:v>
                </c:pt>
                <c:pt idx="421">
                  <c:v>161.62925720214844</c:v>
                </c:pt>
                <c:pt idx="422">
                  <c:v>163.60052490234375</c:v>
                </c:pt>
                <c:pt idx="423">
                  <c:v>161.53068542480469</c:v>
                </c:pt>
                <c:pt idx="424">
                  <c:v>159.35736083984375</c:v>
                </c:pt>
                <c:pt idx="425">
                  <c:v>161.63935852050781</c:v>
                </c:pt>
                <c:pt idx="426">
                  <c:v>164.03544616699219</c:v>
                </c:pt>
                <c:pt idx="427">
                  <c:v>166.55136108398437</c:v>
                </c:pt>
                <c:pt idx="428">
                  <c:v>169.19305419921875</c:v>
                </c:pt>
                <c:pt idx="429">
                  <c:v>171.96682739257812</c:v>
                </c:pt>
                <c:pt idx="430">
                  <c:v>174.87930297851563</c:v>
                </c:pt>
                <c:pt idx="431">
                  <c:v>177.93739318847656</c:v>
                </c:pt>
                <c:pt idx="432">
                  <c:v>181.14839172363281</c:v>
                </c:pt>
                <c:pt idx="433">
                  <c:v>184.51992797851563</c:v>
                </c:pt>
                <c:pt idx="434">
                  <c:v>188.06005859375</c:v>
                </c:pt>
                <c:pt idx="435">
                  <c:v>191.77719116210937</c:v>
                </c:pt>
                <c:pt idx="436">
                  <c:v>195.68017578125</c:v>
                </c:pt>
                <c:pt idx="437">
                  <c:v>199.77830505371094</c:v>
                </c:pt>
                <c:pt idx="438">
                  <c:v>204.08135986328125</c:v>
                </c:pt>
                <c:pt idx="439">
                  <c:v>208.59954833984375</c:v>
                </c:pt>
                <c:pt idx="440">
                  <c:v>213.34365844726562</c:v>
                </c:pt>
                <c:pt idx="441">
                  <c:v>218.32496643066406</c:v>
                </c:pt>
                <c:pt idx="442">
                  <c:v>223.55534362792969</c:v>
                </c:pt>
                <c:pt idx="443">
                  <c:v>229.0472412109375</c:v>
                </c:pt>
                <c:pt idx="444">
                  <c:v>234.813720703125</c:v>
                </c:pt>
                <c:pt idx="445">
                  <c:v>240.86854553222656</c:v>
                </c:pt>
                <c:pt idx="446">
                  <c:v>246.92335510253906</c:v>
                </c:pt>
                <c:pt idx="447">
                  <c:v>253.28089904785156</c:v>
                </c:pt>
                <c:pt idx="448">
                  <c:v>259.95632934570312</c:v>
                </c:pt>
                <c:pt idx="449">
                  <c:v>266.96554565429687</c:v>
                </c:pt>
                <c:pt idx="450">
                  <c:v>259.95632934570312</c:v>
                </c:pt>
                <c:pt idx="451">
                  <c:v>253.29759216308594</c:v>
                </c:pt>
                <c:pt idx="452">
                  <c:v>246.63885498046875</c:v>
                </c:pt>
                <c:pt idx="453">
                  <c:v>239.9801025390625</c:v>
                </c:pt>
                <c:pt idx="454">
                  <c:v>233.32136535644531</c:v>
                </c:pt>
                <c:pt idx="455">
                  <c:v>226.66262817382812</c:v>
                </c:pt>
                <c:pt idx="456">
                  <c:v>220.00387573242187</c:v>
                </c:pt>
                <c:pt idx="457">
                  <c:v>213.67807006835937</c:v>
                </c:pt>
                <c:pt idx="458">
                  <c:v>207.66854858398437</c:v>
                </c:pt>
                <c:pt idx="459">
                  <c:v>201.65904235839844</c:v>
                </c:pt>
                <c:pt idx="460">
                  <c:v>195.64952087402344</c:v>
                </c:pt>
                <c:pt idx="461">
                  <c:v>189.94047546386719</c:v>
                </c:pt>
                <c:pt idx="462">
                  <c:v>184.2314453125</c:v>
                </c:pt>
                <c:pt idx="463">
                  <c:v>178.807861328125</c:v>
                </c:pt>
                <c:pt idx="464">
                  <c:v>173.38426208496094</c:v>
                </c:pt>
                <c:pt idx="465">
                  <c:v>168.23185729980469</c:v>
                </c:pt>
                <c:pt idx="466">
                  <c:v>163.07945251464844</c:v>
                </c:pt>
                <c:pt idx="467">
                  <c:v>158.18466186523437</c:v>
                </c:pt>
                <c:pt idx="468">
                  <c:v>153.28987121582031</c:v>
                </c:pt>
                <c:pt idx="469">
                  <c:v>148.39508056640625</c:v>
                </c:pt>
                <c:pt idx="470">
                  <c:v>143.74504089355469</c:v>
                </c:pt>
                <c:pt idx="471">
                  <c:v>139.32748413085937</c:v>
                </c:pt>
                <c:pt idx="472">
                  <c:v>135.13081359863281</c:v>
                </c:pt>
                <c:pt idx="473">
                  <c:v>131.14398193359375</c:v>
                </c:pt>
                <c:pt idx="474">
                  <c:v>127.35649108886719</c:v>
                </c:pt>
                <c:pt idx="475">
                  <c:v>123.75836944580078</c:v>
                </c:pt>
                <c:pt idx="476">
                  <c:v>120.34015655517578</c:v>
                </c:pt>
                <c:pt idx="477">
                  <c:v>116.92194366455078</c:v>
                </c:pt>
                <c:pt idx="478">
                  <c:v>113.50373077392578</c:v>
                </c:pt>
                <c:pt idx="479">
                  <c:v>116.92194366455078</c:v>
                </c:pt>
                <c:pt idx="480">
                  <c:v>120.16924285888672</c:v>
                </c:pt>
                <c:pt idx="481">
                  <c:v>123.25418090820312</c:v>
                </c:pt>
                <c:pt idx="482">
                  <c:v>126.18487548828125</c:v>
                </c:pt>
                <c:pt idx="483">
                  <c:v>128.96902465820313</c:v>
                </c:pt>
                <c:pt idx="484">
                  <c:v>131.75318908691406</c:v>
                </c:pt>
                <c:pt idx="485">
                  <c:v>134.53733825683594</c:v>
                </c:pt>
                <c:pt idx="486">
                  <c:v>137.32150268554688</c:v>
                </c:pt>
                <c:pt idx="487">
                  <c:v>140.10565185546875</c:v>
                </c:pt>
                <c:pt idx="488">
                  <c:v>142.88981628417969</c:v>
                </c:pt>
                <c:pt idx="489">
                  <c:v>145.81317138671875</c:v>
                </c:pt>
                <c:pt idx="490">
                  <c:v>148.73654174804687</c:v>
                </c:pt>
                <c:pt idx="491">
                  <c:v>151.65989685058594</c:v>
                </c:pt>
                <c:pt idx="492">
                  <c:v>154.43710327148437</c:v>
                </c:pt>
                <c:pt idx="493">
                  <c:v>157.21429443359375</c:v>
                </c:pt>
                <c:pt idx="494">
                  <c:v>159.99148559570312</c:v>
                </c:pt>
                <c:pt idx="495">
                  <c:v>162.76869201660156</c:v>
                </c:pt>
                <c:pt idx="496">
                  <c:v>165.54588317871094</c:v>
                </c:pt>
                <c:pt idx="497">
                  <c:v>168.32307434082031</c:v>
                </c:pt>
                <c:pt idx="498">
                  <c:v>171.10026550292969</c:v>
                </c:pt>
                <c:pt idx="499">
                  <c:v>173.87747192382812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01-4A81-9968-E059366DF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010128"/>
        <c:axId val="677003856"/>
      </c:scatterChart>
      <c:valAx>
        <c:axId val="67701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7003856"/>
        <c:crosses val="autoZero"/>
        <c:crossBetween val="midCat"/>
      </c:valAx>
      <c:valAx>
        <c:axId val="67700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77010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117737</xdr:colOff>
      <xdr:row>47</xdr:row>
      <xdr:rowOff>160716</xdr:rowOff>
    </xdr:from>
    <xdr:to>
      <xdr:col>12</xdr:col>
      <xdr:colOff>795351</xdr:colOff>
      <xdr:row>79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81703</xdr:colOff>
      <xdr:row>48</xdr:row>
      <xdr:rowOff>8318</xdr:rowOff>
    </xdr:from>
    <xdr:to>
      <xdr:col>21</xdr:col>
      <xdr:colOff>147508</xdr:colOff>
      <xdr:row>79</xdr:row>
      <xdr:rowOff>66676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304739</xdr:colOff>
      <xdr:row>49</xdr:row>
      <xdr:rowOff>22860</xdr:rowOff>
    </xdr:from>
    <xdr:to>
      <xdr:col>8</xdr:col>
      <xdr:colOff>380939</xdr:colOff>
      <xdr:row>50</xdr:row>
      <xdr:rowOff>144780</xdr:rowOff>
    </xdr:to>
    <xdr:sp macro="" textlink="">
      <xdr:nvSpPr>
        <xdr:cNvPr id="4" name="Textfeld 3"/>
        <xdr:cNvSpPr txBox="1"/>
      </xdr:nvSpPr>
      <xdr:spPr>
        <a:xfrm>
          <a:off x="3195577" y="8285798"/>
          <a:ext cx="1681162" cy="28860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unverformtes  System</a:t>
          </a:r>
        </a:p>
      </xdr:txBody>
    </xdr:sp>
    <xdr:clientData/>
  </xdr:twoCellAnchor>
  <xdr:twoCellAnchor>
    <xdr:from>
      <xdr:col>15</xdr:col>
      <xdr:colOff>680866</xdr:colOff>
      <xdr:row>49</xdr:row>
      <xdr:rowOff>60960</xdr:rowOff>
    </xdr:from>
    <xdr:to>
      <xdr:col>18</xdr:col>
      <xdr:colOff>177946</xdr:colOff>
      <xdr:row>51</xdr:row>
      <xdr:rowOff>15240</xdr:rowOff>
    </xdr:to>
    <xdr:sp macro="" textlink="">
      <xdr:nvSpPr>
        <xdr:cNvPr id="5" name="Textfeld 4"/>
        <xdr:cNvSpPr txBox="1"/>
      </xdr:nvSpPr>
      <xdr:spPr>
        <a:xfrm>
          <a:off x="10367791" y="8323898"/>
          <a:ext cx="1597343" cy="28289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verformtes  System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932090" y="8442999"/>
          <a:ext cx="1896632" cy="2534564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257635</xdr:colOff>
      <xdr:row>46</xdr:row>
      <xdr:rowOff>130261</xdr:rowOff>
    </xdr:from>
    <xdr:to>
      <xdr:col>10</xdr:col>
      <xdr:colOff>487444</xdr:colOff>
      <xdr:row>79</xdr:row>
      <xdr:rowOff>20876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17</xdr:col>
      <xdr:colOff>221418</xdr:colOff>
      <xdr:row>46</xdr:row>
      <xdr:rowOff>130262</xdr:rowOff>
    </xdr:from>
    <xdr:to>
      <xdr:col>26</xdr:col>
      <xdr:colOff>168273</xdr:colOff>
      <xdr:row>79</xdr:row>
      <xdr:rowOff>22410</xdr:rowOff>
    </xdr:to>
    <xdr:graphicFrame macro="">
      <xdr:nvGraphicFramePr>
        <xdr:cNvPr id="14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156777</xdr:rowOff>
    </xdr:from>
    <xdr:to>
      <xdr:col>7</xdr:col>
      <xdr:colOff>21741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157480</xdr:rowOff>
    </xdr:from>
    <xdr:to>
      <xdr:col>7</xdr:col>
      <xdr:colOff>2</xdr:colOff>
      <xdr:row>29</xdr:row>
      <xdr:rowOff>139699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157479</xdr:rowOff>
    </xdr:from>
    <xdr:to>
      <xdr:col>7</xdr:col>
      <xdr:colOff>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571404" y="55784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610788" y="565528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IFF20_Muench_202004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sheetDataSet>
      <sheetData sheetId="0"/>
      <sheetData sheetId="1"/>
      <sheetData sheetId="2"/>
      <sheetData sheetId="3">
        <row r="1">
          <cell r="D1">
            <v>2</v>
          </cell>
        </row>
        <row r="7">
          <cell r="C7">
            <v>100</v>
          </cell>
          <cell r="D7">
            <v>-1000</v>
          </cell>
          <cell r="E7">
            <v>0</v>
          </cell>
          <cell r="F7">
            <v>0</v>
          </cell>
          <cell r="G7">
            <v>3.4508169928407431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4</v>
          </cell>
          <cell r="H10">
            <v>2</v>
          </cell>
          <cell r="I10">
            <v>3</v>
          </cell>
          <cell r="K10">
            <v>1</v>
          </cell>
          <cell r="M10">
            <v>1</v>
          </cell>
        </row>
        <row r="16">
          <cell r="C16">
            <v>289.78644734585703</v>
          </cell>
          <cell r="D16">
            <v>0</v>
          </cell>
          <cell r="E16">
            <v>0</v>
          </cell>
          <cell r="F16">
            <v>-289.78644734585703</v>
          </cell>
          <cell r="G16">
            <v>0</v>
          </cell>
          <cell r="H16">
            <v>0</v>
          </cell>
          <cell r="L16">
            <v>0</v>
          </cell>
        </row>
        <row r="17">
          <cell r="C17">
            <v>0</v>
          </cell>
          <cell r="D17">
            <v>29.202192398089341</v>
          </cell>
          <cell r="E17">
            <v>-50.385711039199904</v>
          </cell>
          <cell r="F17">
            <v>0</v>
          </cell>
          <cell r="G17">
            <v>-29.202192398089341</v>
          </cell>
          <cell r="H17">
            <v>-50.385711039199904</v>
          </cell>
          <cell r="L17">
            <v>0</v>
          </cell>
        </row>
        <row r="18">
          <cell r="C18">
            <v>0</v>
          </cell>
          <cell r="D18">
            <v>-50.385711039199904</v>
          </cell>
          <cell r="E18">
            <v>115.91457893834281</v>
          </cell>
          <cell r="F18">
            <v>0</v>
          </cell>
          <cell r="G18">
            <v>50.385711039199904</v>
          </cell>
          <cell r="H18">
            <v>57.957289469171407</v>
          </cell>
          <cell r="L18">
            <v>0</v>
          </cell>
          <cell r="N18">
            <v>0</v>
          </cell>
        </row>
        <row r="19">
          <cell r="C19">
            <v>-289.78644734585703</v>
          </cell>
          <cell r="D19">
            <v>0</v>
          </cell>
          <cell r="E19">
            <v>0</v>
          </cell>
          <cell r="F19">
            <v>289.78644734585703</v>
          </cell>
          <cell r="G19">
            <v>0</v>
          </cell>
          <cell r="H19">
            <v>0</v>
          </cell>
          <cell r="L19">
            <v>0</v>
          </cell>
        </row>
        <row r="20">
          <cell r="C20">
            <v>0</v>
          </cell>
          <cell r="D20">
            <v>-29.202192398089341</v>
          </cell>
          <cell r="E20">
            <v>50.385711039199904</v>
          </cell>
          <cell r="F20">
            <v>0</v>
          </cell>
          <cell r="G20">
            <v>29.202192398089341</v>
          </cell>
          <cell r="H20">
            <v>50.385711039199904</v>
          </cell>
          <cell r="L20">
            <v>0</v>
          </cell>
        </row>
        <row r="21">
          <cell r="C21">
            <v>0</v>
          </cell>
          <cell r="D21">
            <v>-50.385711039199904</v>
          </cell>
          <cell r="E21">
            <v>57.957289469171407</v>
          </cell>
          <cell r="F21">
            <v>0</v>
          </cell>
          <cell r="G21">
            <v>50.385711039199904</v>
          </cell>
          <cell r="H21">
            <v>115.91457893834281</v>
          </cell>
          <cell r="L21">
            <v>0</v>
          </cell>
          <cell r="N21">
            <v>0</v>
          </cell>
        </row>
        <row r="26">
          <cell r="C26">
            <v>289.78644675749359</v>
          </cell>
          <cell r="D26">
            <v>-1.2382174985074228E-2</v>
          </cell>
          <cell r="E26">
            <v>-2.3941764695803894E-3</v>
          </cell>
          <cell r="F26">
            <v>-289.78644675749359</v>
          </cell>
          <cell r="G26">
            <v>1.2382174985074228E-2</v>
          </cell>
          <cell r="H26">
            <v>-2.3941764695803894E-3</v>
          </cell>
        </row>
        <row r="27">
          <cell r="C27">
            <v>-1.238217498507423E-2</v>
          </cell>
          <cell r="D27">
            <v>29.202192986452815</v>
          </cell>
          <cell r="E27">
            <v>-50.385710982317896</v>
          </cell>
          <cell r="F27">
            <v>1.238217498507423E-2</v>
          </cell>
          <cell r="G27">
            <v>-29.202192986452815</v>
          </cell>
          <cell r="H27">
            <v>-50.385710982317896</v>
          </cell>
        </row>
        <row r="28">
          <cell r="C28">
            <v>-2.3941764695803894E-3</v>
          </cell>
          <cell r="D28">
            <v>-50.385710982317896</v>
          </cell>
          <cell r="E28">
            <v>115.91457893834281</v>
          </cell>
          <cell r="F28">
            <v>2.3941764695803894E-3</v>
          </cell>
          <cell r="G28">
            <v>50.385710982317896</v>
          </cell>
          <cell r="H28">
            <v>57.957289469171407</v>
          </cell>
        </row>
        <row r="29">
          <cell r="C29">
            <v>-289.78644675749359</v>
          </cell>
          <cell r="D29">
            <v>1.2382174985074228E-2</v>
          </cell>
          <cell r="E29">
            <v>2.3941764695803894E-3</v>
          </cell>
          <cell r="F29">
            <v>289.78644675749359</v>
          </cell>
          <cell r="G29">
            <v>-1.2382174985074228E-2</v>
          </cell>
          <cell r="H29">
            <v>2.3941764695803894E-3</v>
          </cell>
        </row>
        <row r="30">
          <cell r="C30">
            <v>1.238217498507423E-2</v>
          </cell>
          <cell r="D30">
            <v>-29.202192986452815</v>
          </cell>
          <cell r="E30">
            <v>50.385710982317896</v>
          </cell>
          <cell r="F30">
            <v>-1.238217498507423E-2</v>
          </cell>
          <cell r="G30">
            <v>29.202192986452815</v>
          </cell>
          <cell r="H30">
            <v>50.385710982317896</v>
          </cell>
        </row>
        <row r="31">
          <cell r="C31">
            <v>-2.3941764695803894E-3</v>
          </cell>
          <cell r="D31">
            <v>-50.385710982317896</v>
          </cell>
          <cell r="E31">
            <v>57.957289469171407</v>
          </cell>
          <cell r="F31">
            <v>2.3941764695803894E-3</v>
          </cell>
          <cell r="G31">
            <v>50.385710982317896</v>
          </cell>
          <cell r="H31">
            <v>115.91457893834281</v>
          </cell>
        </row>
        <row r="44">
          <cell r="F44">
            <v>-2.5010855510953097E-6</v>
          </cell>
        </row>
        <row r="45">
          <cell r="F45">
            <v>5.2635624533402092E-2</v>
          </cell>
        </row>
        <row r="46">
          <cell r="F46">
            <v>-3.0665834987726081E-2</v>
          </cell>
        </row>
        <row r="47">
          <cell r="F47">
            <v>-2.5016420942419841E-6</v>
          </cell>
        </row>
        <row r="48">
          <cell r="F48">
            <v>-1.6894141311793221E-2</v>
          </cell>
        </row>
        <row r="49">
          <cell r="F49">
            <v>0.12177802146265754</v>
          </cell>
        </row>
        <row r="53">
          <cell r="C53">
            <v>0.99999999887106861</v>
          </cell>
          <cell r="D53">
            <v>-4.7516972971121285E-5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4.7516972971121285E-5</v>
          </cell>
          <cell r="K53">
            <v>0.99999999887106861</v>
          </cell>
        </row>
        <row r="54">
          <cell r="C54">
            <v>4.7516972971121285E-5</v>
          </cell>
          <cell r="D54">
            <v>0.99999999887106861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0.99999999887106861</v>
          </cell>
          <cell r="G56">
            <v>-4.7516972971121285E-5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4.7516972971121285E-5</v>
          </cell>
          <cell r="G57">
            <v>0.99999999887106861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>
        <row r="122">
          <cell r="C122">
            <v>-3.75</v>
          </cell>
          <cell r="D122">
            <v>-0.89999997615814209</v>
          </cell>
          <cell r="E122">
            <v>0.89999997615814209</v>
          </cell>
          <cell r="F122">
            <v>0.89999997615814209</v>
          </cell>
        </row>
        <row r="123">
          <cell r="C123">
            <v>-0.89999997615814209</v>
          </cell>
          <cell r="D123">
            <v>2.5508170127868652</v>
          </cell>
          <cell r="E123">
            <v>0.89999997615814209</v>
          </cell>
          <cell r="F123">
            <v>0.89983600378036499</v>
          </cell>
        </row>
        <row r="124">
          <cell r="C124">
            <v>-0.89999997615814209</v>
          </cell>
          <cell r="D124">
            <v>3.9000000953674316</v>
          </cell>
          <cell r="E124">
            <v>0.89999997615814209</v>
          </cell>
          <cell r="F124">
            <v>-2.0999999046325684</v>
          </cell>
        </row>
        <row r="125">
          <cell r="C125">
            <v>8.6999998092651367</v>
          </cell>
          <cell r="D125">
            <v>3.9000000953674316</v>
          </cell>
          <cell r="E125">
            <v>0.89999997615814209</v>
          </cell>
          <cell r="F125">
            <v>-2.0999999046325684</v>
          </cell>
        </row>
        <row r="126">
          <cell r="C126">
            <v>3.9000000953674316</v>
          </cell>
          <cell r="D126">
            <v>5.2717561721801758</v>
          </cell>
          <cell r="E126">
            <v>0.89999997615814209</v>
          </cell>
          <cell r="F126">
            <v>0.89983600378036499</v>
          </cell>
        </row>
        <row r="127">
          <cell r="C127">
            <v>3.2999999523162842</v>
          </cell>
          <cell r="D127">
            <v>3.3856499195098877</v>
          </cell>
          <cell r="E127">
            <v>3.5999999046325684</v>
          </cell>
          <cell r="F127">
            <v>2.7293310165405273</v>
          </cell>
        </row>
        <row r="128">
          <cell r="C128">
            <v>4.5</v>
          </cell>
          <cell r="D128">
            <v>4.4060029983520508</v>
          </cell>
          <cell r="E128">
            <v>3.5999999046325684</v>
          </cell>
          <cell r="F128">
            <v>2.7448270320892334</v>
          </cell>
        </row>
        <row r="129">
          <cell r="C129">
            <v>2.5508170127868652</v>
          </cell>
          <cell r="D129">
            <v>3.9000000953674316</v>
          </cell>
          <cell r="E129">
            <v>0.89983600378036499</v>
          </cell>
          <cell r="F129">
            <v>0.89999997615814209</v>
          </cell>
        </row>
        <row r="130">
          <cell r="C130">
            <v>5.2717561721801758</v>
          </cell>
          <cell r="D130">
            <v>8.6999998092651367</v>
          </cell>
          <cell r="E130">
            <v>0.89983600378036499</v>
          </cell>
          <cell r="F130">
            <v>0.89999997615814209</v>
          </cell>
        </row>
        <row r="131">
          <cell r="C131">
            <v>3.3856499195098877</v>
          </cell>
          <cell r="D131">
            <v>3.9000000953674316</v>
          </cell>
          <cell r="E131">
            <v>2.7293310165405273</v>
          </cell>
          <cell r="F131">
            <v>-2.0999999046325684</v>
          </cell>
        </row>
        <row r="132">
          <cell r="C132">
            <v>4.4060029983520508</v>
          </cell>
          <cell r="D132">
            <v>3.9000000953674316</v>
          </cell>
          <cell r="E132">
            <v>2.7448270320892334</v>
          </cell>
          <cell r="F132">
            <v>-2.0999999046325684</v>
          </cell>
        </row>
        <row r="133">
          <cell r="C133">
            <v>3.3856499195098877</v>
          </cell>
          <cell r="D133">
            <v>2.5508170127868652</v>
          </cell>
          <cell r="E133">
            <v>2.7293310165405273</v>
          </cell>
          <cell r="F133">
            <v>0.89983600378036499</v>
          </cell>
        </row>
        <row r="134">
          <cell r="C134">
            <v>4.4060029983520508</v>
          </cell>
          <cell r="D134">
            <v>5.2717561721801758</v>
          </cell>
          <cell r="E134">
            <v>2.7448270320892334</v>
          </cell>
          <cell r="F134">
            <v>0.89983600378036499</v>
          </cell>
        </row>
        <row r="135">
          <cell r="C135">
            <v>-6.4499998092651367</v>
          </cell>
          <cell r="D135">
            <v>-5.8499999046325684</v>
          </cell>
          <cell r="E135">
            <v>0.89999997615814209</v>
          </cell>
          <cell r="F135">
            <v>0.89999997615814209</v>
          </cell>
        </row>
        <row r="136">
          <cell r="C136">
            <v>-5.8499999046325684</v>
          </cell>
          <cell r="D136">
            <v>-4.3499999046325684</v>
          </cell>
          <cell r="E136">
            <v>0.89999997615814209</v>
          </cell>
          <cell r="F136">
            <v>0.89999997615814209</v>
          </cell>
        </row>
        <row r="137">
          <cell r="C137">
            <v>-4.3499999046325684</v>
          </cell>
          <cell r="D137">
            <v>-3.75</v>
          </cell>
          <cell r="E137">
            <v>0.89999997615814209</v>
          </cell>
          <cell r="F137">
            <v>0.89999997615814209</v>
          </cell>
        </row>
        <row r="138">
          <cell r="C138">
            <v>-5.5500001907348633</v>
          </cell>
          <cell r="D138">
            <v>-5.8499999046325684</v>
          </cell>
          <cell r="E138">
            <v>2.8499999046325684</v>
          </cell>
          <cell r="F138">
            <v>0.89999997615814209</v>
          </cell>
        </row>
        <row r="139">
          <cell r="C139">
            <v>-4.6500000953674316</v>
          </cell>
          <cell r="D139">
            <v>-4.3499999046325684</v>
          </cell>
          <cell r="E139">
            <v>2.8499999046325684</v>
          </cell>
          <cell r="F139">
            <v>0.89999997615814209</v>
          </cell>
        </row>
        <row r="140">
          <cell r="C140">
            <v>8.6999998092651367</v>
          </cell>
          <cell r="D140">
            <v>12.149999618530273</v>
          </cell>
          <cell r="E140">
            <v>0.89999997615814209</v>
          </cell>
          <cell r="F140">
            <v>0.89999997615814209</v>
          </cell>
        </row>
        <row r="141">
          <cell r="C141">
            <v>3.3856499195098877</v>
          </cell>
          <cell r="D141">
            <v>4.4060029983520508</v>
          </cell>
          <cell r="E141">
            <v>2.7293310165405273</v>
          </cell>
          <cell r="F141">
            <v>2.7448270320892334</v>
          </cell>
        </row>
        <row r="142">
          <cell r="C142">
            <v>12.149999618530273</v>
          </cell>
          <cell r="D142">
            <v>15.60081672668457</v>
          </cell>
          <cell r="E142">
            <v>0.89999997615814209</v>
          </cell>
          <cell r="F142">
            <v>0.89983600378036499</v>
          </cell>
        </row>
        <row r="143">
          <cell r="C143">
            <v>12.149999618530273</v>
          </cell>
          <cell r="D143">
            <v>16.950000762939453</v>
          </cell>
          <cell r="E143">
            <v>0.89999997615814209</v>
          </cell>
          <cell r="F143">
            <v>-2.0999999046325684</v>
          </cell>
        </row>
        <row r="144">
          <cell r="C144">
            <v>21.75</v>
          </cell>
          <cell r="D144">
            <v>16.950000762939453</v>
          </cell>
          <cell r="E144">
            <v>0.89999997615814209</v>
          </cell>
          <cell r="F144">
            <v>-2.0999999046325684</v>
          </cell>
        </row>
        <row r="145">
          <cell r="C145">
            <v>16.950000762939453</v>
          </cell>
          <cell r="D145">
            <v>18.321756362915039</v>
          </cell>
          <cell r="E145">
            <v>0.89999997615814209</v>
          </cell>
          <cell r="F145">
            <v>0.89983600378036499</v>
          </cell>
        </row>
        <row r="146">
          <cell r="C146">
            <v>16.350000381469727</v>
          </cell>
          <cell r="D146">
            <v>16.435649871826172</v>
          </cell>
          <cell r="E146">
            <v>3.5999999046325684</v>
          </cell>
          <cell r="F146">
            <v>2.7293310165405273</v>
          </cell>
        </row>
        <row r="147">
          <cell r="C147">
            <v>17.549999237060547</v>
          </cell>
          <cell r="D147">
            <v>17.456003189086914</v>
          </cell>
          <cell r="E147">
            <v>3.5999999046325684</v>
          </cell>
          <cell r="F147">
            <v>2.7448270320892334</v>
          </cell>
        </row>
        <row r="148">
          <cell r="C148">
            <v>15.60081672668457</v>
          </cell>
          <cell r="D148">
            <v>16.950000762939453</v>
          </cell>
          <cell r="E148">
            <v>0.89983600378036499</v>
          </cell>
          <cell r="F148">
            <v>0.89999997615814209</v>
          </cell>
        </row>
        <row r="149">
          <cell r="C149">
            <v>18.321756362915039</v>
          </cell>
          <cell r="D149">
            <v>21.75</v>
          </cell>
          <cell r="E149">
            <v>0.89983600378036499</v>
          </cell>
          <cell r="F149">
            <v>0.89999997615814209</v>
          </cell>
        </row>
        <row r="150">
          <cell r="C150">
            <v>16.435649871826172</v>
          </cell>
          <cell r="D150">
            <v>16.950000762939453</v>
          </cell>
          <cell r="E150">
            <v>2.7293310165405273</v>
          </cell>
          <cell r="F150">
            <v>-2.0999999046325684</v>
          </cell>
        </row>
        <row r="151">
          <cell r="C151">
            <v>17.456003189086914</v>
          </cell>
          <cell r="D151">
            <v>16.950000762939453</v>
          </cell>
          <cell r="E151">
            <v>2.7448270320892334</v>
          </cell>
          <cell r="F151">
            <v>-2.0999999046325684</v>
          </cell>
        </row>
        <row r="153">
          <cell r="C153">
            <v>17.456003189086914</v>
          </cell>
          <cell r="D153">
            <v>18.321756362915039</v>
          </cell>
          <cell r="E153">
            <v>2.7448270320892334</v>
          </cell>
          <cell r="F153">
            <v>0.89983600378036499</v>
          </cell>
        </row>
        <row r="154">
          <cell r="C154">
            <v>16.435649871826172</v>
          </cell>
          <cell r="D154">
            <v>17.456003189086914</v>
          </cell>
          <cell r="E154">
            <v>2.7293310165405273</v>
          </cell>
          <cell r="F154">
            <v>2.7448270320892334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>
            <v>-3.75</v>
          </cell>
          <cell r="D6">
            <v>-3.75</v>
          </cell>
          <cell r="E6">
            <v>-3.75</v>
          </cell>
          <cell r="F6">
            <v>-3.75</v>
          </cell>
          <cell r="G6">
            <v>0.89999997615814209</v>
          </cell>
          <cell r="H6">
            <v>0.89999997615814209</v>
          </cell>
          <cell r="I6">
            <v>0.89999997615814209</v>
          </cell>
          <cell r="J6">
            <v>0.89999997615814209</v>
          </cell>
          <cell r="P6">
            <v>-3.75</v>
          </cell>
          <cell r="Q6">
            <v>-3.75</v>
          </cell>
          <cell r="R6">
            <v>-3.75</v>
          </cell>
          <cell r="S6">
            <v>-3.75</v>
          </cell>
          <cell r="T6">
            <v>0.89999997615814209</v>
          </cell>
          <cell r="U6">
            <v>0.89999997615814209</v>
          </cell>
          <cell r="V6">
            <v>0.89999997615814209</v>
          </cell>
          <cell r="W6">
            <v>0.89999997615814209</v>
          </cell>
        </row>
        <row r="7">
          <cell r="C7">
            <v>-0.89999997615814209</v>
          </cell>
          <cell r="D7">
            <v>-0.89999997615814209</v>
          </cell>
          <cell r="E7">
            <v>-0.89999997615814209</v>
          </cell>
          <cell r="F7">
            <v>-0.89999997615814209</v>
          </cell>
          <cell r="G7">
            <v>0.89999997615814209</v>
          </cell>
          <cell r="H7">
            <v>0.89999997615814209</v>
          </cell>
          <cell r="I7">
            <v>0.89999997615814209</v>
          </cell>
          <cell r="J7">
            <v>0.89999997615814209</v>
          </cell>
          <cell r="P7">
            <v>-0.89999997615814209</v>
          </cell>
          <cell r="Q7">
            <v>-0.89999997615814209</v>
          </cell>
          <cell r="R7">
            <v>-0.89999997615814209</v>
          </cell>
          <cell r="S7">
            <v>-0.89999997615814209</v>
          </cell>
          <cell r="T7">
            <v>0.95586188224648228</v>
          </cell>
          <cell r="U7">
            <v>0.95586188224648228</v>
          </cell>
          <cell r="V7">
            <v>0.95586188224648228</v>
          </cell>
          <cell r="W7">
            <v>0.95586188224648228</v>
          </cell>
        </row>
        <row r="8">
          <cell r="C8">
            <v>8.6999998092651367</v>
          </cell>
          <cell r="D8">
            <v>8.6999998092651367</v>
          </cell>
          <cell r="E8">
            <v>8.6999998092651367</v>
          </cell>
          <cell r="F8">
            <v>8.6999998092651367</v>
          </cell>
          <cell r="G8">
            <v>0.89999997615814209</v>
          </cell>
          <cell r="H8">
            <v>0.89999997615814209</v>
          </cell>
          <cell r="I8">
            <v>0.89999997615814209</v>
          </cell>
          <cell r="J8">
            <v>0.89999997615814209</v>
          </cell>
          <cell r="P8">
            <v>8.6998774435266721</v>
          </cell>
          <cell r="Q8">
            <v>8.6998774435266721</v>
          </cell>
          <cell r="R8">
            <v>8.6998774435266721</v>
          </cell>
          <cell r="S8">
            <v>8.6998774435266721</v>
          </cell>
          <cell r="T8">
            <v>4.3524356111529094</v>
          </cell>
          <cell r="U8">
            <v>4.3524356111529094</v>
          </cell>
          <cell r="V8">
            <v>4.3524356111529094</v>
          </cell>
          <cell r="W8">
            <v>4.3524356111529094</v>
          </cell>
        </row>
        <row r="9">
          <cell r="C9">
            <v>3.9000000953674316</v>
          </cell>
          <cell r="D9">
            <v>3.9000000953674316</v>
          </cell>
          <cell r="E9">
            <v>3.9000000953674316</v>
          </cell>
          <cell r="F9">
            <v>3.9000000953674316</v>
          </cell>
          <cell r="G9">
            <v>-2.0999999046325684</v>
          </cell>
          <cell r="H9">
            <v>-2.0999999046325684</v>
          </cell>
          <cell r="I9">
            <v>-2.0999999046325684</v>
          </cell>
          <cell r="J9">
            <v>-2.0999999046325684</v>
          </cell>
          <cell r="P9">
            <v>3.899595284019405</v>
          </cell>
          <cell r="Q9">
            <v>3.899595284019405</v>
          </cell>
          <cell r="R9">
            <v>3.899595284019405</v>
          </cell>
          <cell r="S9">
            <v>3.899595284019405</v>
          </cell>
          <cell r="T9">
            <v>-2.0997801137178165</v>
          </cell>
          <cell r="U9">
            <v>-2.0997801137178165</v>
          </cell>
          <cell r="V9">
            <v>-2.0997801137178165</v>
          </cell>
          <cell r="W9">
            <v>-2.0997801137178165</v>
          </cell>
        </row>
        <row r="10">
          <cell r="C10">
            <v>3.9000000953674316</v>
          </cell>
          <cell r="D10">
            <v>3.9000000953674316</v>
          </cell>
          <cell r="E10">
            <v>3.9000000953674316</v>
          </cell>
          <cell r="F10">
            <v>3.9000000953674316</v>
          </cell>
          <cell r="G10">
            <v>0.89999997615814209</v>
          </cell>
          <cell r="H10">
            <v>0.89999997615814209</v>
          </cell>
          <cell r="I10">
            <v>0.89999997615814209</v>
          </cell>
          <cell r="J10">
            <v>0.89999997615814209</v>
          </cell>
          <cell r="P10">
            <v>3.9000172623814056</v>
          </cell>
          <cell r="Q10">
            <v>3.9000172623814056</v>
          </cell>
          <cell r="R10">
            <v>3.9000172623814056</v>
          </cell>
          <cell r="S10">
            <v>3.9000172623814056</v>
          </cell>
          <cell r="T10">
            <v>0.71199134690652988</v>
          </cell>
          <cell r="U10">
            <v>0.71199134690652988</v>
          </cell>
          <cell r="V10">
            <v>0.71199134690652988</v>
          </cell>
          <cell r="W10">
            <v>0.71199134690652988</v>
          </cell>
        </row>
        <row r="11">
          <cell r="C11">
            <v>3.2999999523162842</v>
          </cell>
          <cell r="D11">
            <v>4.1631088610649769</v>
          </cell>
          <cell r="E11">
            <v>2.4368910435675919</v>
          </cell>
          <cell r="F11">
            <v>3.2999999523162842</v>
          </cell>
          <cell r="G11">
            <v>3.5999999046325684</v>
          </cell>
          <cell r="H11">
            <v>5.0949045345853037</v>
          </cell>
          <cell r="I11">
            <v>5.0949045345853037</v>
          </cell>
          <cell r="J11">
            <v>3.5999999046325684</v>
          </cell>
          <cell r="P11">
            <v>3.2999999523162842</v>
          </cell>
          <cell r="Q11">
            <v>4.1631088610649769</v>
          </cell>
          <cell r="R11">
            <v>2.4368910435675919</v>
          </cell>
          <cell r="S11">
            <v>3.2999999523162842</v>
          </cell>
          <cell r="T11">
            <v>3.5999999046325684</v>
          </cell>
          <cell r="U11">
            <v>5.0949045345853037</v>
          </cell>
          <cell r="V11">
            <v>5.0949045345853037</v>
          </cell>
          <cell r="W11">
            <v>3.5999999046325684</v>
          </cell>
        </row>
        <row r="12">
          <cell r="C12">
            <v>4.5</v>
          </cell>
          <cell r="D12">
            <v>5.3631089087486927</v>
          </cell>
          <cell r="E12">
            <v>3.6368910912513077</v>
          </cell>
          <cell r="F12">
            <v>4.5</v>
          </cell>
          <cell r="G12">
            <v>3.5999999046325684</v>
          </cell>
          <cell r="H12">
            <v>5.0949045345853037</v>
          </cell>
          <cell r="I12">
            <v>5.0949045345853037</v>
          </cell>
          <cell r="J12">
            <v>3.5999999046325684</v>
          </cell>
          <cell r="P12">
            <v>4.5</v>
          </cell>
          <cell r="Q12">
            <v>5.3631089087486927</v>
          </cell>
          <cell r="R12">
            <v>3.6368910912513077</v>
          </cell>
          <cell r="S12">
            <v>4.5</v>
          </cell>
          <cell r="T12">
            <v>3.5999999046325684</v>
          </cell>
          <cell r="U12">
            <v>5.0949045345853037</v>
          </cell>
          <cell r="V12">
            <v>5.0949045345853037</v>
          </cell>
          <cell r="W12">
            <v>3.5999999046325684</v>
          </cell>
        </row>
        <row r="13">
          <cell r="C13">
            <v>2.5508170127868652</v>
          </cell>
          <cell r="D13">
            <v>2.5508170127868652</v>
          </cell>
          <cell r="E13">
            <v>2.5508170127868652</v>
          </cell>
          <cell r="F13">
            <v>2.5508170127868652</v>
          </cell>
          <cell r="G13">
            <v>0.89983600378036499</v>
          </cell>
          <cell r="H13">
            <v>0.89983600378036499</v>
          </cell>
          <cell r="I13">
            <v>0.89983600378036499</v>
          </cell>
          <cell r="J13">
            <v>0.89983600378036499</v>
          </cell>
          <cell r="P13">
            <v>2.5508135058442862</v>
          </cell>
          <cell r="Q13">
            <v>2.5508135058442862</v>
          </cell>
          <cell r="R13">
            <v>2.5508135058442862</v>
          </cell>
          <cell r="S13">
            <v>2.5508135058442862</v>
          </cell>
          <cell r="T13">
            <v>0.8819063423581377</v>
          </cell>
          <cell r="U13">
            <v>0.8819063423581377</v>
          </cell>
          <cell r="V13">
            <v>0.8819063423581377</v>
          </cell>
          <cell r="W13">
            <v>0.8819063423581377</v>
          </cell>
        </row>
        <row r="14">
          <cell r="C14">
            <v>5.2717561721801758</v>
          </cell>
          <cell r="D14">
            <v>5.2717561721801758</v>
          </cell>
          <cell r="E14">
            <v>5.2717561721801758</v>
          </cell>
          <cell r="F14">
            <v>5.2717561721801758</v>
          </cell>
          <cell r="G14">
            <v>0.89983600378036499</v>
          </cell>
          <cell r="H14">
            <v>0.89983600378036499</v>
          </cell>
          <cell r="I14">
            <v>0.89983600378036499</v>
          </cell>
          <cell r="J14">
            <v>0.89983600378036499</v>
          </cell>
          <cell r="P14">
            <v>5.2717980643062301</v>
          </cell>
          <cell r="Q14">
            <v>5.2717980643062301</v>
          </cell>
          <cell r="R14">
            <v>5.2717980643062301</v>
          </cell>
          <cell r="S14">
            <v>5.2717980643062301</v>
          </cell>
          <cell r="T14">
            <v>0.91863725774052185</v>
          </cell>
          <cell r="U14">
            <v>0.91863725774052185</v>
          </cell>
          <cell r="V14">
            <v>0.91863725774052185</v>
          </cell>
          <cell r="W14">
            <v>0.91863725774052185</v>
          </cell>
        </row>
        <row r="15">
          <cell r="C15">
            <v>3.3856499195098877</v>
          </cell>
          <cell r="D15">
            <v>3.3856499195098877</v>
          </cell>
          <cell r="E15">
            <v>3.3856499195098877</v>
          </cell>
          <cell r="F15">
            <v>3.3856499195098877</v>
          </cell>
          <cell r="G15">
            <v>2.7293310165405273</v>
          </cell>
          <cell r="H15">
            <v>2.7293310165405273</v>
          </cell>
          <cell r="I15">
            <v>2.7293310165405273</v>
          </cell>
          <cell r="J15">
            <v>2.7293310165405273</v>
          </cell>
          <cell r="P15">
            <v>3.3533233680977133</v>
          </cell>
          <cell r="Q15">
            <v>3.3533233680977133</v>
          </cell>
          <cell r="R15">
            <v>3.3533233680977133</v>
          </cell>
          <cell r="S15">
            <v>3.3533233680977133</v>
          </cell>
          <cell r="T15">
            <v>2.7261509686366132</v>
          </cell>
          <cell r="U15">
            <v>2.7261509686366132</v>
          </cell>
          <cell r="V15">
            <v>2.7261509686366132</v>
          </cell>
          <cell r="W15">
            <v>2.7261509686366132</v>
          </cell>
        </row>
        <row r="16">
          <cell r="C16">
            <v>4.4060029983520508</v>
          </cell>
          <cell r="D16">
            <v>4.4060029983520508</v>
          </cell>
          <cell r="E16">
            <v>4.4060029983520508</v>
          </cell>
          <cell r="F16">
            <v>4.4060029983520508</v>
          </cell>
          <cell r="G16">
            <v>2.7448270320892334</v>
          </cell>
          <cell r="H16">
            <v>2.7448270320892334</v>
          </cell>
          <cell r="I16">
            <v>2.7448270320892334</v>
          </cell>
          <cell r="J16">
            <v>2.7448270320892334</v>
          </cell>
          <cell r="P16">
            <v>4.3735740188221861</v>
          </cell>
          <cell r="Q16">
            <v>4.3735740188221861</v>
          </cell>
          <cell r="R16">
            <v>4.3735740188221861</v>
          </cell>
          <cell r="S16">
            <v>4.3735740188221861</v>
          </cell>
          <cell r="T16">
            <v>2.7483914883909044</v>
          </cell>
          <cell r="U16">
            <v>2.7483914883909044</v>
          </cell>
          <cell r="V16">
            <v>2.7483914883909044</v>
          </cell>
          <cell r="W16">
            <v>2.7483914883909044</v>
          </cell>
        </row>
        <row r="17">
          <cell r="C17">
            <v>-6.4499998092651367</v>
          </cell>
          <cell r="D17">
            <v>-5.586890900516444</v>
          </cell>
          <cell r="E17">
            <v>-7.3131087180138294</v>
          </cell>
          <cell r="F17">
            <v>-6.4499998092651367</v>
          </cell>
          <cell r="G17">
            <v>0.89999997615814209</v>
          </cell>
          <cell r="H17">
            <v>2.3949046061108774</v>
          </cell>
          <cell r="I17">
            <v>2.3949046061108774</v>
          </cell>
          <cell r="J17">
            <v>0.89999997615814209</v>
          </cell>
          <cell r="P17">
            <v>-6.4499998092651367</v>
          </cell>
          <cell r="Q17">
            <v>-5.586890900516444</v>
          </cell>
          <cell r="R17">
            <v>-7.3131087180138294</v>
          </cell>
          <cell r="S17">
            <v>-6.4499998092651367</v>
          </cell>
          <cell r="T17">
            <v>0.89999997615814209</v>
          </cell>
          <cell r="U17">
            <v>2.3949046061108774</v>
          </cell>
          <cell r="V17">
            <v>2.3949046061108774</v>
          </cell>
          <cell r="W17">
            <v>0.89999997615814209</v>
          </cell>
        </row>
        <row r="18">
          <cell r="C18">
            <v>-5.8499999046325684</v>
          </cell>
          <cell r="D18">
            <v>-5.8499999046325684</v>
          </cell>
          <cell r="E18">
            <v>-5.8499999046325684</v>
          </cell>
          <cell r="F18">
            <v>-5.8499999046325684</v>
          </cell>
          <cell r="G18">
            <v>0.89999997615814209</v>
          </cell>
          <cell r="H18">
            <v>0.89999997615814209</v>
          </cell>
          <cell r="I18">
            <v>0.89999997615814209</v>
          </cell>
          <cell r="J18">
            <v>0.89999997615814209</v>
          </cell>
          <cell r="P18">
            <v>-5.8499999046325684</v>
          </cell>
          <cell r="Q18">
            <v>-5.8499999046325684</v>
          </cell>
          <cell r="R18">
            <v>-5.8499999046325684</v>
          </cell>
          <cell r="S18">
            <v>-5.8499999046325684</v>
          </cell>
          <cell r="T18">
            <v>0.89999997615814209</v>
          </cell>
          <cell r="U18">
            <v>0.89999997615814209</v>
          </cell>
          <cell r="V18">
            <v>0.89999997615814209</v>
          </cell>
          <cell r="W18">
            <v>0.89999997615814209</v>
          </cell>
        </row>
        <row r="19">
          <cell r="C19">
            <v>-4.3499999046325684</v>
          </cell>
          <cell r="D19">
            <v>-4.3499999046325684</v>
          </cell>
          <cell r="E19">
            <v>-4.3499999046325684</v>
          </cell>
          <cell r="F19">
            <v>-4.3499999046325684</v>
          </cell>
          <cell r="G19">
            <v>0.89999997615814209</v>
          </cell>
          <cell r="H19">
            <v>0.89999997615814209</v>
          </cell>
          <cell r="I19">
            <v>0.89999997615814209</v>
          </cell>
          <cell r="J19">
            <v>0.89999997615814209</v>
          </cell>
          <cell r="P19">
            <v>-4.3499999046325684</v>
          </cell>
          <cell r="Q19">
            <v>-4.3499999046325684</v>
          </cell>
          <cell r="R19">
            <v>-4.3499999046325684</v>
          </cell>
          <cell r="S19">
            <v>-4.3499999046325684</v>
          </cell>
          <cell r="T19">
            <v>0.89999997615814209</v>
          </cell>
          <cell r="U19">
            <v>0.89999997615814209</v>
          </cell>
          <cell r="V19">
            <v>0.89999997615814209</v>
          </cell>
          <cell r="W19">
            <v>0.89999997615814209</v>
          </cell>
        </row>
        <row r="20">
          <cell r="C20">
            <v>-5.5500001907348633</v>
          </cell>
          <cell r="D20">
            <v>-4.6868912819861706</v>
          </cell>
          <cell r="E20">
            <v>-6.413109099483556</v>
          </cell>
          <cell r="F20">
            <v>-5.5500001907348633</v>
          </cell>
          <cell r="G20">
            <v>2.8499999046325684</v>
          </cell>
          <cell r="H20">
            <v>4.3449045345853037</v>
          </cell>
          <cell r="I20">
            <v>4.3449045345853037</v>
          </cell>
          <cell r="J20">
            <v>2.8499999046325684</v>
          </cell>
          <cell r="P20">
            <v>-5.5500001907348633</v>
          </cell>
          <cell r="Q20">
            <v>-4.6868912819861706</v>
          </cell>
          <cell r="R20">
            <v>-6.413109099483556</v>
          </cell>
          <cell r="S20">
            <v>-5.5500001907348633</v>
          </cell>
          <cell r="T20">
            <v>2.8499999046325684</v>
          </cell>
          <cell r="U20">
            <v>4.3449045345853037</v>
          </cell>
          <cell r="V20">
            <v>4.3449045345853037</v>
          </cell>
          <cell r="W20">
            <v>2.8499999046325684</v>
          </cell>
        </row>
        <row r="21">
          <cell r="C21">
            <v>-4.6500000953674316</v>
          </cell>
          <cell r="D21">
            <v>-3.7868911866187394</v>
          </cell>
          <cell r="E21">
            <v>-5.5131090041161244</v>
          </cell>
          <cell r="F21">
            <v>-4.6500000953674316</v>
          </cell>
          <cell r="G21">
            <v>2.8499999046325684</v>
          </cell>
          <cell r="H21">
            <v>4.3449045345853037</v>
          </cell>
          <cell r="I21">
            <v>4.3449045345853037</v>
          </cell>
          <cell r="J21">
            <v>2.8499999046325684</v>
          </cell>
          <cell r="P21">
            <v>-4.6500000953674316</v>
          </cell>
          <cell r="Q21">
            <v>-3.7868911866187394</v>
          </cell>
          <cell r="R21">
            <v>-5.5131090041161244</v>
          </cell>
          <cell r="S21">
            <v>-4.6500000953674316</v>
          </cell>
          <cell r="T21">
            <v>2.8499999046325684</v>
          </cell>
          <cell r="U21">
            <v>4.3449045345853037</v>
          </cell>
          <cell r="V21">
            <v>4.3449045345853037</v>
          </cell>
          <cell r="W21">
            <v>2.8499999046325684</v>
          </cell>
        </row>
        <row r="22">
          <cell r="C22">
            <v>12.149999618530273</v>
          </cell>
          <cell r="D22">
            <v>12.149999618530273</v>
          </cell>
          <cell r="E22">
            <v>12.149999618530273</v>
          </cell>
          <cell r="F22">
            <v>12.149999618530273</v>
          </cell>
          <cell r="G22">
            <v>0.89999997615814209</v>
          </cell>
          <cell r="H22">
            <v>0.89999997615814209</v>
          </cell>
          <cell r="I22">
            <v>0.89999997615814209</v>
          </cell>
          <cell r="J22">
            <v>0.89999997615814209</v>
          </cell>
          <cell r="P22">
            <v>12.149877252791809</v>
          </cell>
          <cell r="Q22">
            <v>12.149877252791809</v>
          </cell>
          <cell r="R22">
            <v>12.149877252791809</v>
          </cell>
          <cell r="S22">
            <v>12.149877252791809</v>
          </cell>
          <cell r="T22">
            <v>0.89983854892481308</v>
          </cell>
          <cell r="U22">
            <v>0.89983854892481308</v>
          </cell>
          <cell r="V22">
            <v>0.89983854892481308</v>
          </cell>
          <cell r="W22">
            <v>0.89983854892481308</v>
          </cell>
        </row>
        <row r="23">
          <cell r="C23">
            <v>21.75</v>
          </cell>
          <cell r="D23">
            <v>21.75</v>
          </cell>
          <cell r="E23">
            <v>21.75</v>
          </cell>
          <cell r="F23">
            <v>21.75</v>
          </cell>
          <cell r="G23">
            <v>0.89999997615814209</v>
          </cell>
          <cell r="H23">
            <v>0.89999997615814209</v>
          </cell>
          <cell r="I23">
            <v>0.89999997615814209</v>
          </cell>
          <cell r="J23">
            <v>0.89999997615814209</v>
          </cell>
          <cell r="P23">
            <v>21.749877634170446</v>
          </cell>
          <cell r="Q23">
            <v>21.749877634170446</v>
          </cell>
          <cell r="R23">
            <v>21.749877634170446</v>
          </cell>
          <cell r="S23">
            <v>21.749877634170446</v>
          </cell>
          <cell r="T23">
            <v>0.9001611964406423</v>
          </cell>
          <cell r="U23">
            <v>0.9001611964406423</v>
          </cell>
          <cell r="V23">
            <v>0.9001611964406423</v>
          </cell>
          <cell r="W23">
            <v>0.9001611964406423</v>
          </cell>
        </row>
        <row r="24">
          <cell r="C24">
            <v>16.950000762939453</v>
          </cell>
          <cell r="D24">
            <v>16.950000762939453</v>
          </cell>
          <cell r="E24">
            <v>16.950000762939453</v>
          </cell>
          <cell r="F24">
            <v>16.950000762939453</v>
          </cell>
          <cell r="G24">
            <v>-2.0999999046325684</v>
          </cell>
          <cell r="H24">
            <v>-2.0999999046325684</v>
          </cell>
          <cell r="I24">
            <v>-2.0999999046325684</v>
          </cell>
          <cell r="J24">
            <v>-2.0999999046325684</v>
          </cell>
          <cell r="P24">
            <v>16.950000505139531</v>
          </cell>
          <cell r="Q24">
            <v>16.950000505139531</v>
          </cell>
          <cell r="R24">
            <v>16.950000505139531</v>
          </cell>
          <cell r="S24">
            <v>16.950000505139531</v>
          </cell>
          <cell r="T24">
            <v>-2.099999764731113</v>
          </cell>
          <cell r="U24">
            <v>-2.099999764731113</v>
          </cell>
          <cell r="V24">
            <v>-2.099999764731113</v>
          </cell>
          <cell r="W24">
            <v>-2.099999764731113</v>
          </cell>
        </row>
        <row r="25">
          <cell r="C25">
            <v>16.950000762939453</v>
          </cell>
          <cell r="D25">
            <v>16.950000762939453</v>
          </cell>
          <cell r="E25">
            <v>16.950000762939453</v>
          </cell>
          <cell r="F25">
            <v>16.950000762939453</v>
          </cell>
          <cell r="G25">
            <v>0.89999997615814209</v>
          </cell>
          <cell r="H25">
            <v>0.89999997615814209</v>
          </cell>
          <cell r="I25">
            <v>0.89999997615814209</v>
          </cell>
          <cell r="J25">
            <v>0.89999997615814209</v>
          </cell>
          <cell r="P25">
            <v>16.949878412407752</v>
          </cell>
          <cell r="Q25">
            <v>16.949878412407752</v>
          </cell>
          <cell r="R25">
            <v>16.949878412407752</v>
          </cell>
          <cell r="S25">
            <v>16.949878412407752</v>
          </cell>
          <cell r="T25">
            <v>0.89999977405212539</v>
          </cell>
          <cell r="U25">
            <v>0.89999977405212539</v>
          </cell>
          <cell r="V25">
            <v>0.89999977405212539</v>
          </cell>
          <cell r="W25">
            <v>0.89999977405212539</v>
          </cell>
        </row>
        <row r="29">
          <cell r="C29">
            <v>-3.75</v>
          </cell>
          <cell r="D29">
            <v>-3.75</v>
          </cell>
          <cell r="E29">
            <v>-3.75</v>
          </cell>
          <cell r="F29">
            <v>-3.75</v>
          </cell>
          <cell r="G29">
            <v>0.89999997615814209</v>
          </cell>
          <cell r="H29">
            <v>0.89999997615814209</v>
          </cell>
          <cell r="I29">
            <v>0.89999997615814209</v>
          </cell>
          <cell r="J29">
            <v>0.89999997615814209</v>
          </cell>
          <cell r="P29">
            <v>-3.75</v>
          </cell>
          <cell r="Q29">
            <v>-3.75</v>
          </cell>
          <cell r="R29">
            <v>-3.75</v>
          </cell>
          <cell r="S29">
            <v>-3.75</v>
          </cell>
          <cell r="T29">
            <v>0.89999997615814209</v>
          </cell>
          <cell r="U29">
            <v>0.89999997615814209</v>
          </cell>
          <cell r="V29">
            <v>0.89999997615814209</v>
          </cell>
          <cell r="W29">
            <v>0.89999997615814209</v>
          </cell>
        </row>
        <row r="30">
          <cell r="C30">
            <v>-0.89999997615814209</v>
          </cell>
          <cell r="D30">
            <v>-0.89999997615814209</v>
          </cell>
          <cell r="E30">
            <v>-0.89999997615814209</v>
          </cell>
          <cell r="F30">
            <v>-0.89999997615814209</v>
          </cell>
          <cell r="G30">
            <v>0.89999997615814209</v>
          </cell>
          <cell r="H30">
            <v>0.89999997615814209</v>
          </cell>
          <cell r="I30">
            <v>0.89999997615814209</v>
          </cell>
          <cell r="J30">
            <v>0.89999997615814209</v>
          </cell>
          <cell r="P30">
            <v>7.6500000953674316</v>
          </cell>
          <cell r="Q30">
            <v>7.6500000953674316</v>
          </cell>
          <cell r="R30">
            <v>7.6500000953674316</v>
          </cell>
          <cell r="S30">
            <v>7.6500000953674316</v>
          </cell>
          <cell r="T30">
            <v>0.75</v>
          </cell>
          <cell r="U30">
            <v>0.75</v>
          </cell>
          <cell r="V30">
            <v>0.75</v>
          </cell>
          <cell r="W30">
            <v>0.75</v>
          </cell>
        </row>
        <row r="31">
          <cell r="C31">
            <v>8.6999998092651367</v>
          </cell>
          <cell r="D31">
            <v>8.6999998092651367</v>
          </cell>
          <cell r="E31">
            <v>8.6999998092651367</v>
          </cell>
          <cell r="F31">
            <v>8.6999998092651367</v>
          </cell>
          <cell r="G31">
            <v>0.89999997615814209</v>
          </cell>
          <cell r="H31">
            <v>0.89999997615814209</v>
          </cell>
          <cell r="I31">
            <v>0.89999997615814209</v>
          </cell>
          <cell r="J31">
            <v>0.89999997615814209</v>
          </cell>
          <cell r="P31">
            <v>7.6500000953674316</v>
          </cell>
          <cell r="Q31">
            <v>7.6500000953674316</v>
          </cell>
          <cell r="R31">
            <v>7.6500000953674316</v>
          </cell>
          <cell r="S31">
            <v>7.6500000953674316</v>
          </cell>
          <cell r="T31">
            <v>0.75</v>
          </cell>
          <cell r="U31">
            <v>0.75</v>
          </cell>
          <cell r="V31">
            <v>0.75</v>
          </cell>
          <cell r="W31">
            <v>0.75</v>
          </cell>
        </row>
        <row r="32">
          <cell r="C32">
            <v>3.9000000953674316</v>
          </cell>
          <cell r="D32">
            <v>3.9000000953674316</v>
          </cell>
          <cell r="E32">
            <v>3.9000000953674316</v>
          </cell>
          <cell r="F32">
            <v>3.9000000953674316</v>
          </cell>
          <cell r="G32">
            <v>-2.0999999046325684</v>
          </cell>
          <cell r="H32">
            <v>-2.0999999046325684</v>
          </cell>
          <cell r="I32">
            <v>-2.0999999046325684</v>
          </cell>
          <cell r="J32">
            <v>-2.0999999046325684</v>
          </cell>
        </row>
        <row r="33">
          <cell r="C33">
            <v>3.9000000953674316</v>
          </cell>
          <cell r="D33">
            <v>3.9000000953674316</v>
          </cell>
          <cell r="E33">
            <v>3.9000000953674316</v>
          </cell>
          <cell r="F33">
            <v>3.9000000953674316</v>
          </cell>
          <cell r="G33">
            <v>0.89999997615814209</v>
          </cell>
          <cell r="H33">
            <v>0.89999997615814209</v>
          </cell>
          <cell r="I33">
            <v>0.89999997615814209</v>
          </cell>
          <cell r="J33">
            <v>0.89999997615814209</v>
          </cell>
        </row>
        <row r="34">
          <cell r="C34">
            <v>3.2999999523162842</v>
          </cell>
          <cell r="D34">
            <v>4.7949045822690195</v>
          </cell>
          <cell r="E34">
            <v>4.7949045822690195</v>
          </cell>
          <cell r="F34">
            <v>3.2999999523162842</v>
          </cell>
          <cell r="G34">
            <v>3.5999999046325684</v>
          </cell>
          <cell r="H34">
            <v>4.4631088133812611</v>
          </cell>
          <cell r="I34">
            <v>2.7368909958838761</v>
          </cell>
          <cell r="J34">
            <v>3.5999999046325684</v>
          </cell>
        </row>
        <row r="35">
          <cell r="C35">
            <v>4.5</v>
          </cell>
          <cell r="D35">
            <v>5.9949046299527353</v>
          </cell>
          <cell r="E35">
            <v>5.9949046299527353</v>
          </cell>
          <cell r="F35">
            <v>4.5</v>
          </cell>
          <cell r="G35">
            <v>3.5999999046325684</v>
          </cell>
          <cell r="H35">
            <v>4.4631088133812611</v>
          </cell>
          <cell r="I35">
            <v>2.7368909958838761</v>
          </cell>
          <cell r="J35">
            <v>3.5999999046325684</v>
          </cell>
        </row>
        <row r="36">
          <cell r="C36">
            <v>2.5508170127868652</v>
          </cell>
          <cell r="D36">
            <v>2.5508170127868652</v>
          </cell>
          <cell r="E36">
            <v>2.5508170127868652</v>
          </cell>
          <cell r="F36">
            <v>2.5508170127868652</v>
          </cell>
          <cell r="G36">
            <v>0.89983600378036499</v>
          </cell>
          <cell r="H36">
            <v>0.89983600378036499</v>
          </cell>
          <cell r="I36">
            <v>0.89983600378036499</v>
          </cell>
          <cell r="J36">
            <v>0.89983600378036499</v>
          </cell>
        </row>
        <row r="37">
          <cell r="C37">
            <v>5.2717561721801758</v>
          </cell>
          <cell r="D37">
            <v>5.2717561721801758</v>
          </cell>
          <cell r="E37">
            <v>5.2717561721801758</v>
          </cell>
          <cell r="F37">
            <v>5.2717561721801758</v>
          </cell>
          <cell r="G37">
            <v>0.89983600378036499</v>
          </cell>
          <cell r="H37">
            <v>0.89983600378036499</v>
          </cell>
          <cell r="I37">
            <v>0.89983600378036499</v>
          </cell>
          <cell r="J37">
            <v>0.89983600378036499</v>
          </cell>
        </row>
        <row r="38">
          <cell r="C38">
            <v>3.3856499195098877</v>
          </cell>
          <cell r="D38">
            <v>3.3856499195098877</v>
          </cell>
          <cell r="E38">
            <v>3.3856499195098877</v>
          </cell>
          <cell r="F38">
            <v>3.3856499195098877</v>
          </cell>
          <cell r="G38">
            <v>2.7293310165405273</v>
          </cell>
          <cell r="H38">
            <v>2.7293310165405273</v>
          </cell>
          <cell r="I38">
            <v>2.7293310165405273</v>
          </cell>
          <cell r="J38">
            <v>2.7293310165405273</v>
          </cell>
        </row>
        <row r="39">
          <cell r="C39">
            <v>4.4060029983520508</v>
          </cell>
          <cell r="D39">
            <v>4.4060029983520508</v>
          </cell>
          <cell r="E39">
            <v>4.4060029983520508</v>
          </cell>
          <cell r="F39">
            <v>4.4060029983520508</v>
          </cell>
          <cell r="G39">
            <v>2.7448270320892334</v>
          </cell>
          <cell r="H39">
            <v>2.7448270320892334</v>
          </cell>
          <cell r="I39">
            <v>2.7448270320892334</v>
          </cell>
          <cell r="J39">
            <v>2.7448270320892334</v>
          </cell>
        </row>
        <row r="40">
          <cell r="C40">
            <v>-6.4499998092651367</v>
          </cell>
          <cell r="D40">
            <v>-4.9550951793124014</v>
          </cell>
          <cell r="E40">
            <v>-4.9550951793124014</v>
          </cell>
          <cell r="F40">
            <v>-6.4499998092651367</v>
          </cell>
          <cell r="G40">
            <v>0.89999997615814209</v>
          </cell>
          <cell r="H40">
            <v>1.7631088849068344</v>
          </cell>
          <cell r="I40">
            <v>3.6891067409449696E-2</v>
          </cell>
          <cell r="J40">
            <v>0.89999997615814209</v>
          </cell>
        </row>
        <row r="41">
          <cell r="C41">
            <v>-5.8499999046325684</v>
          </cell>
          <cell r="D41">
            <v>-5.8499999046325684</v>
          </cell>
          <cell r="E41">
            <v>-5.8499999046325684</v>
          </cell>
          <cell r="F41">
            <v>-5.8499999046325684</v>
          </cell>
          <cell r="G41">
            <v>0.89999997615814209</v>
          </cell>
          <cell r="H41">
            <v>0.89999997615814209</v>
          </cell>
          <cell r="I41">
            <v>0.89999997615814209</v>
          </cell>
          <cell r="J41">
            <v>0.89999997615814209</v>
          </cell>
        </row>
        <row r="42">
          <cell r="C42">
            <v>-4.3499999046325684</v>
          </cell>
          <cell r="D42">
            <v>-4.3499999046325684</v>
          </cell>
          <cell r="E42">
            <v>-4.3499999046325684</v>
          </cell>
          <cell r="F42">
            <v>-4.3499999046325684</v>
          </cell>
          <cell r="G42">
            <v>0.89999997615814209</v>
          </cell>
          <cell r="H42">
            <v>0.89999997615814209</v>
          </cell>
          <cell r="I42">
            <v>0.89999997615814209</v>
          </cell>
          <cell r="J42">
            <v>0.89999997615814209</v>
          </cell>
        </row>
        <row r="43">
          <cell r="C43">
            <v>-5.5500001907348633</v>
          </cell>
          <cell r="D43">
            <v>-4.055095560782128</v>
          </cell>
          <cell r="E43">
            <v>-4.055095560782128</v>
          </cell>
          <cell r="F43">
            <v>-5.5500001907348633</v>
          </cell>
          <cell r="G43">
            <v>2.8499999046325684</v>
          </cell>
          <cell r="H43">
            <v>3.7131088133812606</v>
          </cell>
          <cell r="I43">
            <v>1.9868909958838761</v>
          </cell>
          <cell r="J43">
            <v>2.8499999046325684</v>
          </cell>
        </row>
        <row r="44">
          <cell r="C44">
            <v>-4.6500000953674316</v>
          </cell>
          <cell r="D44">
            <v>-3.1550954654146963</v>
          </cell>
          <cell r="E44">
            <v>-3.1550954654146963</v>
          </cell>
          <cell r="F44">
            <v>-4.6500000953674316</v>
          </cell>
          <cell r="G44">
            <v>2.8499999046325684</v>
          </cell>
          <cell r="H44">
            <v>3.7131088133812606</v>
          </cell>
          <cell r="I44">
            <v>1.9868909958838761</v>
          </cell>
          <cell r="J44">
            <v>2.8499999046325684</v>
          </cell>
        </row>
        <row r="45">
          <cell r="C45">
            <v>12.149999618530273</v>
          </cell>
          <cell r="D45">
            <v>12.149999618530273</v>
          </cell>
          <cell r="E45">
            <v>12.149999618530273</v>
          </cell>
          <cell r="F45">
            <v>12.149999618530273</v>
          </cell>
          <cell r="G45">
            <v>0.89999997615814209</v>
          </cell>
          <cell r="H45">
            <v>0.89999997615814209</v>
          </cell>
          <cell r="I45">
            <v>0.89999997615814209</v>
          </cell>
          <cell r="J45">
            <v>0.89999997615814209</v>
          </cell>
        </row>
        <row r="46">
          <cell r="C46">
            <v>21.75</v>
          </cell>
          <cell r="D46">
            <v>21.75</v>
          </cell>
          <cell r="E46">
            <v>21.75</v>
          </cell>
          <cell r="F46">
            <v>21.75</v>
          </cell>
          <cell r="G46">
            <v>0.89999997615814209</v>
          </cell>
          <cell r="H46">
            <v>0.89999997615814209</v>
          </cell>
          <cell r="I46">
            <v>0.89999997615814209</v>
          </cell>
          <cell r="J46">
            <v>0.89999997615814209</v>
          </cell>
        </row>
        <row r="47">
          <cell r="C47">
            <v>16.950000762939453</v>
          </cell>
          <cell r="D47">
            <v>16.950000762939453</v>
          </cell>
          <cell r="E47">
            <v>16.950000762939453</v>
          </cell>
          <cell r="F47">
            <v>16.950000762939453</v>
          </cell>
          <cell r="G47">
            <v>-2.0999999046325684</v>
          </cell>
          <cell r="H47">
            <v>-2.0999999046325684</v>
          </cell>
          <cell r="I47">
            <v>-2.0999999046325684</v>
          </cell>
          <cell r="J47">
            <v>-2.0999999046325684</v>
          </cell>
        </row>
        <row r="48">
          <cell r="C48">
            <v>16.950000762939453</v>
          </cell>
          <cell r="D48">
            <v>16.950000762939453</v>
          </cell>
          <cell r="E48">
            <v>16.950000762939453</v>
          </cell>
          <cell r="F48">
            <v>16.950000762939453</v>
          </cell>
          <cell r="G48">
            <v>0.89999997615814209</v>
          </cell>
          <cell r="H48">
            <v>0.89999997615814209</v>
          </cell>
          <cell r="I48">
            <v>0.89999997615814209</v>
          </cell>
          <cell r="J48">
            <v>0.89999997615814209</v>
          </cell>
        </row>
        <row r="52">
          <cell r="C52">
            <v>-3.75</v>
          </cell>
          <cell r="D52">
            <v>-3.75</v>
          </cell>
          <cell r="E52">
            <v>-3.75</v>
          </cell>
          <cell r="F52">
            <v>-3.75</v>
          </cell>
          <cell r="G52">
            <v>-3.75</v>
          </cell>
          <cell r="H52">
            <v>0.89999997615814209</v>
          </cell>
          <cell r="I52">
            <v>0.89999997615814209</v>
          </cell>
          <cell r="J52">
            <v>0.89999997615814209</v>
          </cell>
          <cell r="K52">
            <v>0.89999997615814209</v>
          </cell>
          <cell r="L52">
            <v>0.89999997615814209</v>
          </cell>
          <cell r="P52">
            <v>-3.75</v>
          </cell>
          <cell r="Q52">
            <v>-3.75</v>
          </cell>
          <cell r="R52">
            <v>-3.75</v>
          </cell>
          <cell r="S52">
            <v>-3.75</v>
          </cell>
          <cell r="T52">
            <v>-3.75</v>
          </cell>
          <cell r="U52">
            <v>0.89999997615814209</v>
          </cell>
          <cell r="V52">
            <v>0.89999997615814209</v>
          </cell>
          <cell r="W52">
            <v>0.89999997615814209</v>
          </cell>
          <cell r="X52">
            <v>0.89999997615814209</v>
          </cell>
          <cell r="Y52">
            <v>0.89999997615814209</v>
          </cell>
        </row>
        <row r="53">
          <cell r="C53">
            <v>-0.89999997615814209</v>
          </cell>
          <cell r="D53">
            <v>-0.89999997615814209</v>
          </cell>
          <cell r="E53">
            <v>-0.89999997615814209</v>
          </cell>
          <cell r="F53">
            <v>-0.89999997615814209</v>
          </cell>
          <cell r="G53">
            <v>-0.89999997615814209</v>
          </cell>
          <cell r="H53">
            <v>0.89999997615814209</v>
          </cell>
          <cell r="I53">
            <v>0.89999997615814209</v>
          </cell>
          <cell r="J53">
            <v>0.89999997615814209</v>
          </cell>
          <cell r="K53">
            <v>0.89999997615814209</v>
          </cell>
          <cell r="L53">
            <v>0.89999997615814209</v>
          </cell>
          <cell r="P53">
            <v>-0.89999997615814209</v>
          </cell>
          <cell r="Q53">
            <v>-0.89999997615814209</v>
          </cell>
          <cell r="R53">
            <v>-0.89999997615814209</v>
          </cell>
          <cell r="S53">
            <v>-0.89999997615814209</v>
          </cell>
          <cell r="T53">
            <v>-0.89999997615814209</v>
          </cell>
          <cell r="U53">
            <v>0.95586188224648228</v>
          </cell>
          <cell r="V53">
            <v>0.95586188224648228</v>
          </cell>
          <cell r="W53">
            <v>0.95586188224648228</v>
          </cell>
          <cell r="X53">
            <v>0.95586188224648228</v>
          </cell>
          <cell r="Y53">
            <v>0.95586188224648228</v>
          </cell>
        </row>
        <row r="54">
          <cell r="C54">
            <v>8.6999998092651367</v>
          </cell>
          <cell r="D54">
            <v>8.6999998092651367</v>
          </cell>
          <cell r="E54">
            <v>8.6999998092651367</v>
          </cell>
          <cell r="F54">
            <v>8.6999998092651367</v>
          </cell>
          <cell r="G54">
            <v>8.6999998092651367</v>
          </cell>
          <cell r="H54">
            <v>0.89999997615814209</v>
          </cell>
          <cell r="I54">
            <v>0.89999997615814209</v>
          </cell>
          <cell r="J54">
            <v>0.89999997615814209</v>
          </cell>
          <cell r="K54">
            <v>0.89999997615814209</v>
          </cell>
          <cell r="L54">
            <v>0.89999997615814209</v>
          </cell>
          <cell r="P54">
            <v>8.6998774435266721</v>
          </cell>
          <cell r="Q54">
            <v>8.6998774435266721</v>
          </cell>
          <cell r="R54">
            <v>8.6998774435266721</v>
          </cell>
          <cell r="S54">
            <v>8.6998774435266721</v>
          </cell>
          <cell r="T54">
            <v>8.6998774435266721</v>
          </cell>
          <cell r="U54">
            <v>4.3524356111529094</v>
          </cell>
          <cell r="V54">
            <v>4.3524356111529094</v>
          </cell>
          <cell r="W54">
            <v>4.3524356111529094</v>
          </cell>
          <cell r="X54">
            <v>4.3524356111529094</v>
          </cell>
          <cell r="Y54">
            <v>4.3524356111529094</v>
          </cell>
        </row>
        <row r="55">
          <cell r="C55">
            <v>3.9000000953674316</v>
          </cell>
          <cell r="D55">
            <v>3.9000000953674316</v>
          </cell>
          <cell r="E55">
            <v>3.9000000953674316</v>
          </cell>
          <cell r="F55">
            <v>3.9000000953674316</v>
          </cell>
          <cell r="G55">
            <v>3.9000000953674316</v>
          </cell>
          <cell r="H55">
            <v>-2.0999999046325684</v>
          </cell>
          <cell r="I55">
            <v>-2.0999999046325684</v>
          </cell>
          <cell r="J55">
            <v>-2.0999999046325684</v>
          </cell>
          <cell r="K55">
            <v>-2.0999999046325684</v>
          </cell>
          <cell r="L55">
            <v>-2.0999999046325684</v>
          </cell>
          <cell r="P55">
            <v>3.899595284019405</v>
          </cell>
          <cell r="Q55">
            <v>3.899595284019405</v>
          </cell>
          <cell r="R55">
            <v>3.899595284019405</v>
          </cell>
          <cell r="S55">
            <v>3.899595284019405</v>
          </cell>
          <cell r="T55">
            <v>3.899595284019405</v>
          </cell>
          <cell r="U55">
            <v>-2.0997801137178165</v>
          </cell>
          <cell r="V55">
            <v>-2.0997801137178165</v>
          </cell>
          <cell r="W55">
            <v>-2.0997801137178165</v>
          </cell>
          <cell r="X55">
            <v>-2.0997801137178165</v>
          </cell>
          <cell r="Y55">
            <v>-2.0997801137178165</v>
          </cell>
        </row>
        <row r="56">
          <cell r="C56">
            <v>3.9000000953674316</v>
          </cell>
          <cell r="D56">
            <v>3.9000000953674316</v>
          </cell>
          <cell r="E56">
            <v>3.9000000953674316</v>
          </cell>
          <cell r="F56">
            <v>3.9000000953674316</v>
          </cell>
          <cell r="G56">
            <v>3.9000000953674316</v>
          </cell>
          <cell r="H56">
            <v>0.89999997615814209</v>
          </cell>
          <cell r="I56">
            <v>0.89999997615814209</v>
          </cell>
          <cell r="J56">
            <v>0.89999997615814209</v>
          </cell>
          <cell r="K56">
            <v>0.89999997615814209</v>
          </cell>
          <cell r="L56">
            <v>0.89999997615814209</v>
          </cell>
          <cell r="P56">
            <v>3.9000172623814056</v>
          </cell>
          <cell r="Q56">
            <v>3.9000172623814056</v>
          </cell>
          <cell r="R56">
            <v>3.9000172623814056</v>
          </cell>
          <cell r="S56">
            <v>3.9000172623814056</v>
          </cell>
          <cell r="T56">
            <v>3.9000172623814056</v>
          </cell>
          <cell r="U56">
            <v>0.71199134690652988</v>
          </cell>
          <cell r="V56">
            <v>0.71199134690652988</v>
          </cell>
          <cell r="W56">
            <v>0.71199134690652988</v>
          </cell>
          <cell r="X56">
            <v>0.71199134690652988</v>
          </cell>
          <cell r="Y56">
            <v>0.71199134690652988</v>
          </cell>
        </row>
        <row r="57">
          <cell r="C57">
            <v>3.2999999523162842</v>
          </cell>
          <cell r="D57">
            <v>3.2999999523162842</v>
          </cell>
          <cell r="E57">
            <v>3.2999999523162842</v>
          </cell>
          <cell r="F57">
            <v>3.2999999523162842</v>
          </cell>
          <cell r="G57">
            <v>3.2999999523162842</v>
          </cell>
          <cell r="H57">
            <v>3.5999999046325684</v>
          </cell>
          <cell r="I57">
            <v>3.5999999046325684</v>
          </cell>
          <cell r="J57">
            <v>3.5999999046325684</v>
          </cell>
          <cell r="K57">
            <v>3.5999999046325684</v>
          </cell>
          <cell r="L57">
            <v>3.5999999046325684</v>
          </cell>
          <cell r="P57">
            <v>3.2999999523162842</v>
          </cell>
          <cell r="Q57">
            <v>3.2999999523162842</v>
          </cell>
          <cell r="R57">
            <v>3.2999999523162842</v>
          </cell>
          <cell r="S57">
            <v>3.2999999523162842</v>
          </cell>
          <cell r="T57">
            <v>3.2999999523162842</v>
          </cell>
          <cell r="U57">
            <v>3.5999999046325684</v>
          </cell>
          <cell r="V57">
            <v>3.5999999046325684</v>
          </cell>
          <cell r="W57">
            <v>3.5999999046325684</v>
          </cell>
          <cell r="X57">
            <v>3.5999999046325684</v>
          </cell>
          <cell r="Y57">
            <v>3.5999999046325684</v>
          </cell>
        </row>
        <row r="58">
          <cell r="C58">
            <v>4.5</v>
          </cell>
          <cell r="D58">
            <v>4.5</v>
          </cell>
          <cell r="E58">
            <v>4.5</v>
          </cell>
          <cell r="F58">
            <v>4.5</v>
          </cell>
          <cell r="G58">
            <v>4.5</v>
          </cell>
          <cell r="H58">
            <v>3.5999999046325684</v>
          </cell>
          <cell r="I58">
            <v>3.5999999046325684</v>
          </cell>
          <cell r="J58">
            <v>3.5999999046325684</v>
          </cell>
          <cell r="K58">
            <v>3.5999999046325684</v>
          </cell>
          <cell r="L58">
            <v>3.5999999046325684</v>
          </cell>
          <cell r="P58">
            <v>4.5</v>
          </cell>
          <cell r="Q58">
            <v>4.5</v>
          </cell>
          <cell r="R58">
            <v>4.5</v>
          </cell>
          <cell r="S58">
            <v>4.5</v>
          </cell>
          <cell r="T58">
            <v>4.5</v>
          </cell>
          <cell r="U58">
            <v>3.5999999046325684</v>
          </cell>
          <cell r="V58">
            <v>3.5999999046325684</v>
          </cell>
          <cell r="W58">
            <v>3.5999999046325684</v>
          </cell>
          <cell r="X58">
            <v>3.5999999046325684</v>
          </cell>
          <cell r="Y58">
            <v>3.5999999046325684</v>
          </cell>
        </row>
        <row r="59">
          <cell r="C59">
            <v>2.5508170127868652</v>
          </cell>
          <cell r="D59">
            <v>2.5508170127868652</v>
          </cell>
          <cell r="E59">
            <v>2.5508170127868652</v>
          </cell>
          <cell r="F59">
            <v>2.5508170127868652</v>
          </cell>
          <cell r="G59">
            <v>2.5508170127868652</v>
          </cell>
          <cell r="H59">
            <v>0.89983600378036499</v>
          </cell>
          <cell r="I59">
            <v>0.89983600378036499</v>
          </cell>
          <cell r="J59">
            <v>0.89983600378036499</v>
          </cell>
          <cell r="K59">
            <v>0.89983600378036499</v>
          </cell>
          <cell r="L59">
            <v>0.89983600378036499</v>
          </cell>
          <cell r="P59">
            <v>2.5508135058442862</v>
          </cell>
          <cell r="Q59">
            <v>2.5508135058442862</v>
          </cell>
          <cell r="R59">
            <v>2.5508135058442862</v>
          </cell>
          <cell r="S59">
            <v>2.5508135058442862</v>
          </cell>
          <cell r="T59">
            <v>2.5508135058442862</v>
          </cell>
          <cell r="U59">
            <v>0.8819063423581377</v>
          </cell>
          <cell r="V59">
            <v>0.8819063423581377</v>
          </cell>
          <cell r="W59">
            <v>0.8819063423581377</v>
          </cell>
          <cell r="X59">
            <v>0.8819063423581377</v>
          </cell>
          <cell r="Y59">
            <v>0.8819063423581377</v>
          </cell>
        </row>
        <row r="60">
          <cell r="C60">
            <v>5.2717561721801758</v>
          </cell>
          <cell r="D60">
            <v>5.2717561721801758</v>
          </cell>
          <cell r="E60">
            <v>5.2717561721801758</v>
          </cell>
          <cell r="F60">
            <v>5.2717561721801758</v>
          </cell>
          <cell r="G60">
            <v>5.2717561721801758</v>
          </cell>
          <cell r="H60">
            <v>0.89983600378036499</v>
          </cell>
          <cell r="I60">
            <v>0.89983600378036499</v>
          </cell>
          <cell r="J60">
            <v>0.89983600378036499</v>
          </cell>
          <cell r="K60">
            <v>0.89983600378036499</v>
          </cell>
          <cell r="L60">
            <v>0.89983600378036499</v>
          </cell>
          <cell r="P60">
            <v>5.2717980643062301</v>
          </cell>
          <cell r="Q60">
            <v>5.2717980643062301</v>
          </cell>
          <cell r="R60">
            <v>5.2717980643062301</v>
          </cell>
          <cell r="S60">
            <v>5.2717980643062301</v>
          </cell>
          <cell r="T60">
            <v>5.2717980643062301</v>
          </cell>
          <cell r="U60">
            <v>0.91863725774052185</v>
          </cell>
          <cell r="V60">
            <v>0.91863725774052185</v>
          </cell>
          <cell r="W60">
            <v>0.91863725774052185</v>
          </cell>
          <cell r="X60">
            <v>0.91863725774052185</v>
          </cell>
          <cell r="Y60">
            <v>0.91863725774052185</v>
          </cell>
        </row>
        <row r="61">
          <cell r="C61">
            <v>3.3856499195098877</v>
          </cell>
          <cell r="D61">
            <v>3.3856499195098877</v>
          </cell>
          <cell r="E61">
            <v>3.3856499195098877</v>
          </cell>
          <cell r="F61">
            <v>3.3856499195098877</v>
          </cell>
          <cell r="G61">
            <v>3.3856499195098877</v>
          </cell>
          <cell r="H61">
            <v>2.7293310165405273</v>
          </cell>
          <cell r="I61">
            <v>2.7293310165405273</v>
          </cell>
          <cell r="J61">
            <v>2.7293310165405273</v>
          </cell>
          <cell r="K61">
            <v>2.7293310165405273</v>
          </cell>
          <cell r="L61">
            <v>2.7293310165405273</v>
          </cell>
          <cell r="P61">
            <v>3.3533233680977133</v>
          </cell>
          <cell r="Q61">
            <v>3.3533233680977133</v>
          </cell>
          <cell r="R61">
            <v>3.3533233680977133</v>
          </cell>
          <cell r="S61">
            <v>3.3533233680977133</v>
          </cell>
          <cell r="T61">
            <v>3.3533233680977133</v>
          </cell>
          <cell r="U61">
            <v>2.7261509686366132</v>
          </cell>
          <cell r="V61">
            <v>2.7261509686366132</v>
          </cell>
          <cell r="W61">
            <v>2.7261509686366132</v>
          </cell>
          <cell r="X61">
            <v>2.7261509686366132</v>
          </cell>
          <cell r="Y61">
            <v>2.7261509686366132</v>
          </cell>
        </row>
        <row r="62">
          <cell r="C62">
            <v>4.4060029983520508</v>
          </cell>
          <cell r="D62">
            <v>4.4060029983520508</v>
          </cell>
          <cell r="E62">
            <v>4.4060029983520508</v>
          </cell>
          <cell r="F62">
            <v>4.4060029983520508</v>
          </cell>
          <cell r="G62">
            <v>4.4060029983520508</v>
          </cell>
          <cell r="H62">
            <v>2.7448270320892334</v>
          </cell>
          <cell r="I62">
            <v>2.7448270320892334</v>
          </cell>
          <cell r="J62">
            <v>2.7448270320892334</v>
          </cell>
          <cell r="K62">
            <v>2.7448270320892334</v>
          </cell>
          <cell r="L62">
            <v>2.7448270320892334</v>
          </cell>
          <cell r="P62">
            <v>4.3735740188221861</v>
          </cell>
          <cell r="Q62">
            <v>4.3735740188221861</v>
          </cell>
          <cell r="R62">
            <v>4.3735740188221861</v>
          </cell>
          <cell r="S62">
            <v>4.3735740188221861</v>
          </cell>
          <cell r="T62">
            <v>4.3735740188221861</v>
          </cell>
          <cell r="U62">
            <v>2.7483914883909044</v>
          </cell>
          <cell r="V62">
            <v>2.7483914883909044</v>
          </cell>
          <cell r="W62">
            <v>2.7483914883909044</v>
          </cell>
          <cell r="X62">
            <v>2.7483914883909044</v>
          </cell>
          <cell r="Y62">
            <v>2.7483914883909044</v>
          </cell>
        </row>
        <row r="63">
          <cell r="C63">
            <v>-6.4499998092651367</v>
          </cell>
          <cell r="D63">
            <v>-6.4499998092651367</v>
          </cell>
          <cell r="E63">
            <v>-6.4499998092651367</v>
          </cell>
          <cell r="F63">
            <v>-6.4499998092651367</v>
          </cell>
          <cell r="G63">
            <v>-6.4499998092651367</v>
          </cell>
          <cell r="H63">
            <v>0.89999997615814209</v>
          </cell>
          <cell r="I63">
            <v>0.89999997615814209</v>
          </cell>
          <cell r="J63">
            <v>0.89999997615814209</v>
          </cell>
          <cell r="K63">
            <v>0.89999997615814209</v>
          </cell>
          <cell r="L63">
            <v>0.89999997615814209</v>
          </cell>
          <cell r="P63">
            <v>-6.4499998092651367</v>
          </cell>
          <cell r="Q63">
            <v>-6.4499998092651367</v>
          </cell>
          <cell r="R63">
            <v>-6.4499998092651367</v>
          </cell>
          <cell r="S63">
            <v>-6.4499998092651367</v>
          </cell>
          <cell r="T63">
            <v>-6.4499998092651367</v>
          </cell>
          <cell r="U63">
            <v>0.89999997615814209</v>
          </cell>
          <cell r="V63">
            <v>0.89999997615814209</v>
          </cell>
          <cell r="W63">
            <v>0.89999997615814209</v>
          </cell>
          <cell r="X63">
            <v>0.89999997615814209</v>
          </cell>
          <cell r="Y63">
            <v>0.89999997615814209</v>
          </cell>
        </row>
        <row r="64">
          <cell r="C64">
            <v>-5.8499999046325684</v>
          </cell>
          <cell r="D64">
            <v>-5.8499999046325684</v>
          </cell>
          <cell r="E64">
            <v>-5.8499999046325684</v>
          </cell>
          <cell r="F64">
            <v>-5.8499999046325684</v>
          </cell>
          <cell r="G64">
            <v>-5.8499999046325684</v>
          </cell>
          <cell r="H64">
            <v>0.89999997615814209</v>
          </cell>
          <cell r="I64">
            <v>0.89999997615814209</v>
          </cell>
          <cell r="J64">
            <v>0.89999997615814209</v>
          </cell>
          <cell r="K64">
            <v>0.89999997615814209</v>
          </cell>
          <cell r="L64">
            <v>0.89999997615814209</v>
          </cell>
          <cell r="P64">
            <v>-5.8499999046325684</v>
          </cell>
          <cell r="Q64">
            <v>-5.8499999046325684</v>
          </cell>
          <cell r="R64">
            <v>-5.8499999046325684</v>
          </cell>
          <cell r="S64">
            <v>-5.8499999046325684</v>
          </cell>
          <cell r="T64">
            <v>-5.8499999046325684</v>
          </cell>
          <cell r="U64">
            <v>0.89999997615814209</v>
          </cell>
          <cell r="V64">
            <v>0.89999997615814209</v>
          </cell>
          <cell r="W64">
            <v>0.89999997615814209</v>
          </cell>
          <cell r="X64">
            <v>0.89999997615814209</v>
          </cell>
          <cell r="Y64">
            <v>0.89999997615814209</v>
          </cell>
        </row>
        <row r="65">
          <cell r="C65">
            <v>-4.3499999046325684</v>
          </cell>
          <cell r="D65">
            <v>-4.3499999046325684</v>
          </cell>
          <cell r="E65">
            <v>-4.3499999046325684</v>
          </cell>
          <cell r="F65">
            <v>-4.3499999046325684</v>
          </cell>
          <cell r="G65">
            <v>-4.3499999046325684</v>
          </cell>
          <cell r="H65">
            <v>0.89999997615814209</v>
          </cell>
          <cell r="I65">
            <v>0.89999997615814209</v>
          </cell>
          <cell r="J65">
            <v>0.89999997615814209</v>
          </cell>
          <cell r="K65">
            <v>0.89999997615814209</v>
          </cell>
          <cell r="L65">
            <v>0.89999997615814209</v>
          </cell>
          <cell r="P65">
            <v>-4.3499999046325684</v>
          </cell>
          <cell r="Q65">
            <v>-4.3499999046325684</v>
          </cell>
          <cell r="R65">
            <v>-4.3499999046325684</v>
          </cell>
          <cell r="S65">
            <v>-4.3499999046325684</v>
          </cell>
          <cell r="T65">
            <v>-4.3499999046325684</v>
          </cell>
          <cell r="U65">
            <v>0.89999997615814209</v>
          </cell>
          <cell r="V65">
            <v>0.89999997615814209</v>
          </cell>
          <cell r="W65">
            <v>0.89999997615814209</v>
          </cell>
          <cell r="X65">
            <v>0.89999997615814209</v>
          </cell>
          <cell r="Y65">
            <v>0.89999997615814209</v>
          </cell>
        </row>
        <row r="66">
          <cell r="C66">
            <v>-5.5500001907348633</v>
          </cell>
          <cell r="D66">
            <v>-5.5500001907348633</v>
          </cell>
          <cell r="E66">
            <v>-5.5500001907348633</v>
          </cell>
          <cell r="F66">
            <v>-5.5500001907348633</v>
          </cell>
          <cell r="G66">
            <v>-5.5500001907348633</v>
          </cell>
          <cell r="H66">
            <v>2.8499999046325684</v>
          </cell>
          <cell r="I66">
            <v>2.8499999046325684</v>
          </cell>
          <cell r="J66">
            <v>2.8499999046325684</v>
          </cell>
          <cell r="K66">
            <v>2.8499999046325684</v>
          </cell>
          <cell r="L66">
            <v>2.8499999046325684</v>
          </cell>
          <cell r="P66">
            <v>-5.5500001907348633</v>
          </cell>
          <cell r="Q66">
            <v>-5.5500001907348633</v>
          </cell>
          <cell r="R66">
            <v>-5.5500001907348633</v>
          </cell>
          <cell r="S66">
            <v>-5.5500001907348633</v>
          </cell>
          <cell r="T66">
            <v>-5.5500001907348633</v>
          </cell>
          <cell r="U66">
            <v>2.8499999046325684</v>
          </cell>
          <cell r="V66">
            <v>2.8499999046325684</v>
          </cell>
          <cell r="W66">
            <v>2.8499999046325684</v>
          </cell>
          <cell r="X66">
            <v>2.8499999046325684</v>
          </cell>
          <cell r="Y66">
            <v>2.8499999046325684</v>
          </cell>
        </row>
        <row r="67">
          <cell r="C67">
            <v>-4.6500000953674316</v>
          </cell>
          <cell r="D67">
            <v>-4.6500000953674316</v>
          </cell>
          <cell r="E67">
            <v>-4.6500000953674316</v>
          </cell>
          <cell r="F67">
            <v>-4.6500000953674316</v>
          </cell>
          <cell r="G67">
            <v>-4.6500000953674316</v>
          </cell>
          <cell r="H67">
            <v>2.8499999046325684</v>
          </cell>
          <cell r="I67">
            <v>2.8499999046325684</v>
          </cell>
          <cell r="J67">
            <v>2.8499999046325684</v>
          </cell>
          <cell r="K67">
            <v>2.8499999046325684</v>
          </cell>
          <cell r="L67">
            <v>2.8499999046325684</v>
          </cell>
          <cell r="P67">
            <v>-4.6500000953674316</v>
          </cell>
          <cell r="Q67">
            <v>-4.6500000953674316</v>
          </cell>
          <cell r="R67">
            <v>-4.6500000953674316</v>
          </cell>
          <cell r="S67">
            <v>-4.6500000953674316</v>
          </cell>
          <cell r="T67">
            <v>-4.6500000953674316</v>
          </cell>
          <cell r="U67">
            <v>2.8499999046325684</v>
          </cell>
          <cell r="V67">
            <v>2.8499999046325684</v>
          </cell>
          <cell r="W67">
            <v>2.8499999046325684</v>
          </cell>
          <cell r="X67">
            <v>2.8499999046325684</v>
          </cell>
          <cell r="Y67">
            <v>2.8499999046325684</v>
          </cell>
        </row>
        <row r="68">
          <cell r="C68">
            <v>12.149999618530273</v>
          </cell>
          <cell r="D68">
            <v>12.149999618530273</v>
          </cell>
          <cell r="E68">
            <v>12.149999618530273</v>
          </cell>
          <cell r="F68">
            <v>12.149999618530273</v>
          </cell>
          <cell r="G68">
            <v>12.149999618530273</v>
          </cell>
          <cell r="H68">
            <v>0.89999997615814209</v>
          </cell>
          <cell r="I68">
            <v>0.89999997615814209</v>
          </cell>
          <cell r="J68">
            <v>0.89999997615814209</v>
          </cell>
          <cell r="K68">
            <v>0.89999997615814209</v>
          </cell>
          <cell r="L68">
            <v>0.89999997615814209</v>
          </cell>
          <cell r="P68">
            <v>12.149877252791809</v>
          </cell>
          <cell r="Q68">
            <v>12.149877252791809</v>
          </cell>
          <cell r="R68">
            <v>12.149877252791809</v>
          </cell>
          <cell r="S68">
            <v>12.149877252791809</v>
          </cell>
          <cell r="T68">
            <v>12.149877252791809</v>
          </cell>
          <cell r="U68">
            <v>0.89983854892481308</v>
          </cell>
          <cell r="V68">
            <v>0.89983854892481308</v>
          </cell>
          <cell r="W68">
            <v>0.89983854892481308</v>
          </cell>
          <cell r="X68">
            <v>0.89983854892481308</v>
          </cell>
          <cell r="Y68">
            <v>0.89983854892481308</v>
          </cell>
        </row>
        <row r="69">
          <cell r="C69">
            <v>21.75</v>
          </cell>
          <cell r="D69">
            <v>21.75</v>
          </cell>
          <cell r="E69">
            <v>21.75</v>
          </cell>
          <cell r="F69">
            <v>21.75</v>
          </cell>
          <cell r="G69">
            <v>21.75</v>
          </cell>
          <cell r="H69">
            <v>0.89999997615814209</v>
          </cell>
          <cell r="I69">
            <v>0.89999997615814209</v>
          </cell>
          <cell r="J69">
            <v>0.89999997615814209</v>
          </cell>
          <cell r="K69">
            <v>0.89999997615814209</v>
          </cell>
          <cell r="L69">
            <v>0.89999997615814209</v>
          </cell>
          <cell r="P69">
            <v>21.749877634170446</v>
          </cell>
          <cell r="Q69">
            <v>21.749877634170446</v>
          </cell>
          <cell r="R69">
            <v>21.749877634170446</v>
          </cell>
          <cell r="S69">
            <v>21.749877634170446</v>
          </cell>
          <cell r="T69">
            <v>21.749877634170446</v>
          </cell>
          <cell r="U69">
            <v>0.9001611964406423</v>
          </cell>
          <cell r="V69">
            <v>0.9001611964406423</v>
          </cell>
          <cell r="W69">
            <v>0.9001611964406423</v>
          </cell>
          <cell r="X69">
            <v>0.9001611964406423</v>
          </cell>
          <cell r="Y69">
            <v>0.9001611964406423</v>
          </cell>
        </row>
        <row r="70">
          <cell r="C70">
            <v>16.950000762939453</v>
          </cell>
          <cell r="D70">
            <v>16.950000762939453</v>
          </cell>
          <cell r="E70">
            <v>16.950000762939453</v>
          </cell>
          <cell r="F70">
            <v>16.950000762939453</v>
          </cell>
          <cell r="G70">
            <v>16.950000762939453</v>
          </cell>
          <cell r="H70">
            <v>-2.0999999046325684</v>
          </cell>
          <cell r="I70">
            <v>-2.0999999046325684</v>
          </cell>
          <cell r="J70">
            <v>-2.0999999046325684</v>
          </cell>
          <cell r="K70">
            <v>-2.0999999046325684</v>
          </cell>
          <cell r="L70">
            <v>-2.0999999046325684</v>
          </cell>
          <cell r="P70">
            <v>16.950000505139531</v>
          </cell>
          <cell r="Q70">
            <v>16.950000505139531</v>
          </cell>
          <cell r="R70">
            <v>16.950000505139531</v>
          </cell>
          <cell r="S70">
            <v>16.950000505139531</v>
          </cell>
          <cell r="T70">
            <v>16.950000505139531</v>
          </cell>
          <cell r="U70">
            <v>-2.099999764731113</v>
          </cell>
          <cell r="V70">
            <v>-2.099999764731113</v>
          </cell>
          <cell r="W70">
            <v>-2.099999764731113</v>
          </cell>
          <cell r="X70">
            <v>-2.099999764731113</v>
          </cell>
          <cell r="Y70">
            <v>-2.099999764731113</v>
          </cell>
        </row>
        <row r="71">
          <cell r="C71">
            <v>16.950000762939453</v>
          </cell>
          <cell r="D71">
            <v>16.950000762939453</v>
          </cell>
          <cell r="E71">
            <v>16.950000762939453</v>
          </cell>
          <cell r="F71">
            <v>16.950000762939453</v>
          </cell>
          <cell r="G71">
            <v>16.950000762939453</v>
          </cell>
          <cell r="H71">
            <v>0.89999997615814209</v>
          </cell>
          <cell r="I71">
            <v>0.89999997615814209</v>
          </cell>
          <cell r="J71">
            <v>0.89999997615814209</v>
          </cell>
          <cell r="K71">
            <v>0.89999997615814209</v>
          </cell>
          <cell r="L71">
            <v>0.89999997615814209</v>
          </cell>
          <cell r="P71">
            <v>16.949878412407752</v>
          </cell>
          <cell r="Q71">
            <v>16.949878412407752</v>
          </cell>
          <cell r="R71">
            <v>16.949878412407752</v>
          </cell>
          <cell r="S71">
            <v>16.949878412407752</v>
          </cell>
          <cell r="T71">
            <v>16.949878412407752</v>
          </cell>
          <cell r="U71">
            <v>0.89999977405212539</v>
          </cell>
          <cell r="V71">
            <v>0.89999977405212539</v>
          </cell>
          <cell r="W71">
            <v>0.89999977405212539</v>
          </cell>
          <cell r="X71">
            <v>0.89999977405212539</v>
          </cell>
          <cell r="Y71">
            <v>0.89999977405212539</v>
          </cell>
        </row>
        <row r="75">
          <cell r="D75">
            <v>-3.75</v>
          </cell>
          <cell r="E75">
            <v>-3.75</v>
          </cell>
          <cell r="F75">
            <v>-3.75</v>
          </cell>
          <cell r="G75">
            <v>-3.75</v>
          </cell>
          <cell r="H75">
            <v>0.89999997615814209</v>
          </cell>
          <cell r="I75">
            <v>0.89999997615814209</v>
          </cell>
          <cell r="J75">
            <v>0.89999997615814209</v>
          </cell>
          <cell r="K75">
            <v>0.89999997615814209</v>
          </cell>
          <cell r="Q75">
            <v>-3.75</v>
          </cell>
          <cell r="R75">
            <v>-3.75</v>
          </cell>
          <cell r="S75">
            <v>-3.75</v>
          </cell>
          <cell r="T75">
            <v>-3.75</v>
          </cell>
          <cell r="U75">
            <v>0.89999997615814209</v>
          </cell>
          <cell r="V75">
            <v>0.89999997615814209</v>
          </cell>
          <cell r="W75">
            <v>0.89999997615814209</v>
          </cell>
          <cell r="X75">
            <v>0.89999997615814209</v>
          </cell>
        </row>
        <row r="76">
          <cell r="D76">
            <v>-0.89999997615814209</v>
          </cell>
          <cell r="E76">
            <v>-0.89999997615814209</v>
          </cell>
          <cell r="F76">
            <v>-0.89999997615814209</v>
          </cell>
          <cell r="G76">
            <v>-0.89999997615814209</v>
          </cell>
          <cell r="H76">
            <v>0.89999997615814209</v>
          </cell>
          <cell r="I76">
            <v>0.89999997615814209</v>
          </cell>
          <cell r="J76">
            <v>0.89999997615814209</v>
          </cell>
          <cell r="K76">
            <v>0.89999997615814209</v>
          </cell>
          <cell r="Q76">
            <v>-0.89999997615814209</v>
          </cell>
          <cell r="R76">
            <v>-0.89999997615814209</v>
          </cell>
          <cell r="S76">
            <v>-0.89999997615814209</v>
          </cell>
          <cell r="T76">
            <v>-0.89999997615814209</v>
          </cell>
          <cell r="U76">
            <v>0.95586188224648228</v>
          </cell>
          <cell r="V76">
            <v>0.95586188224648228</v>
          </cell>
          <cell r="W76">
            <v>0.95586188224648228</v>
          </cell>
          <cell r="X76">
            <v>0.95586188224648228</v>
          </cell>
        </row>
        <row r="77">
          <cell r="D77">
            <v>8.6999998092651367</v>
          </cell>
          <cell r="E77">
            <v>8.6999998092651367</v>
          </cell>
          <cell r="F77">
            <v>8.6999998092651367</v>
          </cell>
          <cell r="G77">
            <v>8.6999998092651367</v>
          </cell>
          <cell r="H77">
            <v>0.89999997615814209</v>
          </cell>
          <cell r="I77">
            <v>0.89999997615814209</v>
          </cell>
          <cell r="J77">
            <v>0.89999997615814209</v>
          </cell>
          <cell r="K77">
            <v>0.89999997615814209</v>
          </cell>
          <cell r="Q77">
            <v>8.6998774435266721</v>
          </cell>
          <cell r="R77">
            <v>8.6998774435266721</v>
          </cell>
          <cell r="S77">
            <v>8.6998774435266721</v>
          </cell>
          <cell r="T77">
            <v>8.6998774435266721</v>
          </cell>
          <cell r="U77">
            <v>4.3524356111529094</v>
          </cell>
          <cell r="V77">
            <v>4.3524356111529094</v>
          </cell>
          <cell r="W77">
            <v>4.3524356111529094</v>
          </cell>
          <cell r="X77">
            <v>4.3524356111529094</v>
          </cell>
        </row>
        <row r="78">
          <cell r="D78">
            <v>3.9000000953674316</v>
          </cell>
          <cell r="E78">
            <v>3.9000000953674316</v>
          </cell>
          <cell r="F78">
            <v>3.9000000953674316</v>
          </cell>
          <cell r="G78">
            <v>3.9000000953674316</v>
          </cell>
          <cell r="H78">
            <v>-2.0999999046325684</v>
          </cell>
          <cell r="I78">
            <v>-2.0999999046325684</v>
          </cell>
          <cell r="J78">
            <v>-2.0999999046325684</v>
          </cell>
          <cell r="K78">
            <v>-2.0999999046325684</v>
          </cell>
          <cell r="Q78">
            <v>3.899595284019405</v>
          </cell>
          <cell r="R78">
            <v>3.899595284019405</v>
          </cell>
          <cell r="S78">
            <v>3.899595284019405</v>
          </cell>
          <cell r="T78">
            <v>3.899595284019405</v>
          </cell>
          <cell r="U78">
            <v>-2.0997801137178165</v>
          </cell>
          <cell r="V78">
            <v>-2.0997801137178165</v>
          </cell>
          <cell r="W78">
            <v>-2.0997801137178165</v>
          </cell>
          <cell r="X78">
            <v>-2.0997801137178165</v>
          </cell>
        </row>
        <row r="79">
          <cell r="D79">
            <v>3.9000000953674316</v>
          </cell>
          <cell r="E79">
            <v>3.9000000953674316</v>
          </cell>
          <cell r="F79">
            <v>3.9000000953674316</v>
          </cell>
          <cell r="G79">
            <v>3.9000000953674316</v>
          </cell>
          <cell r="H79">
            <v>0.89999997615814209</v>
          </cell>
          <cell r="I79">
            <v>0.89999997615814209</v>
          </cell>
          <cell r="J79">
            <v>0.89999997615814209</v>
          </cell>
          <cell r="K79">
            <v>0.89999997615814209</v>
          </cell>
          <cell r="Q79">
            <v>3.9000172623814056</v>
          </cell>
          <cell r="R79">
            <v>3.9000172623814056</v>
          </cell>
          <cell r="S79">
            <v>3.9000172623814056</v>
          </cell>
          <cell r="T79">
            <v>3.9000172623814056</v>
          </cell>
          <cell r="U79">
            <v>0.71199134690652988</v>
          </cell>
          <cell r="V79">
            <v>0.71199134690652988</v>
          </cell>
          <cell r="W79">
            <v>0.71199134690652988</v>
          </cell>
          <cell r="X79">
            <v>0.71199134690652988</v>
          </cell>
        </row>
        <row r="80">
          <cell r="D80">
            <v>3.2999999523162842</v>
          </cell>
          <cell r="E80">
            <v>3.2999999523162842</v>
          </cell>
          <cell r="F80">
            <v>3.2999999523162842</v>
          </cell>
          <cell r="G80">
            <v>3.2999999523162842</v>
          </cell>
          <cell r="H80">
            <v>3.5999999046325684</v>
          </cell>
          <cell r="I80">
            <v>3.5999999046325684</v>
          </cell>
          <cell r="J80">
            <v>3.5999999046325684</v>
          </cell>
          <cell r="K80">
            <v>3.5999999046325684</v>
          </cell>
          <cell r="Q80">
            <v>3.2999999523162842</v>
          </cell>
          <cell r="R80">
            <v>3.2999999523162842</v>
          </cell>
          <cell r="S80">
            <v>3.2999999523162842</v>
          </cell>
          <cell r="T80">
            <v>3.2999999523162842</v>
          </cell>
          <cell r="U80">
            <v>3.5999999046325684</v>
          </cell>
          <cell r="V80">
            <v>3.5999999046325684</v>
          </cell>
          <cell r="W80">
            <v>3.5999999046325684</v>
          </cell>
          <cell r="X80">
            <v>3.5999999046325684</v>
          </cell>
        </row>
        <row r="81">
          <cell r="D81">
            <v>4.5</v>
          </cell>
          <cell r="E81">
            <v>4.5</v>
          </cell>
          <cell r="F81">
            <v>4.5</v>
          </cell>
          <cell r="G81">
            <v>4.5</v>
          </cell>
          <cell r="H81">
            <v>3.5999999046325684</v>
          </cell>
          <cell r="I81">
            <v>3.5999999046325684</v>
          </cell>
          <cell r="J81">
            <v>3.5999999046325684</v>
          </cell>
          <cell r="K81">
            <v>3.5999999046325684</v>
          </cell>
          <cell r="Q81">
            <v>4.5</v>
          </cell>
          <cell r="R81">
            <v>4.5</v>
          </cell>
          <cell r="S81">
            <v>4.5</v>
          </cell>
          <cell r="T81">
            <v>4.5</v>
          </cell>
          <cell r="U81">
            <v>3.5999999046325684</v>
          </cell>
          <cell r="V81">
            <v>3.5999999046325684</v>
          </cell>
          <cell r="W81">
            <v>3.5999999046325684</v>
          </cell>
          <cell r="X81">
            <v>3.5999999046325684</v>
          </cell>
        </row>
        <row r="82">
          <cell r="D82">
            <v>2.5508170127868652</v>
          </cell>
          <cell r="E82">
            <v>2.5508170127868652</v>
          </cell>
          <cell r="F82">
            <v>2.5508170127868652</v>
          </cell>
          <cell r="G82">
            <v>2.5508170127868652</v>
          </cell>
          <cell r="H82">
            <v>0.89983600378036499</v>
          </cell>
          <cell r="I82">
            <v>0.89983600378036499</v>
          </cell>
          <cell r="J82">
            <v>0.89983600378036499</v>
          </cell>
          <cell r="K82">
            <v>0.89983600378036499</v>
          </cell>
          <cell r="Q82">
            <v>2.5508135058442862</v>
          </cell>
          <cell r="R82">
            <v>2.5508135058442862</v>
          </cell>
          <cell r="S82">
            <v>2.5508135058442862</v>
          </cell>
          <cell r="T82">
            <v>2.5508135058442862</v>
          </cell>
          <cell r="U82">
            <v>0.8819063423581377</v>
          </cell>
          <cell r="V82">
            <v>0.8819063423581377</v>
          </cell>
          <cell r="W82">
            <v>0.8819063423581377</v>
          </cell>
          <cell r="X82">
            <v>0.8819063423581377</v>
          </cell>
        </row>
        <row r="83">
          <cell r="D83">
            <v>5.2717561721801758</v>
          </cell>
          <cell r="E83">
            <v>5.2717561721801758</v>
          </cell>
          <cell r="F83">
            <v>5.2717561721801758</v>
          </cell>
          <cell r="G83">
            <v>5.2717561721801758</v>
          </cell>
          <cell r="H83">
            <v>0.89983600378036499</v>
          </cell>
          <cell r="I83">
            <v>0.89983600378036499</v>
          </cell>
          <cell r="J83">
            <v>0.89983600378036499</v>
          </cell>
          <cell r="K83">
            <v>0.89983600378036499</v>
          </cell>
          <cell r="Q83">
            <v>5.2717980643062301</v>
          </cell>
          <cell r="R83">
            <v>5.2717980643062301</v>
          </cell>
          <cell r="S83">
            <v>5.2717980643062301</v>
          </cell>
          <cell r="T83">
            <v>5.2717980643062301</v>
          </cell>
          <cell r="U83">
            <v>0.91863725774052185</v>
          </cell>
          <cell r="V83">
            <v>0.91863725774052185</v>
          </cell>
          <cell r="W83">
            <v>0.91863725774052185</v>
          </cell>
          <cell r="X83">
            <v>0.91863725774052185</v>
          </cell>
        </row>
        <row r="84">
          <cell r="D84">
            <v>3.3856499195098877</v>
          </cell>
          <cell r="E84">
            <v>3.3856499195098877</v>
          </cell>
          <cell r="F84">
            <v>3.3856499195098877</v>
          </cell>
          <cell r="G84">
            <v>3.3856499195098877</v>
          </cell>
          <cell r="H84">
            <v>2.7293310165405273</v>
          </cell>
          <cell r="I84">
            <v>2.7293310165405273</v>
          </cell>
          <cell r="J84">
            <v>2.7293310165405273</v>
          </cell>
          <cell r="K84">
            <v>2.7293310165405273</v>
          </cell>
          <cell r="Q84">
            <v>3.3533233680977133</v>
          </cell>
          <cell r="R84">
            <v>3.3533233680977133</v>
          </cell>
          <cell r="S84">
            <v>3.3533233680977133</v>
          </cell>
          <cell r="T84">
            <v>3.3533233680977133</v>
          </cell>
          <cell r="U84">
            <v>2.7261509686366132</v>
          </cell>
          <cell r="V84">
            <v>2.7261509686366132</v>
          </cell>
          <cell r="W84">
            <v>2.7261509686366132</v>
          </cell>
          <cell r="X84">
            <v>2.7261509686366132</v>
          </cell>
        </row>
        <row r="85">
          <cell r="D85">
            <v>4.4060029983520508</v>
          </cell>
          <cell r="E85">
            <v>4.4060029983520508</v>
          </cell>
          <cell r="F85">
            <v>4.4060029983520508</v>
          </cell>
          <cell r="G85">
            <v>4.4060029983520508</v>
          </cell>
          <cell r="H85">
            <v>2.7448270320892334</v>
          </cell>
          <cell r="I85">
            <v>2.7448270320892334</v>
          </cell>
          <cell r="J85">
            <v>2.7448270320892334</v>
          </cell>
          <cell r="K85">
            <v>2.7448270320892334</v>
          </cell>
          <cell r="Q85">
            <v>4.3735740188221861</v>
          </cell>
          <cell r="R85">
            <v>4.3735740188221861</v>
          </cell>
          <cell r="S85">
            <v>4.3735740188221861</v>
          </cell>
          <cell r="T85">
            <v>4.3735740188221861</v>
          </cell>
          <cell r="U85">
            <v>2.7483914883909044</v>
          </cell>
          <cell r="V85">
            <v>2.7483914883909044</v>
          </cell>
          <cell r="W85">
            <v>2.7483914883909044</v>
          </cell>
          <cell r="X85">
            <v>2.7483914883909044</v>
          </cell>
        </row>
        <row r="86">
          <cell r="D86">
            <v>-6.4499998092651367</v>
          </cell>
          <cell r="E86">
            <v>-6.4499998092651367</v>
          </cell>
          <cell r="F86">
            <v>-6.4499998092651367</v>
          </cell>
          <cell r="G86">
            <v>-6.4499998092651367</v>
          </cell>
          <cell r="H86">
            <v>0.89999997615814209</v>
          </cell>
          <cell r="I86">
            <v>0.89999997615814209</v>
          </cell>
          <cell r="J86">
            <v>0.89999997615814209</v>
          </cell>
          <cell r="K86">
            <v>0.89999997615814209</v>
          </cell>
          <cell r="Q86">
            <v>-6.4499998092651367</v>
          </cell>
          <cell r="R86">
            <v>-6.4499998092651367</v>
          </cell>
          <cell r="S86">
            <v>-6.4499998092651367</v>
          </cell>
          <cell r="T86">
            <v>-6.4499998092651367</v>
          </cell>
          <cell r="U86">
            <v>0.89999997615814209</v>
          </cell>
          <cell r="V86">
            <v>0.89999997615814209</v>
          </cell>
          <cell r="W86">
            <v>0.89999997615814209</v>
          </cell>
          <cell r="X86">
            <v>0.89999997615814209</v>
          </cell>
        </row>
        <row r="87">
          <cell r="D87">
            <v>-5.8499999046325684</v>
          </cell>
          <cell r="E87">
            <v>-5.8499999046325684</v>
          </cell>
          <cell r="F87">
            <v>-5.8499999046325684</v>
          </cell>
          <cell r="G87">
            <v>-5.8499999046325684</v>
          </cell>
          <cell r="H87">
            <v>0.89999997615814209</v>
          </cell>
          <cell r="I87">
            <v>0.89999997615814209</v>
          </cell>
          <cell r="J87">
            <v>0.89999997615814209</v>
          </cell>
          <cell r="K87">
            <v>0.89999997615814209</v>
          </cell>
          <cell r="Q87">
            <v>-5.8499999046325684</v>
          </cell>
          <cell r="R87">
            <v>-5.8499999046325684</v>
          </cell>
          <cell r="S87">
            <v>-5.8499999046325684</v>
          </cell>
          <cell r="T87">
            <v>-5.8499999046325684</v>
          </cell>
          <cell r="U87">
            <v>0.89999997615814209</v>
          </cell>
          <cell r="V87">
            <v>0.89999997615814209</v>
          </cell>
          <cell r="W87">
            <v>0.89999997615814209</v>
          </cell>
          <cell r="X87">
            <v>0.89999997615814209</v>
          </cell>
        </row>
        <row r="88">
          <cell r="D88">
            <v>-4.3499999046325684</v>
          </cell>
          <cell r="E88">
            <v>-4.3499999046325684</v>
          </cell>
          <cell r="F88">
            <v>-4.3499999046325684</v>
          </cell>
          <cell r="G88">
            <v>-4.3499999046325684</v>
          </cell>
          <cell r="H88">
            <v>0.89999997615814209</v>
          </cell>
          <cell r="I88">
            <v>0.89999997615814209</v>
          </cell>
          <cell r="J88">
            <v>0.89999997615814209</v>
          </cell>
          <cell r="K88">
            <v>0.89999997615814209</v>
          </cell>
          <cell r="Q88">
            <v>-4.3499999046325684</v>
          </cell>
          <cell r="R88">
            <v>-4.3499999046325684</v>
          </cell>
          <cell r="S88">
            <v>-4.3499999046325684</v>
          </cell>
          <cell r="T88">
            <v>-4.3499999046325684</v>
          </cell>
          <cell r="U88">
            <v>0.89999997615814209</v>
          </cell>
          <cell r="V88">
            <v>0.89999997615814209</v>
          </cell>
          <cell r="W88">
            <v>0.89999997615814209</v>
          </cell>
          <cell r="X88">
            <v>0.89999997615814209</v>
          </cell>
        </row>
        <row r="89">
          <cell r="D89">
            <v>-5.5500001907348633</v>
          </cell>
          <cell r="E89">
            <v>-5.5500001907348633</v>
          </cell>
          <cell r="F89">
            <v>-5.5500001907348633</v>
          </cell>
          <cell r="G89">
            <v>-5.5500001907348633</v>
          </cell>
          <cell r="H89">
            <v>2.8499999046325684</v>
          </cell>
          <cell r="I89">
            <v>2.8499999046325684</v>
          </cell>
          <cell r="J89">
            <v>2.8499999046325684</v>
          </cell>
          <cell r="K89">
            <v>2.8499999046325684</v>
          </cell>
          <cell r="Q89">
            <v>-5.5500001907348633</v>
          </cell>
          <cell r="R89">
            <v>-5.5500001907348633</v>
          </cell>
          <cell r="S89">
            <v>-5.5500001907348633</v>
          </cell>
          <cell r="T89">
            <v>-5.5500001907348633</v>
          </cell>
          <cell r="U89">
            <v>2.8499999046325684</v>
          </cell>
          <cell r="V89">
            <v>2.8499999046325684</v>
          </cell>
          <cell r="W89">
            <v>2.8499999046325684</v>
          </cell>
          <cell r="X89">
            <v>2.8499999046325684</v>
          </cell>
        </row>
        <row r="90">
          <cell r="D90">
            <v>-4.6500000953674316</v>
          </cell>
          <cell r="E90">
            <v>-4.6500000953674316</v>
          </cell>
          <cell r="F90">
            <v>-4.6500000953674316</v>
          </cell>
          <cell r="G90">
            <v>-4.6500000953674316</v>
          </cell>
          <cell r="H90">
            <v>2.8499999046325684</v>
          </cell>
          <cell r="I90">
            <v>2.8499999046325684</v>
          </cell>
          <cell r="J90">
            <v>2.8499999046325684</v>
          </cell>
          <cell r="K90">
            <v>2.8499999046325684</v>
          </cell>
          <cell r="Q90">
            <v>-4.6500000953674316</v>
          </cell>
          <cell r="R90">
            <v>-4.6500000953674316</v>
          </cell>
          <cell r="S90">
            <v>-4.6500000953674316</v>
          </cell>
          <cell r="T90">
            <v>-4.6500000953674316</v>
          </cell>
          <cell r="U90">
            <v>2.8499999046325684</v>
          </cell>
          <cell r="V90">
            <v>2.8499999046325684</v>
          </cell>
          <cell r="W90">
            <v>2.8499999046325684</v>
          </cell>
          <cell r="X90">
            <v>2.8499999046325684</v>
          </cell>
        </row>
        <row r="91">
          <cell r="D91">
            <v>12.149999618530273</v>
          </cell>
          <cell r="E91">
            <v>12.149999618530273</v>
          </cell>
          <cell r="F91">
            <v>12.149999618530273</v>
          </cell>
          <cell r="G91">
            <v>12.149999618530273</v>
          </cell>
          <cell r="H91">
            <v>0.89999997615814209</v>
          </cell>
          <cell r="I91">
            <v>0.89999997615814209</v>
          </cell>
          <cell r="J91">
            <v>0.89999997615814209</v>
          </cell>
          <cell r="K91">
            <v>0.89999997615814209</v>
          </cell>
          <cell r="Q91">
            <v>12.149877252791809</v>
          </cell>
          <cell r="R91">
            <v>12.149877252791809</v>
          </cell>
          <cell r="S91">
            <v>12.149877252791809</v>
          </cell>
          <cell r="T91">
            <v>12.149877252791809</v>
          </cell>
          <cell r="U91">
            <v>0.89983854892481308</v>
          </cell>
          <cell r="V91">
            <v>0.89983854892481308</v>
          </cell>
          <cell r="W91">
            <v>0.89983854892481308</v>
          </cell>
          <cell r="X91">
            <v>0.89983854892481308</v>
          </cell>
        </row>
        <row r="92">
          <cell r="D92">
            <v>21.75</v>
          </cell>
          <cell r="E92">
            <v>21.75</v>
          </cell>
          <cell r="F92">
            <v>21.75</v>
          </cell>
          <cell r="G92">
            <v>21.75</v>
          </cell>
          <cell r="H92">
            <v>0.89999997615814209</v>
          </cell>
          <cell r="I92">
            <v>0.89999997615814209</v>
          </cell>
          <cell r="J92">
            <v>0.89999997615814209</v>
          </cell>
          <cell r="K92">
            <v>0.89999997615814209</v>
          </cell>
          <cell r="Q92">
            <v>21.749877634170446</v>
          </cell>
          <cell r="R92">
            <v>21.749877634170446</v>
          </cell>
          <cell r="S92">
            <v>21.749877634170446</v>
          </cell>
          <cell r="T92">
            <v>21.749877634170446</v>
          </cell>
          <cell r="U92">
            <v>0.9001611964406423</v>
          </cell>
          <cell r="V92">
            <v>0.9001611964406423</v>
          </cell>
          <cell r="W92">
            <v>0.9001611964406423</v>
          </cell>
          <cell r="X92">
            <v>0.9001611964406423</v>
          </cell>
        </row>
        <row r="93">
          <cell r="D93">
            <v>16.950000762939453</v>
          </cell>
          <cell r="E93">
            <v>16.950000762939453</v>
          </cell>
          <cell r="F93">
            <v>16.950000762939453</v>
          </cell>
          <cell r="G93">
            <v>16.950000762939453</v>
          </cell>
          <cell r="H93">
            <v>-2.0999999046325684</v>
          </cell>
          <cell r="I93">
            <v>-2.0999999046325684</v>
          </cell>
          <cell r="J93">
            <v>-2.0999999046325684</v>
          </cell>
          <cell r="K93">
            <v>-2.0999999046325684</v>
          </cell>
          <cell r="Q93">
            <v>16.950000505139531</v>
          </cell>
          <cell r="R93">
            <v>16.950000505139531</v>
          </cell>
          <cell r="S93">
            <v>16.950000505139531</v>
          </cell>
          <cell r="T93">
            <v>16.950000505139531</v>
          </cell>
          <cell r="U93">
            <v>-2.099999764731113</v>
          </cell>
          <cell r="V93">
            <v>-2.099999764731113</v>
          </cell>
          <cell r="W93">
            <v>-2.099999764731113</v>
          </cell>
          <cell r="X93">
            <v>-2.099999764731113</v>
          </cell>
        </row>
        <row r="94">
          <cell r="D94">
            <v>16.950000762939453</v>
          </cell>
          <cell r="E94">
            <v>16.950000762939453</v>
          </cell>
          <cell r="F94">
            <v>16.950000762939453</v>
          </cell>
          <cell r="G94">
            <v>16.950000762939453</v>
          </cell>
          <cell r="H94">
            <v>0.89999997615814209</v>
          </cell>
          <cell r="I94">
            <v>0.89999997615814209</v>
          </cell>
          <cell r="J94">
            <v>0.89999997615814209</v>
          </cell>
          <cell r="K94">
            <v>0.89999997615814209</v>
          </cell>
          <cell r="Q94">
            <v>16.949878412407752</v>
          </cell>
          <cell r="R94">
            <v>16.949878412407752</v>
          </cell>
          <cell r="S94">
            <v>16.949878412407752</v>
          </cell>
          <cell r="T94">
            <v>16.949878412407752</v>
          </cell>
          <cell r="U94">
            <v>0.89999977405212539</v>
          </cell>
          <cell r="V94">
            <v>0.89999977405212539</v>
          </cell>
          <cell r="W94">
            <v>0.89999977405212539</v>
          </cell>
          <cell r="X94">
            <v>0.89999977405212539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-3.75</v>
          </cell>
          <cell r="AM147">
            <v>-3.75</v>
          </cell>
          <cell r="AN147">
            <v>-3.75</v>
          </cell>
          <cell r="AO147">
            <v>-3.75</v>
          </cell>
          <cell r="AP147">
            <v>-3.75</v>
          </cell>
          <cell r="AQ147">
            <v>-3.75</v>
          </cell>
          <cell r="AR147">
            <v>-3.75</v>
          </cell>
          <cell r="AS147">
            <v>-3.75</v>
          </cell>
          <cell r="AT147">
            <v>-3.75</v>
          </cell>
          <cell r="AU147">
            <v>-3.75</v>
          </cell>
          <cell r="AV147">
            <v>-3.75</v>
          </cell>
          <cell r="AW147">
            <v>-3.75</v>
          </cell>
          <cell r="AX147">
            <v>-3.75</v>
          </cell>
          <cell r="AY147">
            <v>-3.75</v>
          </cell>
          <cell r="AZ147">
            <v>-3.75</v>
          </cell>
          <cell r="BA147">
            <v>-3.75</v>
          </cell>
          <cell r="BB147">
            <v>-3.75</v>
          </cell>
          <cell r="BC147">
            <v>-3.75</v>
          </cell>
          <cell r="BD147">
            <v>-3.75</v>
          </cell>
          <cell r="BE147">
            <v>-3.75</v>
          </cell>
          <cell r="BF147">
            <v>-3.75</v>
          </cell>
          <cell r="BG147">
            <v>-3.75</v>
          </cell>
          <cell r="BH147">
            <v>-3.75</v>
          </cell>
          <cell r="BI147">
            <v>-3.75</v>
          </cell>
          <cell r="BJ147">
            <v>-3.75</v>
          </cell>
          <cell r="BK147">
            <v>-3.75</v>
          </cell>
          <cell r="BL147">
            <v>-3.75</v>
          </cell>
          <cell r="BM147">
            <v>-3.75</v>
          </cell>
          <cell r="BN147">
            <v>-3.75</v>
          </cell>
          <cell r="BO147">
            <v>-3.75</v>
          </cell>
          <cell r="BP147">
            <v>-3.75</v>
          </cell>
          <cell r="BQ147">
            <v>-3.75</v>
          </cell>
        </row>
        <row r="148">
          <cell r="AL148">
            <v>-0.89999997615814209</v>
          </cell>
          <cell r="AM148">
            <v>-0.89999997615814209</v>
          </cell>
          <cell r="AN148">
            <v>-0.89999997615814209</v>
          </cell>
          <cell r="AO148">
            <v>-0.89999997615814209</v>
          </cell>
          <cell r="AP148">
            <v>-0.89999997615814209</v>
          </cell>
          <cell r="AQ148">
            <v>-0.89999997615814209</v>
          </cell>
          <cell r="AR148">
            <v>-0.89999997615814209</v>
          </cell>
          <cell r="AS148">
            <v>-0.89999997615814209</v>
          </cell>
          <cell r="AT148">
            <v>-0.89999997615814209</v>
          </cell>
          <cell r="AU148">
            <v>-0.89999997615814209</v>
          </cell>
          <cell r="AV148">
            <v>-0.89999997615814209</v>
          </cell>
          <cell r="AW148">
            <v>-0.89999997615814209</v>
          </cell>
          <cell r="AX148">
            <v>-0.89999997615814209</v>
          </cell>
          <cell r="AY148">
            <v>-0.89999997615814209</v>
          </cell>
          <cell r="AZ148">
            <v>-0.89999997615814209</v>
          </cell>
          <cell r="BA148">
            <v>-0.89999997615814209</v>
          </cell>
          <cell r="BB148">
            <v>-0.89999997615814209</v>
          </cell>
          <cell r="BC148">
            <v>-0.89999997615814209</v>
          </cell>
          <cell r="BD148">
            <v>-0.89999997615814209</v>
          </cell>
          <cell r="BE148">
            <v>-0.89999997615814209</v>
          </cell>
          <cell r="BF148">
            <v>-0.89999997615814209</v>
          </cell>
          <cell r="BG148">
            <v>-0.89999997615814209</v>
          </cell>
          <cell r="BH148">
            <v>-0.89999997615814209</v>
          </cell>
          <cell r="BI148">
            <v>-0.89999997615814209</v>
          </cell>
          <cell r="BJ148">
            <v>-0.89999997615814209</v>
          </cell>
          <cell r="BK148">
            <v>-0.89999997615814209</v>
          </cell>
          <cell r="BL148">
            <v>-0.89999997615814209</v>
          </cell>
          <cell r="BM148">
            <v>-0.89999997615814209</v>
          </cell>
          <cell r="BN148">
            <v>-0.89999997615814209</v>
          </cell>
          <cell r="BO148">
            <v>-0.89999997615814209</v>
          </cell>
          <cell r="BP148">
            <v>-0.89999997615814209</v>
          </cell>
          <cell r="BQ148">
            <v>-0.89999997615814209</v>
          </cell>
        </row>
        <row r="149">
          <cell r="AL149">
            <v>8.6998774435266721</v>
          </cell>
          <cell r="AM149">
            <v>8.6998774435266721</v>
          </cell>
          <cell r="AN149">
            <v>8.6998774435266721</v>
          </cell>
          <cell r="AO149">
            <v>8.6998774435266721</v>
          </cell>
          <cell r="AP149">
            <v>8.6998774435266721</v>
          </cell>
          <cell r="AQ149">
            <v>8.6998774435266721</v>
          </cell>
          <cell r="AR149">
            <v>8.6998774435266721</v>
          </cell>
          <cell r="AS149">
            <v>8.6998774435266721</v>
          </cell>
          <cell r="AT149">
            <v>8.6998774435266721</v>
          </cell>
          <cell r="AU149">
            <v>8.6998774435266721</v>
          </cell>
          <cell r="AV149">
            <v>8.6998774435266721</v>
          </cell>
          <cell r="AW149">
            <v>8.6998774435266721</v>
          </cell>
          <cell r="AX149">
            <v>8.6998774435266721</v>
          </cell>
          <cell r="AY149">
            <v>8.6998774435266721</v>
          </cell>
          <cell r="AZ149">
            <v>8.6998774435266721</v>
          </cell>
          <cell r="BA149">
            <v>8.6998774435266721</v>
          </cell>
          <cell r="BB149">
            <v>8.6998774435266721</v>
          </cell>
          <cell r="BC149">
            <v>8.6998774435266721</v>
          </cell>
          <cell r="BD149">
            <v>8.6998774435266721</v>
          </cell>
          <cell r="BE149">
            <v>8.6998774435266721</v>
          </cell>
          <cell r="BF149">
            <v>8.6998774435266721</v>
          </cell>
          <cell r="BG149">
            <v>8.6998774435266721</v>
          </cell>
          <cell r="BH149">
            <v>8.6998774435266721</v>
          </cell>
          <cell r="BI149">
            <v>8.6998774435266721</v>
          </cell>
          <cell r="BJ149">
            <v>8.6998774435266721</v>
          </cell>
          <cell r="BK149">
            <v>8.6998774435266721</v>
          </cell>
          <cell r="BL149">
            <v>8.6998774435266721</v>
          </cell>
          <cell r="BM149">
            <v>8.6998774435266721</v>
          </cell>
          <cell r="BN149">
            <v>8.6998774435266721</v>
          </cell>
          <cell r="BO149">
            <v>8.6998774435266721</v>
          </cell>
          <cell r="BP149">
            <v>8.6998774435266721</v>
          </cell>
          <cell r="BQ149">
            <v>8.6998774435266721</v>
          </cell>
        </row>
        <row r="150">
          <cell r="AL150">
            <v>3.899595284019405</v>
          </cell>
          <cell r="AM150">
            <v>3.899595284019405</v>
          </cell>
          <cell r="AN150">
            <v>3.899595284019405</v>
          </cell>
          <cell r="AO150">
            <v>3.899595284019405</v>
          </cell>
          <cell r="AP150">
            <v>3.899595284019405</v>
          </cell>
          <cell r="AQ150">
            <v>3.899595284019405</v>
          </cell>
          <cell r="AR150">
            <v>3.899595284019405</v>
          </cell>
          <cell r="AS150">
            <v>3.899595284019405</v>
          </cell>
          <cell r="AT150">
            <v>3.899595284019405</v>
          </cell>
          <cell r="AU150">
            <v>3.899595284019405</v>
          </cell>
          <cell r="AV150">
            <v>3.899595284019405</v>
          </cell>
          <cell r="AW150">
            <v>3.899595284019405</v>
          </cell>
          <cell r="AX150">
            <v>3.899595284019405</v>
          </cell>
          <cell r="AY150">
            <v>3.899595284019405</v>
          </cell>
          <cell r="AZ150">
            <v>3.899595284019405</v>
          </cell>
          <cell r="BA150">
            <v>3.899595284019405</v>
          </cell>
          <cell r="BB150">
            <v>3.899595284019405</v>
          </cell>
          <cell r="BC150">
            <v>3.899595284019405</v>
          </cell>
          <cell r="BD150">
            <v>3.899595284019405</v>
          </cell>
          <cell r="BE150">
            <v>3.899595284019405</v>
          </cell>
          <cell r="BF150">
            <v>3.899595284019405</v>
          </cell>
          <cell r="BG150">
            <v>3.899595284019405</v>
          </cell>
          <cell r="BH150">
            <v>3.899595284019405</v>
          </cell>
          <cell r="BI150">
            <v>3.899595284019405</v>
          </cell>
          <cell r="BJ150">
            <v>3.899595284019405</v>
          </cell>
          <cell r="BK150">
            <v>3.899595284019405</v>
          </cell>
          <cell r="BL150">
            <v>3.899595284019405</v>
          </cell>
          <cell r="BM150">
            <v>3.899595284019405</v>
          </cell>
          <cell r="BN150">
            <v>3.899595284019405</v>
          </cell>
          <cell r="BO150">
            <v>3.899595284019405</v>
          </cell>
          <cell r="BP150">
            <v>3.899595284019405</v>
          </cell>
          <cell r="BQ150">
            <v>3.899595284019405</v>
          </cell>
        </row>
        <row r="151">
          <cell r="AL151">
            <v>3.9000172623814056</v>
          </cell>
          <cell r="AM151">
            <v>3.9000172623814056</v>
          </cell>
          <cell r="AN151">
            <v>3.9000172623814056</v>
          </cell>
          <cell r="AO151">
            <v>3.9000172623814056</v>
          </cell>
          <cell r="AP151">
            <v>3.9000172623814056</v>
          </cell>
          <cell r="AQ151">
            <v>3.9000172623814056</v>
          </cell>
          <cell r="AR151">
            <v>3.9000172623814056</v>
          </cell>
          <cell r="AS151">
            <v>3.9000172623814056</v>
          </cell>
          <cell r="AT151">
            <v>3.9000172623814056</v>
          </cell>
          <cell r="AU151">
            <v>3.9000172623814056</v>
          </cell>
          <cell r="AV151">
            <v>3.9000172623814056</v>
          </cell>
          <cell r="AW151">
            <v>3.9000172623814056</v>
          </cell>
          <cell r="AX151">
            <v>3.9000172623814056</v>
          </cell>
          <cell r="AY151">
            <v>3.9000172623814056</v>
          </cell>
          <cell r="AZ151">
            <v>3.9000172623814056</v>
          </cell>
          <cell r="BA151">
            <v>3.9000172623814056</v>
          </cell>
          <cell r="BB151">
            <v>3.9000172623814056</v>
          </cell>
          <cell r="BC151">
            <v>3.9000172623814056</v>
          </cell>
          <cell r="BD151">
            <v>3.9000172623814056</v>
          </cell>
          <cell r="BE151">
            <v>3.9000172623814056</v>
          </cell>
          <cell r="BF151">
            <v>3.9000172623814056</v>
          </cell>
          <cell r="BG151">
            <v>3.9000172623814056</v>
          </cell>
          <cell r="BH151">
            <v>3.9000172623814056</v>
          </cell>
          <cell r="BI151">
            <v>3.9000172623814056</v>
          </cell>
          <cell r="BJ151">
            <v>3.9000172623814056</v>
          </cell>
          <cell r="BK151">
            <v>3.9000172623814056</v>
          </cell>
          <cell r="BL151">
            <v>3.9000172623814056</v>
          </cell>
          <cell r="BM151">
            <v>3.9000172623814056</v>
          </cell>
          <cell r="BN151">
            <v>3.9000172623814056</v>
          </cell>
          <cell r="BO151">
            <v>3.9000172623814056</v>
          </cell>
          <cell r="BP151">
            <v>3.9000172623814056</v>
          </cell>
          <cell r="BQ151">
            <v>3.9000172623814056</v>
          </cell>
        </row>
        <row r="152">
          <cell r="AL152">
            <v>3.2999999523162842</v>
          </cell>
          <cell r="AM152">
            <v>3.2999999523162842</v>
          </cell>
          <cell r="AN152">
            <v>3.2999999523162842</v>
          </cell>
          <cell r="AO152">
            <v>3.2999999523162842</v>
          </cell>
          <cell r="AP152">
            <v>3.2999999523162842</v>
          </cell>
          <cell r="AQ152">
            <v>3.2999999523162842</v>
          </cell>
          <cell r="AR152">
            <v>3.2999999523162842</v>
          </cell>
          <cell r="AS152">
            <v>3.2999999523162842</v>
          </cell>
          <cell r="AT152">
            <v>3.2999999523162842</v>
          </cell>
          <cell r="AU152">
            <v>3.2999999523162842</v>
          </cell>
          <cell r="AV152">
            <v>3.2999999523162842</v>
          </cell>
          <cell r="AW152">
            <v>3.2999999523162842</v>
          </cell>
          <cell r="AX152">
            <v>3.2999999523162842</v>
          </cell>
          <cell r="AY152">
            <v>3.2999999523162842</v>
          </cell>
          <cell r="AZ152">
            <v>3.2999999523162842</v>
          </cell>
          <cell r="BA152">
            <v>3.2999999523162842</v>
          </cell>
          <cell r="BB152">
            <v>3.2999999523162842</v>
          </cell>
          <cell r="BC152">
            <v>3.2999999523162842</v>
          </cell>
          <cell r="BD152">
            <v>3.2999999523162842</v>
          </cell>
          <cell r="BE152">
            <v>3.2999999523162842</v>
          </cell>
          <cell r="BF152">
            <v>3.2999999523162842</v>
          </cell>
          <cell r="BG152">
            <v>3.2999999523162842</v>
          </cell>
          <cell r="BH152">
            <v>3.2999999523162842</v>
          </cell>
          <cell r="BI152">
            <v>3.2999999523162842</v>
          </cell>
          <cell r="BJ152">
            <v>3.2999999523162842</v>
          </cell>
          <cell r="BK152">
            <v>3.2999999523162842</v>
          </cell>
          <cell r="BL152">
            <v>3.2999999523162842</v>
          </cell>
          <cell r="BM152">
            <v>3.2999999523162842</v>
          </cell>
          <cell r="BN152">
            <v>3.2999999523162842</v>
          </cell>
          <cell r="BO152">
            <v>3.2999999523162842</v>
          </cell>
          <cell r="BP152">
            <v>3.2999999523162842</v>
          </cell>
          <cell r="BQ152">
            <v>3.2999999523162842</v>
          </cell>
        </row>
        <row r="153">
          <cell r="AL153">
            <v>4.5</v>
          </cell>
          <cell r="AM153">
            <v>4.5</v>
          </cell>
          <cell r="AN153">
            <v>4.5</v>
          </cell>
          <cell r="AO153">
            <v>4.5</v>
          </cell>
          <cell r="AP153">
            <v>4.5</v>
          </cell>
          <cell r="AQ153">
            <v>4.5</v>
          </cell>
          <cell r="AR153">
            <v>4.5</v>
          </cell>
          <cell r="AS153">
            <v>4.5</v>
          </cell>
          <cell r="AT153">
            <v>4.5</v>
          </cell>
          <cell r="AU153">
            <v>4.5</v>
          </cell>
          <cell r="AV153">
            <v>4.5</v>
          </cell>
          <cell r="AW153">
            <v>4.5</v>
          </cell>
          <cell r="AX153">
            <v>4.5</v>
          </cell>
          <cell r="AY153">
            <v>4.5</v>
          </cell>
          <cell r="AZ153">
            <v>4.5</v>
          </cell>
          <cell r="BA153">
            <v>4.5</v>
          </cell>
          <cell r="BB153">
            <v>4.5</v>
          </cell>
          <cell r="BC153">
            <v>4.5</v>
          </cell>
          <cell r="BD153">
            <v>4.5</v>
          </cell>
          <cell r="BE153">
            <v>4.5</v>
          </cell>
          <cell r="BF153">
            <v>4.5</v>
          </cell>
          <cell r="BG153">
            <v>4.5</v>
          </cell>
          <cell r="BH153">
            <v>4.5</v>
          </cell>
          <cell r="BI153">
            <v>4.5</v>
          </cell>
          <cell r="BJ153">
            <v>4.5</v>
          </cell>
          <cell r="BK153">
            <v>4.5</v>
          </cell>
          <cell r="BL153">
            <v>4.5</v>
          </cell>
          <cell r="BM153">
            <v>4.5</v>
          </cell>
          <cell r="BN153">
            <v>4.5</v>
          </cell>
          <cell r="BO153">
            <v>4.5</v>
          </cell>
          <cell r="BP153">
            <v>4.5</v>
          </cell>
          <cell r="BQ153">
            <v>4.5</v>
          </cell>
        </row>
        <row r="154">
          <cell r="AL154">
            <v>2.5508135058442862</v>
          </cell>
          <cell r="AM154">
            <v>2.5508135058442862</v>
          </cell>
          <cell r="AN154">
            <v>2.5508135058442862</v>
          </cell>
          <cell r="AO154">
            <v>2.5508135058442862</v>
          </cell>
          <cell r="AP154">
            <v>2.5508135058442862</v>
          </cell>
          <cell r="AQ154">
            <v>2.5508135058442862</v>
          </cell>
          <cell r="AR154">
            <v>2.5508135058442862</v>
          </cell>
          <cell r="AS154">
            <v>2.5508135058442862</v>
          </cell>
          <cell r="AT154">
            <v>2.5508135058442862</v>
          </cell>
          <cell r="AU154">
            <v>2.5508135058442862</v>
          </cell>
          <cell r="AV154">
            <v>2.5508135058442862</v>
          </cell>
          <cell r="AW154">
            <v>2.5508135058442862</v>
          </cell>
          <cell r="AX154">
            <v>2.5508135058442862</v>
          </cell>
          <cell r="AY154">
            <v>2.5508135058442862</v>
          </cell>
          <cell r="AZ154">
            <v>2.5508135058442862</v>
          </cell>
          <cell r="BA154">
            <v>2.5508135058442862</v>
          </cell>
          <cell r="BB154">
            <v>2.5508135058442862</v>
          </cell>
          <cell r="BC154">
            <v>2.5508135058442862</v>
          </cell>
          <cell r="BD154">
            <v>2.5508135058442862</v>
          </cell>
          <cell r="BE154">
            <v>2.5508135058442862</v>
          </cell>
          <cell r="BF154">
            <v>2.5508135058442862</v>
          </cell>
          <cell r="BG154">
            <v>2.5508135058442862</v>
          </cell>
          <cell r="BH154">
            <v>2.5508135058442862</v>
          </cell>
          <cell r="BI154">
            <v>2.5508135058442862</v>
          </cell>
          <cell r="BJ154">
            <v>2.5508135058442862</v>
          </cell>
          <cell r="BK154">
            <v>2.5508135058442862</v>
          </cell>
          <cell r="BL154">
            <v>2.5508135058442862</v>
          </cell>
          <cell r="BM154">
            <v>2.5508135058442862</v>
          </cell>
          <cell r="BN154">
            <v>2.5508135058442862</v>
          </cell>
          <cell r="BO154">
            <v>2.5508135058442862</v>
          </cell>
          <cell r="BP154">
            <v>2.5508135058442862</v>
          </cell>
          <cell r="BQ154">
            <v>2.5508135058442862</v>
          </cell>
        </row>
        <row r="155">
          <cell r="AL155">
            <v>5.2717980643062301</v>
          </cell>
          <cell r="AM155">
            <v>5.2717980643062301</v>
          </cell>
          <cell r="AN155">
            <v>5.2717980643062301</v>
          </cell>
          <cell r="AO155">
            <v>5.2717980643062301</v>
          </cell>
          <cell r="AP155">
            <v>5.2717980643062301</v>
          </cell>
          <cell r="AQ155">
            <v>5.2717980643062301</v>
          </cell>
          <cell r="AR155">
            <v>5.2717980643062301</v>
          </cell>
          <cell r="AS155">
            <v>5.2717980643062301</v>
          </cell>
          <cell r="AT155">
            <v>5.2717980643062301</v>
          </cell>
          <cell r="AU155">
            <v>5.2717980643062301</v>
          </cell>
          <cell r="AV155">
            <v>5.2717980643062301</v>
          </cell>
          <cell r="AW155">
            <v>5.2717980643062301</v>
          </cell>
          <cell r="AX155">
            <v>5.2717980643062301</v>
          </cell>
          <cell r="AY155">
            <v>5.2717980643062301</v>
          </cell>
          <cell r="AZ155">
            <v>5.2717980643062301</v>
          </cell>
          <cell r="BA155">
            <v>5.2717980643062301</v>
          </cell>
          <cell r="BB155">
            <v>5.2717980643062301</v>
          </cell>
          <cell r="BC155">
            <v>5.2717980643062301</v>
          </cell>
          <cell r="BD155">
            <v>5.2717980643062301</v>
          </cell>
          <cell r="BE155">
            <v>5.2717980643062301</v>
          </cell>
          <cell r="BF155">
            <v>5.2717980643062301</v>
          </cell>
          <cell r="BG155">
            <v>5.2717980643062301</v>
          </cell>
          <cell r="BH155">
            <v>5.2717980643062301</v>
          </cell>
          <cell r="BI155">
            <v>5.2717980643062301</v>
          </cell>
          <cell r="BJ155">
            <v>5.2717980643062301</v>
          </cell>
          <cell r="BK155">
            <v>5.2717980643062301</v>
          </cell>
          <cell r="BL155">
            <v>5.2717980643062301</v>
          </cell>
          <cell r="BM155">
            <v>5.2717980643062301</v>
          </cell>
          <cell r="BN155">
            <v>5.2717980643062301</v>
          </cell>
          <cell r="BO155">
            <v>5.2717980643062301</v>
          </cell>
          <cell r="BP155">
            <v>5.2717980643062301</v>
          </cell>
          <cell r="BQ155">
            <v>5.2717980643062301</v>
          </cell>
        </row>
        <row r="156">
          <cell r="AL156">
            <v>3.3533233680977133</v>
          </cell>
          <cell r="AM156">
            <v>3.3533233680977133</v>
          </cell>
          <cell r="AN156">
            <v>3.3533233680977133</v>
          </cell>
          <cell r="AO156">
            <v>3.3533233680977133</v>
          </cell>
          <cell r="AP156">
            <v>3.3533233680977133</v>
          </cell>
          <cell r="AQ156">
            <v>3.3533233680977133</v>
          </cell>
          <cell r="AR156">
            <v>3.3533233680977133</v>
          </cell>
          <cell r="AS156">
            <v>3.3533233680977133</v>
          </cell>
          <cell r="AT156">
            <v>3.3533233680977133</v>
          </cell>
          <cell r="AU156">
            <v>3.3533233680977133</v>
          </cell>
          <cell r="AV156">
            <v>3.3533233680977133</v>
          </cell>
          <cell r="AW156">
            <v>3.3533233680977133</v>
          </cell>
          <cell r="AX156">
            <v>3.3533233680977133</v>
          </cell>
          <cell r="AY156">
            <v>3.3533233680977133</v>
          </cell>
          <cell r="AZ156">
            <v>3.3533233680977133</v>
          </cell>
          <cell r="BA156">
            <v>3.3533233680977133</v>
          </cell>
          <cell r="BB156">
            <v>3.3533233680977133</v>
          </cell>
          <cell r="BC156">
            <v>3.3533233680977133</v>
          </cell>
          <cell r="BD156">
            <v>3.3533233680977133</v>
          </cell>
          <cell r="BE156">
            <v>3.3533233680977133</v>
          </cell>
          <cell r="BF156">
            <v>3.3533233680977133</v>
          </cell>
          <cell r="BG156">
            <v>3.3533233680977133</v>
          </cell>
          <cell r="BH156">
            <v>3.3533233680977133</v>
          </cell>
          <cell r="BI156">
            <v>3.3533233680977133</v>
          </cell>
          <cell r="BJ156">
            <v>3.3533233680977133</v>
          </cell>
          <cell r="BK156">
            <v>3.3533233680977133</v>
          </cell>
          <cell r="BL156">
            <v>3.3533233680977133</v>
          </cell>
          <cell r="BM156">
            <v>3.3533233680977133</v>
          </cell>
          <cell r="BN156">
            <v>3.3533233680977133</v>
          </cell>
          <cell r="BO156">
            <v>3.3533233680977133</v>
          </cell>
          <cell r="BP156">
            <v>3.3533233680977133</v>
          </cell>
          <cell r="BQ156">
            <v>3.3533233680977133</v>
          </cell>
        </row>
        <row r="157">
          <cell r="AL157">
            <v>4.3735740188221861</v>
          </cell>
          <cell r="AM157">
            <v>4.3735740188221861</v>
          </cell>
          <cell r="AN157">
            <v>4.3735740188221861</v>
          </cell>
          <cell r="AO157">
            <v>4.3735740188221861</v>
          </cell>
          <cell r="AP157">
            <v>4.3735740188221861</v>
          </cell>
          <cell r="AQ157">
            <v>4.3735740188221861</v>
          </cell>
          <cell r="AR157">
            <v>4.3735740188221861</v>
          </cell>
          <cell r="AS157">
            <v>4.3735740188221861</v>
          </cell>
          <cell r="AT157">
            <v>4.3735740188221861</v>
          </cell>
          <cell r="AU157">
            <v>4.3735740188221861</v>
          </cell>
          <cell r="AV157">
            <v>4.3735740188221861</v>
          </cell>
          <cell r="AW157">
            <v>4.3735740188221861</v>
          </cell>
          <cell r="AX157">
            <v>4.3735740188221861</v>
          </cell>
          <cell r="AY157">
            <v>4.3735740188221861</v>
          </cell>
          <cell r="AZ157">
            <v>4.3735740188221861</v>
          </cell>
          <cell r="BA157">
            <v>4.3735740188221861</v>
          </cell>
          <cell r="BB157">
            <v>4.3735740188221861</v>
          </cell>
          <cell r="BC157">
            <v>4.3735740188221861</v>
          </cell>
          <cell r="BD157">
            <v>4.3735740188221861</v>
          </cell>
          <cell r="BE157">
            <v>4.3735740188221861</v>
          </cell>
          <cell r="BF157">
            <v>4.3735740188221861</v>
          </cell>
          <cell r="BG157">
            <v>4.3735740188221861</v>
          </cell>
          <cell r="BH157">
            <v>4.3735740188221861</v>
          </cell>
          <cell r="BI157">
            <v>4.3735740188221861</v>
          </cell>
          <cell r="BJ157">
            <v>4.3735740188221861</v>
          </cell>
          <cell r="BK157">
            <v>4.3735740188221861</v>
          </cell>
          <cell r="BL157">
            <v>4.3735740188221861</v>
          </cell>
          <cell r="BM157">
            <v>4.3735740188221861</v>
          </cell>
          <cell r="BN157">
            <v>4.3735740188221861</v>
          </cell>
          <cell r="BO157">
            <v>4.3735740188221861</v>
          </cell>
          <cell r="BP157">
            <v>4.3735740188221861</v>
          </cell>
          <cell r="BQ157">
            <v>4.3735740188221861</v>
          </cell>
        </row>
        <row r="158">
          <cell r="AL158">
            <v>-6.4499998092651367</v>
          </cell>
          <cell r="AM158">
            <v>-6.4499998092651367</v>
          </cell>
          <cell r="AN158">
            <v>-6.4499998092651367</v>
          </cell>
          <cell r="AO158">
            <v>-6.4499998092651367</v>
          </cell>
          <cell r="AP158">
            <v>-6.4499998092651367</v>
          </cell>
          <cell r="AQ158">
            <v>-6.4499998092651367</v>
          </cell>
          <cell r="AR158">
            <v>-6.4499998092651367</v>
          </cell>
          <cell r="AS158">
            <v>-6.4499998092651367</v>
          </cell>
          <cell r="AT158">
            <v>-6.4499998092651367</v>
          </cell>
          <cell r="AU158">
            <v>-6.4499998092651367</v>
          </cell>
          <cell r="AV158">
            <v>-6.4499998092651367</v>
          </cell>
          <cell r="AW158">
            <v>-6.4499998092651367</v>
          </cell>
          <cell r="AX158">
            <v>-6.4499998092651367</v>
          </cell>
          <cell r="AY158">
            <v>-6.4499998092651367</v>
          </cell>
          <cell r="AZ158">
            <v>-6.4499998092651367</v>
          </cell>
          <cell r="BA158">
            <v>-6.4499998092651367</v>
          </cell>
          <cell r="BB158">
            <v>-6.4499998092651367</v>
          </cell>
          <cell r="BC158">
            <v>-6.4499998092651367</v>
          </cell>
          <cell r="BD158">
            <v>-6.4499998092651367</v>
          </cell>
          <cell r="BE158">
            <v>-6.4499998092651367</v>
          </cell>
          <cell r="BF158">
            <v>-6.4499998092651367</v>
          </cell>
          <cell r="BG158">
            <v>-6.4499998092651367</v>
          </cell>
          <cell r="BH158">
            <v>-6.4499998092651367</v>
          </cell>
          <cell r="BI158">
            <v>-6.4499998092651367</v>
          </cell>
          <cell r="BJ158">
            <v>-6.4499998092651367</v>
          </cell>
          <cell r="BK158">
            <v>-6.4499998092651367</v>
          </cell>
          <cell r="BL158">
            <v>-6.4499998092651367</v>
          </cell>
          <cell r="BM158">
            <v>-6.4499998092651367</v>
          </cell>
          <cell r="BN158">
            <v>-6.4499998092651367</v>
          </cell>
          <cell r="BO158">
            <v>-6.4499998092651367</v>
          </cell>
          <cell r="BP158">
            <v>-6.4499998092651367</v>
          </cell>
          <cell r="BQ158">
            <v>-6.4499998092651367</v>
          </cell>
        </row>
        <row r="159">
          <cell r="AL159">
            <v>-5.8499999046325684</v>
          </cell>
          <cell r="AM159">
            <v>-5.8499999046325684</v>
          </cell>
          <cell r="AN159">
            <v>-5.8499999046325684</v>
          </cell>
          <cell r="AO159">
            <v>-5.8499999046325684</v>
          </cell>
          <cell r="AP159">
            <v>-5.8499999046325684</v>
          </cell>
          <cell r="AQ159">
            <v>-5.8499999046325684</v>
          </cell>
          <cell r="AR159">
            <v>-5.8499999046325684</v>
          </cell>
          <cell r="AS159">
            <v>-5.8499999046325684</v>
          </cell>
          <cell r="AT159">
            <v>-5.8499999046325684</v>
          </cell>
          <cell r="AU159">
            <v>-5.8499999046325684</v>
          </cell>
          <cell r="AV159">
            <v>-5.8499999046325684</v>
          </cell>
          <cell r="AW159">
            <v>-5.8499999046325684</v>
          </cell>
          <cell r="AX159">
            <v>-5.8499999046325684</v>
          </cell>
          <cell r="AY159">
            <v>-5.8499999046325684</v>
          </cell>
          <cell r="AZ159">
            <v>-5.8499999046325684</v>
          </cell>
          <cell r="BA159">
            <v>-5.8499999046325684</v>
          </cell>
          <cell r="BB159">
            <v>-5.8499999046325684</v>
          </cell>
          <cell r="BC159">
            <v>-5.8499999046325684</v>
          </cell>
          <cell r="BD159">
            <v>-5.8499999046325684</v>
          </cell>
          <cell r="BE159">
            <v>-5.8499999046325684</v>
          </cell>
          <cell r="BF159">
            <v>-5.8499999046325684</v>
          </cell>
          <cell r="BG159">
            <v>-5.8499999046325684</v>
          </cell>
          <cell r="BH159">
            <v>-5.8499999046325684</v>
          </cell>
          <cell r="BI159">
            <v>-5.8499999046325684</v>
          </cell>
          <cell r="BJ159">
            <v>-5.8499999046325684</v>
          </cell>
          <cell r="BK159">
            <v>-5.8499999046325684</v>
          </cell>
          <cell r="BL159">
            <v>-5.8499999046325684</v>
          </cell>
          <cell r="BM159">
            <v>-5.8499999046325684</v>
          </cell>
          <cell r="BN159">
            <v>-5.8499999046325684</v>
          </cell>
          <cell r="BO159">
            <v>-5.8499999046325684</v>
          </cell>
          <cell r="BP159">
            <v>-5.8499999046325684</v>
          </cell>
          <cell r="BQ159">
            <v>-5.8499999046325684</v>
          </cell>
        </row>
        <row r="160">
          <cell r="AL160">
            <v>-4.3499999046325684</v>
          </cell>
          <cell r="AM160">
            <v>-4.3499999046325684</v>
          </cell>
          <cell r="AN160">
            <v>-4.3499999046325684</v>
          </cell>
          <cell r="AO160">
            <v>-4.3499999046325684</v>
          </cell>
          <cell r="AP160">
            <v>-4.3499999046325684</v>
          </cell>
          <cell r="AQ160">
            <v>-4.3499999046325684</v>
          </cell>
          <cell r="AR160">
            <v>-4.3499999046325684</v>
          </cell>
          <cell r="AS160">
            <v>-4.3499999046325684</v>
          </cell>
          <cell r="AT160">
            <v>-4.3499999046325684</v>
          </cell>
          <cell r="AU160">
            <v>-4.3499999046325684</v>
          </cell>
          <cell r="AV160">
            <v>-4.3499999046325684</v>
          </cell>
          <cell r="AW160">
            <v>-4.3499999046325684</v>
          </cell>
          <cell r="AX160">
            <v>-4.3499999046325684</v>
          </cell>
          <cell r="AY160">
            <v>-4.3499999046325684</v>
          </cell>
          <cell r="AZ160">
            <v>-4.3499999046325684</v>
          </cell>
          <cell r="BA160">
            <v>-4.3499999046325684</v>
          </cell>
          <cell r="BB160">
            <v>-4.3499999046325684</v>
          </cell>
          <cell r="BC160">
            <v>-4.3499999046325684</v>
          </cell>
          <cell r="BD160">
            <v>-4.3499999046325684</v>
          </cell>
          <cell r="BE160">
            <v>-4.3499999046325684</v>
          </cell>
          <cell r="BF160">
            <v>-4.3499999046325684</v>
          </cell>
          <cell r="BG160">
            <v>-4.3499999046325684</v>
          </cell>
          <cell r="BH160">
            <v>-4.3499999046325684</v>
          </cell>
          <cell r="BI160">
            <v>-4.3499999046325684</v>
          </cell>
          <cell r="BJ160">
            <v>-4.3499999046325684</v>
          </cell>
          <cell r="BK160">
            <v>-4.3499999046325684</v>
          </cell>
          <cell r="BL160">
            <v>-4.3499999046325684</v>
          </cell>
          <cell r="BM160">
            <v>-4.3499999046325684</v>
          </cell>
          <cell r="BN160">
            <v>-4.3499999046325684</v>
          </cell>
          <cell r="BO160">
            <v>-4.3499999046325684</v>
          </cell>
          <cell r="BP160">
            <v>-4.3499999046325684</v>
          </cell>
          <cell r="BQ160">
            <v>-4.3499999046325684</v>
          </cell>
        </row>
        <row r="161">
          <cell r="AL161">
            <v>-5.5500001907348633</v>
          </cell>
          <cell r="AM161">
            <v>-5.5500001907348633</v>
          </cell>
          <cell r="AN161">
            <v>-5.5500001907348633</v>
          </cell>
          <cell r="AO161">
            <v>-5.5500001907348633</v>
          </cell>
          <cell r="AP161">
            <v>-5.5500001907348633</v>
          </cell>
          <cell r="AQ161">
            <v>-5.5500001907348633</v>
          </cell>
          <cell r="AR161">
            <v>-5.5500001907348633</v>
          </cell>
          <cell r="AS161">
            <v>-5.5500001907348633</v>
          </cell>
          <cell r="AT161">
            <v>-5.5500001907348633</v>
          </cell>
          <cell r="AU161">
            <v>-5.5500001907348633</v>
          </cell>
          <cell r="AV161">
            <v>-5.5500001907348633</v>
          </cell>
          <cell r="AW161">
            <v>-5.5500001907348633</v>
          </cell>
          <cell r="AX161">
            <v>-5.5500001907348633</v>
          </cell>
          <cell r="AY161">
            <v>-5.5500001907348633</v>
          </cell>
          <cell r="AZ161">
            <v>-5.5500001907348633</v>
          </cell>
          <cell r="BA161">
            <v>-5.5500001907348633</v>
          </cell>
          <cell r="BB161">
            <v>-5.5500001907348633</v>
          </cell>
          <cell r="BC161">
            <v>-5.5500001907348633</v>
          </cell>
          <cell r="BD161">
            <v>-5.5500001907348633</v>
          </cell>
          <cell r="BE161">
            <v>-5.5500001907348633</v>
          </cell>
          <cell r="BF161">
            <v>-5.5500001907348633</v>
          </cell>
          <cell r="BG161">
            <v>-5.5500001907348633</v>
          </cell>
          <cell r="BH161">
            <v>-5.5500001907348633</v>
          </cell>
          <cell r="BI161">
            <v>-5.5500001907348633</v>
          </cell>
          <cell r="BJ161">
            <v>-5.5500001907348633</v>
          </cell>
          <cell r="BK161">
            <v>-5.5500001907348633</v>
          </cell>
          <cell r="BL161">
            <v>-5.5500001907348633</v>
          </cell>
          <cell r="BM161">
            <v>-5.5500001907348633</v>
          </cell>
          <cell r="BN161">
            <v>-5.5500001907348633</v>
          </cell>
          <cell r="BO161">
            <v>-5.5500001907348633</v>
          </cell>
          <cell r="BP161">
            <v>-5.5500001907348633</v>
          </cell>
          <cell r="BQ161">
            <v>-5.5500001907348633</v>
          </cell>
        </row>
        <row r="162">
          <cell r="AL162">
            <v>-4.6500000953674316</v>
          </cell>
          <cell r="AM162">
            <v>-4.6500000953674316</v>
          </cell>
          <cell r="AN162">
            <v>-4.6500000953674316</v>
          </cell>
          <cell r="AO162">
            <v>-4.6500000953674316</v>
          </cell>
          <cell r="AP162">
            <v>-4.6500000953674316</v>
          </cell>
          <cell r="AQ162">
            <v>-4.6500000953674316</v>
          </cell>
          <cell r="AR162">
            <v>-4.6500000953674316</v>
          </cell>
          <cell r="AS162">
            <v>-4.6500000953674316</v>
          </cell>
          <cell r="AT162">
            <v>-4.6500000953674316</v>
          </cell>
          <cell r="AU162">
            <v>-4.6500000953674316</v>
          </cell>
          <cell r="AV162">
            <v>-4.6500000953674316</v>
          </cell>
          <cell r="AW162">
            <v>-4.6500000953674316</v>
          </cell>
          <cell r="AX162">
            <v>-4.6500000953674316</v>
          </cell>
          <cell r="AY162">
            <v>-4.6500000953674316</v>
          </cell>
          <cell r="AZ162">
            <v>-4.6500000953674316</v>
          </cell>
          <cell r="BA162">
            <v>-4.6500000953674316</v>
          </cell>
          <cell r="BB162">
            <v>-4.6500000953674316</v>
          </cell>
          <cell r="BC162">
            <v>-4.6500000953674316</v>
          </cell>
          <cell r="BD162">
            <v>-4.6500000953674316</v>
          </cell>
          <cell r="BE162">
            <v>-4.6500000953674316</v>
          </cell>
          <cell r="BF162">
            <v>-4.6500000953674316</v>
          </cell>
          <cell r="BG162">
            <v>-4.6500000953674316</v>
          </cell>
          <cell r="BH162">
            <v>-4.6500000953674316</v>
          </cell>
          <cell r="BI162">
            <v>-4.6500000953674316</v>
          </cell>
          <cell r="BJ162">
            <v>-4.6500000953674316</v>
          </cell>
          <cell r="BK162">
            <v>-4.6500000953674316</v>
          </cell>
          <cell r="BL162">
            <v>-4.6500000953674316</v>
          </cell>
          <cell r="BM162">
            <v>-4.6500000953674316</v>
          </cell>
          <cell r="BN162">
            <v>-4.6500000953674316</v>
          </cell>
          <cell r="BO162">
            <v>-4.6500000953674316</v>
          </cell>
          <cell r="BP162">
            <v>-4.6500000953674316</v>
          </cell>
          <cell r="BQ162">
            <v>-4.6500000953674316</v>
          </cell>
        </row>
        <row r="163">
          <cell r="AL163">
            <v>12.149877252791809</v>
          </cell>
          <cell r="AM163">
            <v>12.149877252791809</v>
          </cell>
          <cell r="AN163">
            <v>12.149877252791809</v>
          </cell>
          <cell r="AO163">
            <v>12.149877252791809</v>
          </cell>
          <cell r="AP163">
            <v>12.149877252791809</v>
          </cell>
          <cell r="AQ163">
            <v>12.149877252791809</v>
          </cell>
          <cell r="AR163">
            <v>12.149877252791809</v>
          </cell>
          <cell r="AS163">
            <v>12.149877252791809</v>
          </cell>
          <cell r="AT163">
            <v>12.149877252791809</v>
          </cell>
          <cell r="AU163">
            <v>12.149877252791809</v>
          </cell>
          <cell r="AV163">
            <v>12.149877252791809</v>
          </cell>
          <cell r="AW163">
            <v>12.149877252791809</v>
          </cell>
          <cell r="AX163">
            <v>12.149877252791809</v>
          </cell>
          <cell r="AY163">
            <v>12.149877252791809</v>
          </cell>
          <cell r="AZ163">
            <v>12.149877252791809</v>
          </cell>
          <cell r="BA163">
            <v>12.149877252791809</v>
          </cell>
          <cell r="BB163">
            <v>12.149877252791809</v>
          </cell>
          <cell r="BC163">
            <v>12.149877252791809</v>
          </cell>
          <cell r="BD163">
            <v>12.149877252791809</v>
          </cell>
          <cell r="BE163">
            <v>12.149877252791809</v>
          </cell>
          <cell r="BF163">
            <v>12.149877252791809</v>
          </cell>
          <cell r="BG163">
            <v>12.149877252791809</v>
          </cell>
          <cell r="BH163">
            <v>12.149877252791809</v>
          </cell>
          <cell r="BI163">
            <v>12.149877252791809</v>
          </cell>
          <cell r="BJ163">
            <v>12.149877252791809</v>
          </cell>
          <cell r="BK163">
            <v>12.149877252791809</v>
          </cell>
          <cell r="BL163">
            <v>12.149877252791809</v>
          </cell>
          <cell r="BM163">
            <v>12.149877252791809</v>
          </cell>
          <cell r="BN163">
            <v>12.149877252791809</v>
          </cell>
          <cell r="BO163">
            <v>12.149877252791809</v>
          </cell>
          <cell r="BP163">
            <v>12.149877252791809</v>
          </cell>
          <cell r="BQ163">
            <v>12.149877252791809</v>
          </cell>
        </row>
        <row r="164">
          <cell r="AL164">
            <v>21.749877634170446</v>
          </cell>
          <cell r="AM164">
            <v>21.749877634170446</v>
          </cell>
          <cell r="AN164">
            <v>21.749877634170446</v>
          </cell>
          <cell r="AO164">
            <v>21.749877634170446</v>
          </cell>
          <cell r="AP164">
            <v>21.749877634170446</v>
          </cell>
          <cell r="AQ164">
            <v>21.749877634170446</v>
          </cell>
          <cell r="AR164">
            <v>21.749877634170446</v>
          </cell>
          <cell r="AS164">
            <v>21.749877634170446</v>
          </cell>
          <cell r="AT164">
            <v>21.749877634170446</v>
          </cell>
          <cell r="AU164">
            <v>21.749877634170446</v>
          </cell>
          <cell r="AV164">
            <v>21.749877634170446</v>
          </cell>
          <cell r="AW164">
            <v>21.749877634170446</v>
          </cell>
          <cell r="AX164">
            <v>21.749877634170446</v>
          </cell>
          <cell r="AY164">
            <v>21.749877634170446</v>
          </cell>
          <cell r="AZ164">
            <v>21.749877634170446</v>
          </cell>
          <cell r="BA164">
            <v>21.749877634170446</v>
          </cell>
          <cell r="BB164">
            <v>21.749877634170446</v>
          </cell>
          <cell r="BC164">
            <v>21.749877634170446</v>
          </cell>
          <cell r="BD164">
            <v>21.749877634170446</v>
          </cell>
          <cell r="BE164">
            <v>21.749877634170446</v>
          </cell>
          <cell r="BF164">
            <v>21.749877634170446</v>
          </cell>
          <cell r="BG164">
            <v>21.749877634170446</v>
          </cell>
          <cell r="BH164">
            <v>21.749877634170446</v>
          </cell>
          <cell r="BI164">
            <v>21.749877634170446</v>
          </cell>
          <cell r="BJ164">
            <v>21.749877634170446</v>
          </cell>
          <cell r="BK164">
            <v>21.749877634170446</v>
          </cell>
          <cell r="BL164">
            <v>21.749877634170446</v>
          </cell>
          <cell r="BM164">
            <v>21.749877634170446</v>
          </cell>
          <cell r="BN164">
            <v>21.749877634170446</v>
          </cell>
          <cell r="BO164">
            <v>21.749877634170446</v>
          </cell>
          <cell r="BP164">
            <v>21.749877634170446</v>
          </cell>
          <cell r="BQ164">
            <v>21.749877634170446</v>
          </cell>
        </row>
        <row r="165">
          <cell r="AL165">
            <v>16.950000505139531</v>
          </cell>
          <cell r="AM165">
            <v>16.950000505139531</v>
          </cell>
          <cell r="AN165">
            <v>16.950000505139531</v>
          </cell>
          <cell r="AO165">
            <v>16.950000505139531</v>
          </cell>
          <cell r="AP165">
            <v>16.950000505139531</v>
          </cell>
          <cell r="AQ165">
            <v>16.950000505139531</v>
          </cell>
          <cell r="AR165">
            <v>16.950000505139531</v>
          </cell>
          <cell r="AS165">
            <v>16.950000505139531</v>
          </cell>
          <cell r="AT165">
            <v>16.950000505139531</v>
          </cell>
          <cell r="AU165">
            <v>16.950000505139531</v>
          </cell>
          <cell r="AV165">
            <v>16.950000505139531</v>
          </cell>
          <cell r="AW165">
            <v>16.950000505139531</v>
          </cell>
          <cell r="AX165">
            <v>16.950000505139531</v>
          </cell>
          <cell r="AY165">
            <v>16.950000505139531</v>
          </cell>
          <cell r="AZ165">
            <v>16.950000505139531</v>
          </cell>
          <cell r="BA165">
            <v>16.950000505139531</v>
          </cell>
          <cell r="BB165">
            <v>16.950000505139531</v>
          </cell>
          <cell r="BC165">
            <v>16.950000505139531</v>
          </cell>
          <cell r="BD165">
            <v>16.950000505139531</v>
          </cell>
          <cell r="BE165">
            <v>16.950000505139531</v>
          </cell>
          <cell r="BF165">
            <v>16.950000505139531</v>
          </cell>
          <cell r="BG165">
            <v>16.950000505139531</v>
          </cell>
          <cell r="BH165">
            <v>16.950000505139531</v>
          </cell>
          <cell r="BI165">
            <v>16.950000505139531</v>
          </cell>
          <cell r="BJ165">
            <v>16.950000505139531</v>
          </cell>
          <cell r="BK165">
            <v>16.950000505139531</v>
          </cell>
          <cell r="BL165">
            <v>16.950000505139531</v>
          </cell>
          <cell r="BM165">
            <v>16.950000505139531</v>
          </cell>
          <cell r="BN165">
            <v>16.950000505139531</v>
          </cell>
          <cell r="BO165">
            <v>16.950000505139531</v>
          </cell>
          <cell r="BP165">
            <v>16.950000505139531</v>
          </cell>
          <cell r="BQ165">
            <v>16.950000505139531</v>
          </cell>
        </row>
        <row r="166">
          <cell r="AL166">
            <v>16.949878412407752</v>
          </cell>
          <cell r="AM166">
            <v>16.949878412407752</v>
          </cell>
          <cell r="AN166">
            <v>16.949878412407752</v>
          </cell>
          <cell r="AO166">
            <v>16.949878412407752</v>
          </cell>
          <cell r="AP166">
            <v>16.949878412407752</v>
          </cell>
          <cell r="AQ166">
            <v>16.949878412407752</v>
          </cell>
          <cell r="AR166">
            <v>16.949878412407752</v>
          </cell>
          <cell r="AS166">
            <v>16.949878412407752</v>
          </cell>
          <cell r="AT166">
            <v>16.949878412407752</v>
          </cell>
          <cell r="AU166">
            <v>16.949878412407752</v>
          </cell>
          <cell r="AV166">
            <v>16.949878412407752</v>
          </cell>
          <cell r="AW166">
            <v>16.949878412407752</v>
          </cell>
          <cell r="AX166">
            <v>16.949878412407752</v>
          </cell>
          <cell r="AY166">
            <v>16.949878412407752</v>
          </cell>
          <cell r="AZ166">
            <v>16.949878412407752</v>
          </cell>
          <cell r="BA166">
            <v>16.949878412407752</v>
          </cell>
          <cell r="BB166">
            <v>16.949878412407752</v>
          </cell>
          <cell r="BC166">
            <v>16.949878412407752</v>
          </cell>
          <cell r="BD166">
            <v>16.949878412407752</v>
          </cell>
          <cell r="BE166">
            <v>16.949878412407752</v>
          </cell>
          <cell r="BF166">
            <v>16.949878412407752</v>
          </cell>
          <cell r="BG166">
            <v>16.949878412407752</v>
          </cell>
          <cell r="BH166">
            <v>16.949878412407752</v>
          </cell>
          <cell r="BI166">
            <v>16.949878412407752</v>
          </cell>
          <cell r="BJ166">
            <v>16.949878412407752</v>
          </cell>
          <cell r="BK166">
            <v>16.949878412407752</v>
          </cell>
          <cell r="BL166">
            <v>16.949878412407752</v>
          </cell>
          <cell r="BM166">
            <v>16.949878412407752</v>
          </cell>
          <cell r="BN166">
            <v>16.949878412407752</v>
          </cell>
          <cell r="BO166">
            <v>16.949878412407752</v>
          </cell>
          <cell r="BP166">
            <v>16.949878412407752</v>
          </cell>
          <cell r="BQ166">
            <v>16.949878412407752</v>
          </cell>
        </row>
        <row r="171">
          <cell r="AL171">
            <v>0.89999997615814209</v>
          </cell>
          <cell r="AM171">
            <v>0.89999997615814209</v>
          </cell>
          <cell r="AN171">
            <v>0.89999997615814209</v>
          </cell>
          <cell r="AO171">
            <v>0.89999997615814209</v>
          </cell>
          <cell r="AP171">
            <v>0.89999997615814209</v>
          </cell>
          <cell r="AQ171">
            <v>0.89999997615814209</v>
          </cell>
          <cell r="AR171">
            <v>0.89999997615814209</v>
          </cell>
          <cell r="AS171">
            <v>0.89999997615814209</v>
          </cell>
          <cell r="AT171">
            <v>0.89999997615814209</v>
          </cell>
          <cell r="AU171">
            <v>0.89999997615814209</v>
          </cell>
          <cell r="AV171">
            <v>0.89999997615814209</v>
          </cell>
          <cell r="AW171">
            <v>0.89999997615814209</v>
          </cell>
          <cell r="AX171">
            <v>0.89999997615814209</v>
          </cell>
          <cell r="AY171">
            <v>0.89999997615814209</v>
          </cell>
          <cell r="AZ171">
            <v>0.89999997615814209</v>
          </cell>
          <cell r="BA171">
            <v>0.89999997615814209</v>
          </cell>
          <cell r="BB171">
            <v>0.89999997615814209</v>
          </cell>
          <cell r="BC171">
            <v>0.89999997615814209</v>
          </cell>
          <cell r="BD171">
            <v>0.89999997615814209</v>
          </cell>
          <cell r="BE171">
            <v>0.89999997615814209</v>
          </cell>
          <cell r="BF171">
            <v>0.89999997615814209</v>
          </cell>
          <cell r="BG171">
            <v>0.89999997615814209</v>
          </cell>
          <cell r="BH171">
            <v>0.89999997615814209</v>
          </cell>
          <cell r="BI171">
            <v>0.89999997615814209</v>
          </cell>
          <cell r="BJ171">
            <v>0.89999997615814209</v>
          </cell>
          <cell r="BK171">
            <v>0.89999997615814209</v>
          </cell>
          <cell r="BL171">
            <v>0.89999997615814209</v>
          </cell>
          <cell r="BM171">
            <v>0.89999997615814209</v>
          </cell>
          <cell r="BN171">
            <v>0.89999997615814209</v>
          </cell>
          <cell r="BO171">
            <v>0.89999997615814209</v>
          </cell>
          <cell r="BP171">
            <v>0.89999997615814209</v>
          </cell>
          <cell r="BQ171">
            <v>0.89999997615814209</v>
          </cell>
        </row>
        <row r="172">
          <cell r="AL172">
            <v>0.95586188224648228</v>
          </cell>
          <cell r="AM172">
            <v>0.95586188224648228</v>
          </cell>
          <cell r="AN172">
            <v>0.95586188224648228</v>
          </cell>
          <cell r="AO172">
            <v>0.95586188224648228</v>
          </cell>
          <cell r="AP172">
            <v>0.95586188224648228</v>
          </cell>
          <cell r="AQ172">
            <v>0.95586188224648228</v>
          </cell>
          <cell r="AR172">
            <v>0.95586188224648228</v>
          </cell>
          <cell r="AS172">
            <v>0.95586188224648228</v>
          </cell>
          <cell r="AT172">
            <v>0.95586188224648228</v>
          </cell>
          <cell r="AU172">
            <v>0.95586188224648228</v>
          </cell>
          <cell r="AV172">
            <v>0.95586188224648228</v>
          </cell>
          <cell r="AW172">
            <v>0.95586188224648228</v>
          </cell>
          <cell r="AX172">
            <v>0.95586188224648228</v>
          </cell>
          <cell r="AY172">
            <v>0.95586188224648228</v>
          </cell>
          <cell r="AZ172">
            <v>0.95586188224648228</v>
          </cell>
          <cell r="BA172">
            <v>0.95586188224648228</v>
          </cell>
          <cell r="BB172">
            <v>0.95586188224648228</v>
          </cell>
          <cell r="BC172">
            <v>0.95586188224648228</v>
          </cell>
          <cell r="BD172">
            <v>0.95586188224648228</v>
          </cell>
          <cell r="BE172">
            <v>0.95586188224648228</v>
          </cell>
          <cell r="BF172">
            <v>0.95586188224648228</v>
          </cell>
          <cell r="BG172">
            <v>0.95586188224648228</v>
          </cell>
          <cell r="BH172">
            <v>0.95586188224648228</v>
          </cell>
          <cell r="BI172">
            <v>0.95586188224648228</v>
          </cell>
          <cell r="BJ172">
            <v>0.95586188224648228</v>
          </cell>
          <cell r="BK172">
            <v>0.95586188224648228</v>
          </cell>
          <cell r="BL172">
            <v>0.95586188224648228</v>
          </cell>
          <cell r="BM172">
            <v>0.95586188224648228</v>
          </cell>
          <cell r="BN172">
            <v>0.95586188224648228</v>
          </cell>
          <cell r="BO172">
            <v>0.95586188224648228</v>
          </cell>
          <cell r="BP172">
            <v>0.95586188224648228</v>
          </cell>
          <cell r="BQ172">
            <v>0.95586188224648228</v>
          </cell>
        </row>
        <row r="173">
          <cell r="AL173">
            <v>4.3524356111529094</v>
          </cell>
          <cell r="AM173">
            <v>4.3524356111529094</v>
          </cell>
          <cell r="AN173">
            <v>4.3524356111529094</v>
          </cell>
          <cell r="AO173">
            <v>4.3524356111529094</v>
          </cell>
          <cell r="AP173">
            <v>4.3524356111529094</v>
          </cell>
          <cell r="AQ173">
            <v>4.3524356111529094</v>
          </cell>
          <cell r="AR173">
            <v>4.3524356111529094</v>
          </cell>
          <cell r="AS173">
            <v>4.3524356111529094</v>
          </cell>
          <cell r="AT173">
            <v>4.3524356111529094</v>
          </cell>
          <cell r="AU173">
            <v>4.3524356111529094</v>
          </cell>
          <cell r="AV173">
            <v>4.3524356111529094</v>
          </cell>
          <cell r="AW173">
            <v>4.3524356111529094</v>
          </cell>
          <cell r="AX173">
            <v>4.3524356111529094</v>
          </cell>
          <cell r="AY173">
            <v>4.3524356111529094</v>
          </cell>
          <cell r="AZ173">
            <v>4.3524356111529094</v>
          </cell>
          <cell r="BA173">
            <v>4.3524356111529094</v>
          </cell>
          <cell r="BB173">
            <v>4.3524356111529094</v>
          </cell>
          <cell r="BC173">
            <v>4.3524356111529094</v>
          </cell>
          <cell r="BD173">
            <v>4.3524356111529094</v>
          </cell>
          <cell r="BE173">
            <v>4.3524356111529094</v>
          </cell>
          <cell r="BF173">
            <v>4.3524356111529094</v>
          </cell>
          <cell r="BG173">
            <v>4.3524356111529094</v>
          </cell>
          <cell r="BH173">
            <v>4.3524356111529094</v>
          </cell>
          <cell r="BI173">
            <v>4.3524356111529094</v>
          </cell>
          <cell r="BJ173">
            <v>4.3524356111529094</v>
          </cell>
          <cell r="BK173">
            <v>4.3524356111529094</v>
          </cell>
          <cell r="BL173">
            <v>4.3524356111529094</v>
          </cell>
          <cell r="BM173">
            <v>4.3524356111529094</v>
          </cell>
          <cell r="BN173">
            <v>4.3524356111529094</v>
          </cell>
          <cell r="BO173">
            <v>4.3524356111529094</v>
          </cell>
          <cell r="BP173">
            <v>4.3524356111529094</v>
          </cell>
          <cell r="BQ173">
            <v>4.3524356111529094</v>
          </cell>
        </row>
        <row r="174">
          <cell r="AL174">
            <v>-2.0997801137178165</v>
          </cell>
          <cell r="AM174">
            <v>-2.0997801137178165</v>
          </cell>
          <cell r="AN174">
            <v>-2.0997801137178165</v>
          </cell>
          <cell r="AO174">
            <v>-2.0997801137178165</v>
          </cell>
          <cell r="AP174">
            <v>-2.0997801137178165</v>
          </cell>
          <cell r="AQ174">
            <v>-2.0997801137178165</v>
          </cell>
          <cell r="AR174">
            <v>-2.0997801137178165</v>
          </cell>
          <cell r="AS174">
            <v>-2.0997801137178165</v>
          </cell>
          <cell r="AT174">
            <v>-2.0997801137178165</v>
          </cell>
          <cell r="AU174">
            <v>-2.0997801137178165</v>
          </cell>
          <cell r="AV174">
            <v>-2.0997801137178165</v>
          </cell>
          <cell r="AW174">
            <v>-2.0997801137178165</v>
          </cell>
          <cell r="AX174">
            <v>-2.0997801137178165</v>
          </cell>
          <cell r="AY174">
            <v>-2.0997801137178165</v>
          </cell>
          <cell r="AZ174">
            <v>-2.0997801137178165</v>
          </cell>
          <cell r="BA174">
            <v>-2.0997801137178165</v>
          </cell>
          <cell r="BB174">
            <v>-2.0997801137178165</v>
          </cell>
          <cell r="BC174">
            <v>-2.0997801137178165</v>
          </cell>
          <cell r="BD174">
            <v>-2.0997801137178165</v>
          </cell>
          <cell r="BE174">
            <v>-2.0997801137178165</v>
          </cell>
          <cell r="BF174">
            <v>-2.0997801137178165</v>
          </cell>
          <cell r="BG174">
            <v>-2.0997801137178165</v>
          </cell>
          <cell r="BH174">
            <v>-2.0997801137178165</v>
          </cell>
          <cell r="BI174">
            <v>-2.0997801137178165</v>
          </cell>
          <cell r="BJ174">
            <v>-2.0997801137178165</v>
          </cell>
          <cell r="BK174">
            <v>-2.0997801137178165</v>
          </cell>
          <cell r="BL174">
            <v>-2.0997801137178165</v>
          </cell>
          <cell r="BM174">
            <v>-2.0997801137178165</v>
          </cell>
          <cell r="BN174">
            <v>-2.0997801137178165</v>
          </cell>
          <cell r="BO174">
            <v>-2.0997801137178165</v>
          </cell>
          <cell r="BP174">
            <v>-2.0997801137178165</v>
          </cell>
          <cell r="BQ174">
            <v>-2.0997801137178165</v>
          </cell>
        </row>
        <row r="175">
          <cell r="AL175">
            <v>0.71199134690652988</v>
          </cell>
          <cell r="AM175">
            <v>0.71199134690652988</v>
          </cell>
          <cell r="AN175">
            <v>0.71199134690652988</v>
          </cell>
          <cell r="AO175">
            <v>0.71199134690652988</v>
          </cell>
          <cell r="AP175">
            <v>0.71199134690652988</v>
          </cell>
          <cell r="AQ175">
            <v>0.71199134690652988</v>
          </cell>
          <cell r="AR175">
            <v>0.71199134690652988</v>
          </cell>
          <cell r="AS175">
            <v>0.71199134690652988</v>
          </cell>
          <cell r="AT175">
            <v>0.71199134690652988</v>
          </cell>
          <cell r="AU175">
            <v>0.71199134690652988</v>
          </cell>
          <cell r="AV175">
            <v>0.71199134690652988</v>
          </cell>
          <cell r="AW175">
            <v>0.71199134690652988</v>
          </cell>
          <cell r="AX175">
            <v>0.71199134690652988</v>
          </cell>
          <cell r="AY175">
            <v>0.71199134690652988</v>
          </cell>
          <cell r="AZ175">
            <v>0.71199134690652988</v>
          </cell>
          <cell r="BA175">
            <v>0.71199134690652988</v>
          </cell>
          <cell r="BB175">
            <v>0.71199134690652988</v>
          </cell>
          <cell r="BC175">
            <v>0.71199134690652988</v>
          </cell>
          <cell r="BD175">
            <v>0.71199134690652988</v>
          </cell>
          <cell r="BE175">
            <v>0.71199134690652988</v>
          </cell>
          <cell r="BF175">
            <v>0.71199134690652988</v>
          </cell>
          <cell r="BG175">
            <v>0.71199134690652988</v>
          </cell>
          <cell r="BH175">
            <v>0.71199134690652988</v>
          </cell>
          <cell r="BI175">
            <v>0.71199134690652988</v>
          </cell>
          <cell r="BJ175">
            <v>0.71199134690652988</v>
          </cell>
          <cell r="BK175">
            <v>0.71199134690652988</v>
          </cell>
          <cell r="BL175">
            <v>0.71199134690652988</v>
          </cell>
          <cell r="BM175">
            <v>0.71199134690652988</v>
          </cell>
          <cell r="BN175">
            <v>0.71199134690652988</v>
          </cell>
          <cell r="BO175">
            <v>0.71199134690652988</v>
          </cell>
          <cell r="BP175">
            <v>0.71199134690652988</v>
          </cell>
          <cell r="BQ175">
            <v>0.71199134690652988</v>
          </cell>
        </row>
        <row r="176">
          <cell r="AL176">
            <v>3.5999999046325684</v>
          </cell>
          <cell r="AM176">
            <v>3.5999999046325684</v>
          </cell>
          <cell r="AN176">
            <v>3.5999999046325684</v>
          </cell>
          <cell r="AO176">
            <v>3.5999999046325684</v>
          </cell>
          <cell r="AP176">
            <v>3.5999999046325684</v>
          </cell>
          <cell r="AQ176">
            <v>3.5999999046325684</v>
          </cell>
          <cell r="AR176">
            <v>3.5999999046325684</v>
          </cell>
          <cell r="AS176">
            <v>3.5999999046325684</v>
          </cell>
          <cell r="AT176">
            <v>3.5999999046325684</v>
          </cell>
          <cell r="AU176">
            <v>3.5999999046325684</v>
          </cell>
          <cell r="AV176">
            <v>3.5999999046325684</v>
          </cell>
          <cell r="AW176">
            <v>3.5999999046325684</v>
          </cell>
          <cell r="AX176">
            <v>3.5999999046325684</v>
          </cell>
          <cell r="AY176">
            <v>3.5999999046325684</v>
          </cell>
          <cell r="AZ176">
            <v>3.5999999046325684</v>
          </cell>
          <cell r="BA176">
            <v>3.5999999046325684</v>
          </cell>
          <cell r="BB176">
            <v>3.5999999046325684</v>
          </cell>
          <cell r="BC176">
            <v>3.5999999046325684</v>
          </cell>
          <cell r="BD176">
            <v>3.5999999046325684</v>
          </cell>
          <cell r="BE176">
            <v>3.5999999046325684</v>
          </cell>
          <cell r="BF176">
            <v>3.5999999046325684</v>
          </cell>
          <cell r="BG176">
            <v>3.5999999046325684</v>
          </cell>
          <cell r="BH176">
            <v>3.5999999046325684</v>
          </cell>
          <cell r="BI176">
            <v>3.5999999046325684</v>
          </cell>
          <cell r="BJ176">
            <v>3.5999999046325684</v>
          </cell>
          <cell r="BK176">
            <v>3.5999999046325684</v>
          </cell>
          <cell r="BL176">
            <v>3.5999999046325684</v>
          </cell>
          <cell r="BM176">
            <v>3.5999999046325684</v>
          </cell>
          <cell r="BN176">
            <v>3.5999999046325684</v>
          </cell>
          <cell r="BO176">
            <v>3.5999999046325684</v>
          </cell>
          <cell r="BP176">
            <v>3.5999999046325684</v>
          </cell>
          <cell r="BQ176">
            <v>3.5999999046325684</v>
          </cell>
        </row>
        <row r="177">
          <cell r="AL177">
            <v>3.5999999046325684</v>
          </cell>
          <cell r="AM177">
            <v>3.5999999046325684</v>
          </cell>
          <cell r="AN177">
            <v>3.5999999046325684</v>
          </cell>
          <cell r="AO177">
            <v>3.5999999046325684</v>
          </cell>
          <cell r="AP177">
            <v>3.5999999046325684</v>
          </cell>
          <cell r="AQ177">
            <v>3.5999999046325684</v>
          </cell>
          <cell r="AR177">
            <v>3.5999999046325684</v>
          </cell>
          <cell r="AS177">
            <v>3.5999999046325684</v>
          </cell>
          <cell r="AT177">
            <v>3.5999999046325684</v>
          </cell>
          <cell r="AU177">
            <v>3.5999999046325684</v>
          </cell>
          <cell r="AV177">
            <v>3.5999999046325684</v>
          </cell>
          <cell r="AW177">
            <v>3.5999999046325684</v>
          </cell>
          <cell r="AX177">
            <v>3.5999999046325684</v>
          </cell>
          <cell r="AY177">
            <v>3.5999999046325684</v>
          </cell>
          <cell r="AZ177">
            <v>3.5999999046325684</v>
          </cell>
          <cell r="BA177">
            <v>3.5999999046325684</v>
          </cell>
          <cell r="BB177">
            <v>3.5999999046325684</v>
          </cell>
          <cell r="BC177">
            <v>3.5999999046325684</v>
          </cell>
          <cell r="BD177">
            <v>3.5999999046325684</v>
          </cell>
          <cell r="BE177">
            <v>3.5999999046325684</v>
          </cell>
          <cell r="BF177">
            <v>3.5999999046325684</v>
          </cell>
          <cell r="BG177">
            <v>3.5999999046325684</v>
          </cell>
          <cell r="BH177">
            <v>3.5999999046325684</v>
          </cell>
          <cell r="BI177">
            <v>3.5999999046325684</v>
          </cell>
          <cell r="BJ177">
            <v>3.5999999046325684</v>
          </cell>
          <cell r="BK177">
            <v>3.5999999046325684</v>
          </cell>
          <cell r="BL177">
            <v>3.5999999046325684</v>
          </cell>
          <cell r="BM177">
            <v>3.5999999046325684</v>
          </cell>
          <cell r="BN177">
            <v>3.5999999046325684</v>
          </cell>
          <cell r="BO177">
            <v>3.5999999046325684</v>
          </cell>
          <cell r="BP177">
            <v>3.5999999046325684</v>
          </cell>
          <cell r="BQ177">
            <v>3.5999999046325684</v>
          </cell>
        </row>
        <row r="178">
          <cell r="AL178">
            <v>0.8819063423581377</v>
          </cell>
          <cell r="AM178">
            <v>0.8819063423581377</v>
          </cell>
          <cell r="AN178">
            <v>0.8819063423581377</v>
          </cell>
          <cell r="AO178">
            <v>0.8819063423581377</v>
          </cell>
          <cell r="AP178">
            <v>0.8819063423581377</v>
          </cell>
          <cell r="AQ178">
            <v>0.8819063423581377</v>
          </cell>
          <cell r="AR178">
            <v>0.8819063423581377</v>
          </cell>
          <cell r="AS178">
            <v>0.8819063423581377</v>
          </cell>
          <cell r="AT178">
            <v>0.8819063423581377</v>
          </cell>
          <cell r="AU178">
            <v>0.8819063423581377</v>
          </cell>
          <cell r="AV178">
            <v>0.8819063423581377</v>
          </cell>
          <cell r="AW178">
            <v>0.8819063423581377</v>
          </cell>
          <cell r="AX178">
            <v>0.8819063423581377</v>
          </cell>
          <cell r="AY178">
            <v>0.8819063423581377</v>
          </cell>
          <cell r="AZ178">
            <v>0.8819063423581377</v>
          </cell>
          <cell r="BA178">
            <v>0.8819063423581377</v>
          </cell>
          <cell r="BB178">
            <v>0.8819063423581377</v>
          </cell>
          <cell r="BC178">
            <v>0.8819063423581377</v>
          </cell>
          <cell r="BD178">
            <v>0.8819063423581377</v>
          </cell>
          <cell r="BE178">
            <v>0.8819063423581377</v>
          </cell>
          <cell r="BF178">
            <v>0.8819063423581377</v>
          </cell>
          <cell r="BG178">
            <v>0.8819063423581377</v>
          </cell>
          <cell r="BH178">
            <v>0.8819063423581377</v>
          </cell>
          <cell r="BI178">
            <v>0.8819063423581377</v>
          </cell>
          <cell r="BJ178">
            <v>0.8819063423581377</v>
          </cell>
          <cell r="BK178">
            <v>0.8819063423581377</v>
          </cell>
          <cell r="BL178">
            <v>0.8819063423581377</v>
          </cell>
          <cell r="BM178">
            <v>0.8819063423581377</v>
          </cell>
          <cell r="BN178">
            <v>0.8819063423581377</v>
          </cell>
          <cell r="BO178">
            <v>0.8819063423581377</v>
          </cell>
          <cell r="BP178">
            <v>0.8819063423581377</v>
          </cell>
          <cell r="BQ178">
            <v>0.8819063423581377</v>
          </cell>
        </row>
        <row r="179">
          <cell r="AL179">
            <v>0.91863725774052185</v>
          </cell>
          <cell r="AM179">
            <v>0.91863725774052185</v>
          </cell>
          <cell r="AN179">
            <v>0.91863725774052185</v>
          </cell>
          <cell r="AO179">
            <v>0.91863725774052185</v>
          </cell>
          <cell r="AP179">
            <v>0.91863725774052185</v>
          </cell>
          <cell r="AQ179">
            <v>0.91863725774052185</v>
          </cell>
          <cell r="AR179">
            <v>0.91863725774052185</v>
          </cell>
          <cell r="AS179">
            <v>0.91863725774052185</v>
          </cell>
          <cell r="AT179">
            <v>0.91863725774052185</v>
          </cell>
          <cell r="AU179">
            <v>0.91863725774052185</v>
          </cell>
          <cell r="AV179">
            <v>0.91863725774052185</v>
          </cell>
          <cell r="AW179">
            <v>0.91863725774052185</v>
          </cell>
          <cell r="AX179">
            <v>0.91863725774052185</v>
          </cell>
          <cell r="AY179">
            <v>0.91863725774052185</v>
          </cell>
          <cell r="AZ179">
            <v>0.91863725774052185</v>
          </cell>
          <cell r="BA179">
            <v>0.91863725774052185</v>
          </cell>
          <cell r="BB179">
            <v>0.91863725774052185</v>
          </cell>
          <cell r="BC179">
            <v>0.91863725774052185</v>
          </cell>
          <cell r="BD179">
            <v>0.91863725774052185</v>
          </cell>
          <cell r="BE179">
            <v>0.91863725774052185</v>
          </cell>
          <cell r="BF179">
            <v>0.91863725774052185</v>
          </cell>
          <cell r="BG179">
            <v>0.91863725774052185</v>
          </cell>
          <cell r="BH179">
            <v>0.91863725774052185</v>
          </cell>
          <cell r="BI179">
            <v>0.91863725774052185</v>
          </cell>
          <cell r="BJ179">
            <v>0.91863725774052185</v>
          </cell>
          <cell r="BK179">
            <v>0.91863725774052185</v>
          </cell>
          <cell r="BL179">
            <v>0.91863725774052185</v>
          </cell>
          <cell r="BM179">
            <v>0.91863725774052185</v>
          </cell>
          <cell r="BN179">
            <v>0.91863725774052185</v>
          </cell>
          <cell r="BO179">
            <v>0.91863725774052185</v>
          </cell>
          <cell r="BP179">
            <v>0.91863725774052185</v>
          </cell>
          <cell r="BQ179">
            <v>0.91863725774052185</v>
          </cell>
        </row>
        <row r="180">
          <cell r="AL180">
            <v>2.7261509686366132</v>
          </cell>
          <cell r="AM180">
            <v>2.7261509686366132</v>
          </cell>
          <cell r="AN180">
            <v>2.7261509686366132</v>
          </cell>
          <cell r="AO180">
            <v>2.7261509686366132</v>
          </cell>
          <cell r="AP180">
            <v>2.7261509686366132</v>
          </cell>
          <cell r="AQ180">
            <v>2.7261509686366132</v>
          </cell>
          <cell r="AR180">
            <v>2.7261509686366132</v>
          </cell>
          <cell r="AS180">
            <v>2.7261509686366132</v>
          </cell>
          <cell r="AT180">
            <v>2.7261509686366132</v>
          </cell>
          <cell r="AU180">
            <v>2.7261509686366132</v>
          </cell>
          <cell r="AV180">
            <v>2.7261509686366132</v>
          </cell>
          <cell r="AW180">
            <v>2.7261509686366132</v>
          </cell>
          <cell r="AX180">
            <v>2.7261509686366132</v>
          </cell>
          <cell r="AY180">
            <v>2.7261509686366132</v>
          </cell>
          <cell r="AZ180">
            <v>2.7261509686366132</v>
          </cell>
          <cell r="BA180">
            <v>2.7261509686366132</v>
          </cell>
          <cell r="BB180">
            <v>2.7261509686366132</v>
          </cell>
          <cell r="BC180">
            <v>2.7261509686366132</v>
          </cell>
          <cell r="BD180">
            <v>2.7261509686366132</v>
          </cell>
          <cell r="BE180">
            <v>2.7261509686366132</v>
          </cell>
          <cell r="BF180">
            <v>2.7261509686366132</v>
          </cell>
          <cell r="BG180">
            <v>2.7261509686366132</v>
          </cell>
          <cell r="BH180">
            <v>2.7261509686366132</v>
          </cell>
          <cell r="BI180">
            <v>2.7261509686366132</v>
          </cell>
          <cell r="BJ180">
            <v>2.7261509686366132</v>
          </cell>
          <cell r="BK180">
            <v>2.7261509686366132</v>
          </cell>
          <cell r="BL180">
            <v>2.7261509686366132</v>
          </cell>
          <cell r="BM180">
            <v>2.7261509686366132</v>
          </cell>
          <cell r="BN180">
            <v>2.7261509686366132</v>
          </cell>
          <cell r="BO180">
            <v>2.7261509686366132</v>
          </cell>
          <cell r="BP180">
            <v>2.7261509686366132</v>
          </cell>
          <cell r="BQ180">
            <v>2.7261509686366132</v>
          </cell>
        </row>
        <row r="181">
          <cell r="AL181">
            <v>2.7483914883909044</v>
          </cell>
          <cell r="AM181">
            <v>2.7483914883909044</v>
          </cell>
          <cell r="AN181">
            <v>2.7483914883909044</v>
          </cell>
          <cell r="AO181">
            <v>2.7483914883909044</v>
          </cell>
          <cell r="AP181">
            <v>2.7483914883909044</v>
          </cell>
          <cell r="AQ181">
            <v>2.7483914883909044</v>
          </cell>
          <cell r="AR181">
            <v>2.7483914883909044</v>
          </cell>
          <cell r="AS181">
            <v>2.7483914883909044</v>
          </cell>
          <cell r="AT181">
            <v>2.7483914883909044</v>
          </cell>
          <cell r="AU181">
            <v>2.7483914883909044</v>
          </cell>
          <cell r="AV181">
            <v>2.7483914883909044</v>
          </cell>
          <cell r="AW181">
            <v>2.7483914883909044</v>
          </cell>
          <cell r="AX181">
            <v>2.7483914883909044</v>
          </cell>
          <cell r="AY181">
            <v>2.7483914883909044</v>
          </cell>
          <cell r="AZ181">
            <v>2.7483914883909044</v>
          </cell>
          <cell r="BA181">
            <v>2.7483914883909044</v>
          </cell>
          <cell r="BB181">
            <v>2.7483914883909044</v>
          </cell>
          <cell r="BC181">
            <v>2.7483914883909044</v>
          </cell>
          <cell r="BD181">
            <v>2.7483914883909044</v>
          </cell>
          <cell r="BE181">
            <v>2.7483914883909044</v>
          </cell>
          <cell r="BF181">
            <v>2.7483914883909044</v>
          </cell>
          <cell r="BG181">
            <v>2.7483914883909044</v>
          </cell>
          <cell r="BH181">
            <v>2.7483914883909044</v>
          </cell>
          <cell r="BI181">
            <v>2.7483914883909044</v>
          </cell>
          <cell r="BJ181">
            <v>2.7483914883909044</v>
          </cell>
          <cell r="BK181">
            <v>2.7483914883909044</v>
          </cell>
          <cell r="BL181">
            <v>2.7483914883909044</v>
          </cell>
          <cell r="BM181">
            <v>2.7483914883909044</v>
          </cell>
          <cell r="BN181">
            <v>2.7483914883909044</v>
          </cell>
          <cell r="BO181">
            <v>2.7483914883909044</v>
          </cell>
          <cell r="BP181">
            <v>2.7483914883909044</v>
          </cell>
          <cell r="BQ181">
            <v>2.7483914883909044</v>
          </cell>
        </row>
        <row r="182">
          <cell r="AL182">
            <v>0.89999997615814209</v>
          </cell>
          <cell r="AM182">
            <v>0.89999997615814209</v>
          </cell>
          <cell r="AN182">
            <v>0.89999997615814209</v>
          </cell>
          <cell r="AO182">
            <v>0.89999997615814209</v>
          </cell>
          <cell r="AP182">
            <v>0.89999997615814209</v>
          </cell>
          <cell r="AQ182">
            <v>0.89999997615814209</v>
          </cell>
          <cell r="AR182">
            <v>0.89999997615814209</v>
          </cell>
          <cell r="AS182">
            <v>0.89999997615814209</v>
          </cell>
          <cell r="AT182">
            <v>0.89999997615814209</v>
          </cell>
          <cell r="AU182">
            <v>0.89999997615814209</v>
          </cell>
          <cell r="AV182">
            <v>0.89999997615814209</v>
          </cell>
          <cell r="AW182">
            <v>0.89999997615814209</v>
          </cell>
          <cell r="AX182">
            <v>0.89999997615814209</v>
          </cell>
          <cell r="AY182">
            <v>0.89999997615814209</v>
          </cell>
          <cell r="AZ182">
            <v>0.89999997615814209</v>
          </cell>
          <cell r="BA182">
            <v>0.89999997615814209</v>
          </cell>
          <cell r="BB182">
            <v>0.89999997615814209</v>
          </cell>
          <cell r="BC182">
            <v>0.89999997615814209</v>
          </cell>
          <cell r="BD182">
            <v>0.89999997615814209</v>
          </cell>
          <cell r="BE182">
            <v>0.89999997615814209</v>
          </cell>
          <cell r="BF182">
            <v>0.89999997615814209</v>
          </cell>
          <cell r="BG182">
            <v>0.89999997615814209</v>
          </cell>
          <cell r="BH182">
            <v>0.89999997615814209</v>
          </cell>
          <cell r="BI182">
            <v>0.89999997615814209</v>
          </cell>
          <cell r="BJ182">
            <v>0.89999997615814209</v>
          </cell>
          <cell r="BK182">
            <v>0.89999997615814209</v>
          </cell>
          <cell r="BL182">
            <v>0.89999997615814209</v>
          </cell>
          <cell r="BM182">
            <v>0.89999997615814209</v>
          </cell>
          <cell r="BN182">
            <v>0.89999997615814209</v>
          </cell>
          <cell r="BO182">
            <v>0.89999997615814209</v>
          </cell>
          <cell r="BP182">
            <v>0.89999997615814209</v>
          </cell>
          <cell r="BQ182">
            <v>0.89999997615814209</v>
          </cell>
        </row>
        <row r="183">
          <cell r="AL183">
            <v>0.89999997615814209</v>
          </cell>
          <cell r="AM183">
            <v>0.89999997615814209</v>
          </cell>
          <cell r="AN183">
            <v>0.89999997615814209</v>
          </cell>
          <cell r="AO183">
            <v>0.89999997615814209</v>
          </cell>
          <cell r="AP183">
            <v>0.89999997615814209</v>
          </cell>
          <cell r="AQ183">
            <v>0.89999997615814209</v>
          </cell>
          <cell r="AR183">
            <v>0.89999997615814209</v>
          </cell>
          <cell r="AS183">
            <v>0.89999997615814209</v>
          </cell>
          <cell r="AT183">
            <v>0.89999997615814209</v>
          </cell>
          <cell r="AU183">
            <v>0.89999997615814209</v>
          </cell>
          <cell r="AV183">
            <v>0.89999997615814209</v>
          </cell>
          <cell r="AW183">
            <v>0.89999997615814209</v>
          </cell>
          <cell r="AX183">
            <v>0.89999997615814209</v>
          </cell>
          <cell r="AY183">
            <v>0.89999997615814209</v>
          </cell>
          <cell r="AZ183">
            <v>0.89999997615814209</v>
          </cell>
          <cell r="BA183">
            <v>0.89999997615814209</v>
          </cell>
          <cell r="BB183">
            <v>0.89999997615814209</v>
          </cell>
          <cell r="BC183">
            <v>0.89999997615814209</v>
          </cell>
          <cell r="BD183">
            <v>0.89999997615814209</v>
          </cell>
          <cell r="BE183">
            <v>0.89999997615814209</v>
          </cell>
          <cell r="BF183">
            <v>0.89999997615814209</v>
          </cell>
          <cell r="BG183">
            <v>0.89999997615814209</v>
          </cell>
          <cell r="BH183">
            <v>0.89999997615814209</v>
          </cell>
          <cell r="BI183">
            <v>0.89999997615814209</v>
          </cell>
          <cell r="BJ183">
            <v>0.89999997615814209</v>
          </cell>
          <cell r="BK183">
            <v>0.89999997615814209</v>
          </cell>
          <cell r="BL183">
            <v>0.89999997615814209</v>
          </cell>
          <cell r="BM183">
            <v>0.89999997615814209</v>
          </cell>
          <cell r="BN183">
            <v>0.89999997615814209</v>
          </cell>
          <cell r="BO183">
            <v>0.89999997615814209</v>
          </cell>
          <cell r="BP183">
            <v>0.89999997615814209</v>
          </cell>
          <cell r="BQ183">
            <v>0.89999997615814209</v>
          </cell>
        </row>
        <row r="184">
          <cell r="AL184">
            <v>0.89999997615814209</v>
          </cell>
          <cell r="AM184">
            <v>0.89999997615814209</v>
          </cell>
          <cell r="AN184">
            <v>0.89999997615814209</v>
          </cell>
          <cell r="AO184">
            <v>0.89999997615814209</v>
          </cell>
          <cell r="AP184">
            <v>0.89999997615814209</v>
          </cell>
          <cell r="AQ184">
            <v>0.89999997615814209</v>
          </cell>
          <cell r="AR184">
            <v>0.89999997615814209</v>
          </cell>
          <cell r="AS184">
            <v>0.89999997615814209</v>
          </cell>
          <cell r="AT184">
            <v>0.89999997615814209</v>
          </cell>
          <cell r="AU184">
            <v>0.89999997615814209</v>
          </cell>
          <cell r="AV184">
            <v>0.89999997615814209</v>
          </cell>
          <cell r="AW184">
            <v>0.89999997615814209</v>
          </cell>
          <cell r="AX184">
            <v>0.89999997615814209</v>
          </cell>
          <cell r="AY184">
            <v>0.89999997615814209</v>
          </cell>
          <cell r="AZ184">
            <v>0.89999997615814209</v>
          </cell>
          <cell r="BA184">
            <v>0.89999997615814209</v>
          </cell>
          <cell r="BB184">
            <v>0.89999997615814209</v>
          </cell>
          <cell r="BC184">
            <v>0.89999997615814209</v>
          </cell>
          <cell r="BD184">
            <v>0.89999997615814209</v>
          </cell>
          <cell r="BE184">
            <v>0.89999997615814209</v>
          </cell>
          <cell r="BF184">
            <v>0.89999997615814209</v>
          </cell>
          <cell r="BG184">
            <v>0.89999997615814209</v>
          </cell>
          <cell r="BH184">
            <v>0.89999997615814209</v>
          </cell>
          <cell r="BI184">
            <v>0.89999997615814209</v>
          </cell>
          <cell r="BJ184">
            <v>0.89999997615814209</v>
          </cell>
          <cell r="BK184">
            <v>0.89999997615814209</v>
          </cell>
          <cell r="BL184">
            <v>0.89999997615814209</v>
          </cell>
          <cell r="BM184">
            <v>0.89999997615814209</v>
          </cell>
          <cell r="BN184">
            <v>0.89999997615814209</v>
          </cell>
          <cell r="BO184">
            <v>0.89999997615814209</v>
          </cell>
          <cell r="BP184">
            <v>0.89999997615814209</v>
          </cell>
          <cell r="BQ184">
            <v>0.89999997615814209</v>
          </cell>
        </row>
        <row r="185">
          <cell r="AL185">
            <v>2.8499999046325684</v>
          </cell>
          <cell r="AM185">
            <v>2.8499999046325684</v>
          </cell>
          <cell r="AN185">
            <v>2.8499999046325684</v>
          </cell>
          <cell r="AO185">
            <v>2.8499999046325684</v>
          </cell>
          <cell r="AP185">
            <v>2.8499999046325684</v>
          </cell>
          <cell r="AQ185">
            <v>2.8499999046325684</v>
          </cell>
          <cell r="AR185">
            <v>2.8499999046325684</v>
          </cell>
          <cell r="AS185">
            <v>2.8499999046325684</v>
          </cell>
          <cell r="AT185">
            <v>2.8499999046325684</v>
          </cell>
          <cell r="AU185">
            <v>2.8499999046325684</v>
          </cell>
          <cell r="AV185">
            <v>2.8499999046325684</v>
          </cell>
          <cell r="AW185">
            <v>2.8499999046325684</v>
          </cell>
          <cell r="AX185">
            <v>2.8499999046325684</v>
          </cell>
          <cell r="AY185">
            <v>2.8499999046325684</v>
          </cell>
          <cell r="AZ185">
            <v>2.8499999046325684</v>
          </cell>
          <cell r="BA185">
            <v>2.8499999046325684</v>
          </cell>
          <cell r="BB185">
            <v>2.8499999046325684</v>
          </cell>
          <cell r="BC185">
            <v>2.8499999046325684</v>
          </cell>
          <cell r="BD185">
            <v>2.8499999046325684</v>
          </cell>
          <cell r="BE185">
            <v>2.8499999046325684</v>
          </cell>
          <cell r="BF185">
            <v>2.8499999046325684</v>
          </cell>
          <cell r="BG185">
            <v>2.8499999046325684</v>
          </cell>
          <cell r="BH185">
            <v>2.8499999046325684</v>
          </cell>
          <cell r="BI185">
            <v>2.8499999046325684</v>
          </cell>
          <cell r="BJ185">
            <v>2.8499999046325684</v>
          </cell>
          <cell r="BK185">
            <v>2.8499999046325684</v>
          </cell>
          <cell r="BL185">
            <v>2.8499999046325684</v>
          </cell>
          <cell r="BM185">
            <v>2.8499999046325684</v>
          </cell>
          <cell r="BN185">
            <v>2.8499999046325684</v>
          </cell>
          <cell r="BO185">
            <v>2.8499999046325684</v>
          </cell>
          <cell r="BP185">
            <v>2.8499999046325684</v>
          </cell>
          <cell r="BQ185">
            <v>2.8499999046325684</v>
          </cell>
        </row>
        <row r="186">
          <cell r="AL186">
            <v>2.8499999046325684</v>
          </cell>
          <cell r="AM186">
            <v>2.8499999046325684</v>
          </cell>
          <cell r="AN186">
            <v>2.8499999046325684</v>
          </cell>
          <cell r="AO186">
            <v>2.8499999046325684</v>
          </cell>
          <cell r="AP186">
            <v>2.8499999046325684</v>
          </cell>
          <cell r="AQ186">
            <v>2.8499999046325684</v>
          </cell>
          <cell r="AR186">
            <v>2.8499999046325684</v>
          </cell>
          <cell r="AS186">
            <v>2.8499999046325684</v>
          </cell>
          <cell r="AT186">
            <v>2.8499999046325684</v>
          </cell>
          <cell r="AU186">
            <v>2.8499999046325684</v>
          </cell>
          <cell r="AV186">
            <v>2.8499999046325684</v>
          </cell>
          <cell r="AW186">
            <v>2.8499999046325684</v>
          </cell>
          <cell r="AX186">
            <v>2.8499999046325684</v>
          </cell>
          <cell r="AY186">
            <v>2.8499999046325684</v>
          </cell>
          <cell r="AZ186">
            <v>2.8499999046325684</v>
          </cell>
          <cell r="BA186">
            <v>2.8499999046325684</v>
          </cell>
          <cell r="BB186">
            <v>2.8499999046325684</v>
          </cell>
          <cell r="BC186">
            <v>2.8499999046325684</v>
          </cell>
          <cell r="BD186">
            <v>2.8499999046325684</v>
          </cell>
          <cell r="BE186">
            <v>2.8499999046325684</v>
          </cell>
          <cell r="BF186">
            <v>2.8499999046325684</v>
          </cell>
          <cell r="BG186">
            <v>2.8499999046325684</v>
          </cell>
          <cell r="BH186">
            <v>2.8499999046325684</v>
          </cell>
          <cell r="BI186">
            <v>2.8499999046325684</v>
          </cell>
          <cell r="BJ186">
            <v>2.8499999046325684</v>
          </cell>
          <cell r="BK186">
            <v>2.8499999046325684</v>
          </cell>
          <cell r="BL186">
            <v>2.8499999046325684</v>
          </cell>
          <cell r="BM186">
            <v>2.8499999046325684</v>
          </cell>
          <cell r="BN186">
            <v>2.8499999046325684</v>
          </cell>
          <cell r="BO186">
            <v>2.8499999046325684</v>
          </cell>
          <cell r="BP186">
            <v>2.8499999046325684</v>
          </cell>
          <cell r="BQ186">
            <v>2.8499999046325684</v>
          </cell>
        </row>
        <row r="187">
          <cell r="AL187">
            <v>0.89983854892481308</v>
          </cell>
          <cell r="AM187">
            <v>0.89983854892481308</v>
          </cell>
          <cell r="AN187">
            <v>0.89983854892481308</v>
          </cell>
          <cell r="AO187">
            <v>0.89983854892481308</v>
          </cell>
          <cell r="AP187">
            <v>0.89983854892481308</v>
          </cell>
          <cell r="AQ187">
            <v>0.89983854892481308</v>
          </cell>
          <cell r="AR187">
            <v>0.89983854892481308</v>
          </cell>
          <cell r="AS187">
            <v>0.89983854892481308</v>
          </cell>
          <cell r="AT187">
            <v>0.89983854892481308</v>
          </cell>
          <cell r="AU187">
            <v>0.89983854892481308</v>
          </cell>
          <cell r="AV187">
            <v>0.89983854892481308</v>
          </cell>
          <cell r="AW187">
            <v>0.89983854892481308</v>
          </cell>
          <cell r="AX187">
            <v>0.89983854892481308</v>
          </cell>
          <cell r="AY187">
            <v>0.89983854892481308</v>
          </cell>
          <cell r="AZ187">
            <v>0.89983854892481308</v>
          </cell>
          <cell r="BA187">
            <v>0.89983854892481308</v>
          </cell>
          <cell r="BB187">
            <v>0.89983854892481308</v>
          </cell>
          <cell r="BC187">
            <v>0.89983854892481308</v>
          </cell>
          <cell r="BD187">
            <v>0.89983854892481308</v>
          </cell>
          <cell r="BE187">
            <v>0.89983854892481308</v>
          </cell>
          <cell r="BF187">
            <v>0.89983854892481308</v>
          </cell>
          <cell r="BG187">
            <v>0.89983854892481308</v>
          </cell>
          <cell r="BH187">
            <v>0.89983854892481308</v>
          </cell>
          <cell r="BI187">
            <v>0.89983854892481308</v>
          </cell>
          <cell r="BJ187">
            <v>0.89983854892481308</v>
          </cell>
          <cell r="BK187">
            <v>0.89983854892481308</v>
          </cell>
          <cell r="BL187">
            <v>0.89983854892481308</v>
          </cell>
          <cell r="BM187">
            <v>0.89983854892481308</v>
          </cell>
          <cell r="BN187">
            <v>0.89983854892481308</v>
          </cell>
          <cell r="BO187">
            <v>0.89983854892481308</v>
          </cell>
          <cell r="BP187">
            <v>0.89983854892481308</v>
          </cell>
          <cell r="BQ187">
            <v>0.89983854892481308</v>
          </cell>
        </row>
        <row r="188">
          <cell r="AL188">
            <v>0.9001611964406423</v>
          </cell>
          <cell r="AM188">
            <v>0.9001611964406423</v>
          </cell>
          <cell r="AN188">
            <v>0.9001611964406423</v>
          </cell>
          <cell r="AO188">
            <v>0.9001611964406423</v>
          </cell>
          <cell r="AP188">
            <v>0.9001611964406423</v>
          </cell>
          <cell r="AQ188">
            <v>0.9001611964406423</v>
          </cell>
          <cell r="AR188">
            <v>0.9001611964406423</v>
          </cell>
          <cell r="AS188">
            <v>0.9001611964406423</v>
          </cell>
          <cell r="AT188">
            <v>0.9001611964406423</v>
          </cell>
          <cell r="AU188">
            <v>0.9001611964406423</v>
          </cell>
          <cell r="AV188">
            <v>0.9001611964406423</v>
          </cell>
          <cell r="AW188">
            <v>0.9001611964406423</v>
          </cell>
          <cell r="AX188">
            <v>0.9001611964406423</v>
          </cell>
          <cell r="AY188">
            <v>0.9001611964406423</v>
          </cell>
          <cell r="AZ188">
            <v>0.9001611964406423</v>
          </cell>
          <cell r="BA188">
            <v>0.9001611964406423</v>
          </cell>
          <cell r="BB188">
            <v>0.9001611964406423</v>
          </cell>
          <cell r="BC188">
            <v>0.9001611964406423</v>
          </cell>
          <cell r="BD188">
            <v>0.9001611964406423</v>
          </cell>
          <cell r="BE188">
            <v>0.9001611964406423</v>
          </cell>
          <cell r="BF188">
            <v>0.9001611964406423</v>
          </cell>
          <cell r="BG188">
            <v>0.9001611964406423</v>
          </cell>
          <cell r="BH188">
            <v>0.9001611964406423</v>
          </cell>
          <cell r="BI188">
            <v>0.9001611964406423</v>
          </cell>
          <cell r="BJ188">
            <v>0.9001611964406423</v>
          </cell>
          <cell r="BK188">
            <v>0.9001611964406423</v>
          </cell>
          <cell r="BL188">
            <v>0.9001611964406423</v>
          </cell>
          <cell r="BM188">
            <v>0.9001611964406423</v>
          </cell>
          <cell r="BN188">
            <v>0.9001611964406423</v>
          </cell>
          <cell r="BO188">
            <v>0.9001611964406423</v>
          </cell>
          <cell r="BP188">
            <v>0.9001611964406423</v>
          </cell>
          <cell r="BQ188">
            <v>0.9001611964406423</v>
          </cell>
        </row>
        <row r="189">
          <cell r="AL189">
            <v>-2.099999764731113</v>
          </cell>
          <cell r="AM189">
            <v>-2.099999764731113</v>
          </cell>
          <cell r="AN189">
            <v>-2.099999764731113</v>
          </cell>
          <cell r="AO189">
            <v>-2.099999764731113</v>
          </cell>
          <cell r="AP189">
            <v>-2.099999764731113</v>
          </cell>
          <cell r="AQ189">
            <v>-2.099999764731113</v>
          </cell>
          <cell r="AR189">
            <v>-2.099999764731113</v>
          </cell>
          <cell r="AS189">
            <v>-2.099999764731113</v>
          </cell>
          <cell r="AT189">
            <v>-2.099999764731113</v>
          </cell>
          <cell r="AU189">
            <v>-2.099999764731113</v>
          </cell>
          <cell r="AV189">
            <v>-2.099999764731113</v>
          </cell>
          <cell r="AW189">
            <v>-2.099999764731113</v>
          </cell>
          <cell r="AX189">
            <v>-2.099999764731113</v>
          </cell>
          <cell r="AY189">
            <v>-2.099999764731113</v>
          </cell>
          <cell r="AZ189">
            <v>-2.099999764731113</v>
          </cell>
          <cell r="BA189">
            <v>-2.099999764731113</v>
          </cell>
          <cell r="BB189">
            <v>-2.099999764731113</v>
          </cell>
          <cell r="BC189">
            <v>-2.099999764731113</v>
          </cell>
          <cell r="BD189">
            <v>-2.099999764731113</v>
          </cell>
          <cell r="BE189">
            <v>-2.099999764731113</v>
          </cell>
          <cell r="BF189">
            <v>-2.099999764731113</v>
          </cell>
          <cell r="BG189">
            <v>-2.099999764731113</v>
          </cell>
          <cell r="BH189">
            <v>-2.099999764731113</v>
          </cell>
          <cell r="BI189">
            <v>-2.099999764731113</v>
          </cell>
          <cell r="BJ189">
            <v>-2.099999764731113</v>
          </cell>
          <cell r="BK189">
            <v>-2.099999764731113</v>
          </cell>
          <cell r="BL189">
            <v>-2.099999764731113</v>
          </cell>
          <cell r="BM189">
            <v>-2.099999764731113</v>
          </cell>
          <cell r="BN189">
            <v>-2.099999764731113</v>
          </cell>
          <cell r="BO189">
            <v>-2.099999764731113</v>
          </cell>
          <cell r="BP189">
            <v>-2.099999764731113</v>
          </cell>
          <cell r="BQ189">
            <v>-2.099999764731113</v>
          </cell>
        </row>
        <row r="190">
          <cell r="AL190">
            <v>0.89999977405212539</v>
          </cell>
          <cell r="AM190">
            <v>0.89999977405212539</v>
          </cell>
          <cell r="AN190">
            <v>0.89999977405212539</v>
          </cell>
          <cell r="AO190">
            <v>0.89999977405212539</v>
          </cell>
          <cell r="AP190">
            <v>0.89999977405212539</v>
          </cell>
          <cell r="AQ190">
            <v>0.89999977405212539</v>
          </cell>
          <cell r="AR190">
            <v>0.89999977405212539</v>
          </cell>
          <cell r="AS190">
            <v>0.89999977405212539</v>
          </cell>
          <cell r="AT190">
            <v>0.89999977405212539</v>
          </cell>
          <cell r="AU190">
            <v>0.89999977405212539</v>
          </cell>
          <cell r="AV190">
            <v>0.89999977405212539</v>
          </cell>
          <cell r="AW190">
            <v>0.89999977405212539</v>
          </cell>
          <cell r="AX190">
            <v>0.89999977405212539</v>
          </cell>
          <cell r="AY190">
            <v>0.89999977405212539</v>
          </cell>
          <cell r="AZ190">
            <v>0.89999977405212539</v>
          </cell>
          <cell r="BA190">
            <v>0.89999977405212539</v>
          </cell>
          <cell r="BB190">
            <v>0.89999977405212539</v>
          </cell>
          <cell r="BC190">
            <v>0.89999977405212539</v>
          </cell>
          <cell r="BD190">
            <v>0.89999977405212539</v>
          </cell>
          <cell r="BE190">
            <v>0.89999977405212539</v>
          </cell>
          <cell r="BF190">
            <v>0.89999977405212539</v>
          </cell>
          <cell r="BG190">
            <v>0.89999977405212539</v>
          </cell>
          <cell r="BH190">
            <v>0.89999977405212539</v>
          </cell>
          <cell r="BI190">
            <v>0.89999977405212539</v>
          </cell>
          <cell r="BJ190">
            <v>0.89999977405212539</v>
          </cell>
          <cell r="BK190">
            <v>0.89999977405212539</v>
          </cell>
          <cell r="BL190">
            <v>0.89999977405212539</v>
          </cell>
          <cell r="BM190">
            <v>0.89999977405212539</v>
          </cell>
          <cell r="BN190">
            <v>0.89999977405212539</v>
          </cell>
          <cell r="BO190">
            <v>0.89999977405212539</v>
          </cell>
          <cell r="BP190">
            <v>0.89999977405212539</v>
          </cell>
          <cell r="BQ190">
            <v>0.89999977405212539</v>
          </cell>
        </row>
      </sheetData>
      <sheetData sheetId="13">
        <row r="4">
          <cell r="C4">
            <v>-3.75</v>
          </cell>
          <cell r="D4">
            <v>-3.75</v>
          </cell>
          <cell r="E4">
            <v>-3.75</v>
          </cell>
          <cell r="F4">
            <v>-3.75</v>
          </cell>
          <cell r="G4">
            <v>-3.75</v>
          </cell>
          <cell r="H4">
            <v>0.89999997615814209</v>
          </cell>
          <cell r="I4">
            <v>0.89999997615814209</v>
          </cell>
          <cell r="J4">
            <v>0.89999997615814209</v>
          </cell>
          <cell r="K4">
            <v>0.89999997615814209</v>
          </cell>
          <cell r="L4">
            <v>0.89999997615814209</v>
          </cell>
        </row>
        <row r="5">
          <cell r="C5">
            <v>-0.89999997615814209</v>
          </cell>
          <cell r="D5">
            <v>-0.89999997615814209</v>
          </cell>
          <cell r="E5">
            <v>-0.89999997615814209</v>
          </cell>
          <cell r="F5">
            <v>-0.89999997615814209</v>
          </cell>
          <cell r="G5">
            <v>-0.89999997615814209</v>
          </cell>
          <cell r="H5">
            <v>0.89999997615814209</v>
          </cell>
          <cell r="I5">
            <v>0.89999997615814209</v>
          </cell>
          <cell r="J5">
            <v>0.89999997615814209</v>
          </cell>
          <cell r="K5">
            <v>0.89999997615814209</v>
          </cell>
          <cell r="L5">
            <v>0.89999997615814209</v>
          </cell>
        </row>
        <row r="6">
          <cell r="C6">
            <v>8.6999998092651367</v>
          </cell>
          <cell r="D6">
            <v>8.6999998092651367</v>
          </cell>
          <cell r="E6">
            <v>8.3547562457656603</v>
          </cell>
          <cell r="F6">
            <v>9.0452433727646149</v>
          </cell>
          <cell r="G6">
            <v>8.6999998092651367</v>
          </cell>
          <cell r="H6">
            <v>-3.2429227858355816</v>
          </cell>
          <cell r="I6">
            <v>0.209512849159188</v>
          </cell>
          <cell r="J6">
            <v>-0.99883962308898133</v>
          </cell>
          <cell r="K6">
            <v>-0.99883962308898133</v>
          </cell>
          <cell r="L6">
            <v>0.209512849159188</v>
          </cell>
        </row>
        <row r="7">
          <cell r="C7">
            <v>3.9000000953674316</v>
          </cell>
          <cell r="D7">
            <v>3.9000000953674316</v>
          </cell>
          <cell r="E7">
            <v>3.9000000953674316</v>
          </cell>
          <cell r="F7">
            <v>3.9000000953674316</v>
          </cell>
          <cell r="G7">
            <v>3.9000000953674316</v>
          </cell>
          <cell r="H7">
            <v>-2.0999999046325684</v>
          </cell>
          <cell r="I7">
            <v>-2.0999999046325684</v>
          </cell>
          <cell r="J7">
            <v>-2.0999999046325684</v>
          </cell>
          <cell r="K7">
            <v>-2.0999999046325684</v>
          </cell>
          <cell r="L7">
            <v>-2.0999999046325684</v>
          </cell>
        </row>
        <row r="8">
          <cell r="C8">
            <v>3.9000000953674316</v>
          </cell>
          <cell r="D8">
            <v>3.9000000953674316</v>
          </cell>
          <cell r="E8">
            <v>3.9000000953674316</v>
          </cell>
          <cell r="F8">
            <v>3.9000000953674316</v>
          </cell>
          <cell r="G8">
            <v>3.9000000953674316</v>
          </cell>
          <cell r="H8">
            <v>0.89999997615814209</v>
          </cell>
          <cell r="I8">
            <v>0.89999997615814209</v>
          </cell>
          <cell r="J8">
            <v>0.89999997615814209</v>
          </cell>
          <cell r="K8">
            <v>0.89999997615814209</v>
          </cell>
          <cell r="L8">
            <v>0.89999997615814209</v>
          </cell>
        </row>
        <row r="9">
          <cell r="C9">
            <v>3.2999999523162842</v>
          </cell>
          <cell r="D9">
            <v>3.2999999523162842</v>
          </cell>
          <cell r="E9">
            <v>3.2999999523162842</v>
          </cell>
          <cell r="F9">
            <v>3.2999999523162842</v>
          </cell>
          <cell r="G9">
            <v>3.2999999523162842</v>
          </cell>
          <cell r="H9">
            <v>3.5999999046325684</v>
          </cell>
          <cell r="I9">
            <v>3.5999999046325684</v>
          </cell>
          <cell r="J9">
            <v>3.5999999046325684</v>
          </cell>
          <cell r="K9">
            <v>3.5999999046325684</v>
          </cell>
          <cell r="L9">
            <v>3.5999999046325684</v>
          </cell>
        </row>
        <row r="10">
          <cell r="C10">
            <v>4.5</v>
          </cell>
          <cell r="D10">
            <v>4.5</v>
          </cell>
          <cell r="E10">
            <v>4.5</v>
          </cell>
          <cell r="F10">
            <v>4.5</v>
          </cell>
          <cell r="G10">
            <v>4.5</v>
          </cell>
          <cell r="H10">
            <v>3.5999999046325684</v>
          </cell>
          <cell r="I10">
            <v>3.5999999046325684</v>
          </cell>
          <cell r="J10">
            <v>3.5999999046325684</v>
          </cell>
          <cell r="K10">
            <v>3.5999999046325684</v>
          </cell>
          <cell r="L10">
            <v>3.5999999046325684</v>
          </cell>
        </row>
        <row r="11">
          <cell r="C11">
            <v>2.5508170127868652</v>
          </cell>
          <cell r="D11">
            <v>2.5508170127868652</v>
          </cell>
          <cell r="E11">
            <v>2.5508170127868652</v>
          </cell>
          <cell r="F11">
            <v>2.5508170127868652</v>
          </cell>
          <cell r="G11">
            <v>2.5508170127868652</v>
          </cell>
          <cell r="H11">
            <v>0.89983600378036499</v>
          </cell>
          <cell r="I11">
            <v>0.89983600378036499</v>
          </cell>
          <cell r="J11">
            <v>0.89983600378036499</v>
          </cell>
          <cell r="K11">
            <v>0.89983600378036499</v>
          </cell>
          <cell r="L11">
            <v>0.89983600378036499</v>
          </cell>
        </row>
        <row r="12">
          <cell r="C12">
            <v>5.2717561721801758</v>
          </cell>
          <cell r="D12">
            <v>5.2717561721801758</v>
          </cell>
          <cell r="E12">
            <v>5.2717561721801758</v>
          </cell>
          <cell r="F12">
            <v>5.2717561721801758</v>
          </cell>
          <cell r="G12">
            <v>5.2717561721801758</v>
          </cell>
          <cell r="H12">
            <v>0.89983600378036499</v>
          </cell>
          <cell r="I12">
            <v>0.89983600378036499</v>
          </cell>
          <cell r="J12">
            <v>0.89983600378036499</v>
          </cell>
          <cell r="K12">
            <v>0.89983600378036499</v>
          </cell>
          <cell r="L12">
            <v>0.89983600378036499</v>
          </cell>
        </row>
        <row r="13">
          <cell r="C13">
            <v>3.3856499195098877</v>
          </cell>
          <cell r="D13">
            <v>3.3856499195098877</v>
          </cell>
          <cell r="E13">
            <v>3.3856499195098877</v>
          </cell>
          <cell r="F13">
            <v>3.3856499195098877</v>
          </cell>
          <cell r="G13">
            <v>3.3856499195098877</v>
          </cell>
          <cell r="H13">
            <v>2.7293310165405273</v>
          </cell>
          <cell r="I13">
            <v>2.7293310165405273</v>
          </cell>
          <cell r="J13">
            <v>2.7293310165405273</v>
          </cell>
          <cell r="K13">
            <v>2.7293310165405273</v>
          </cell>
          <cell r="L13">
            <v>2.7293310165405273</v>
          </cell>
        </row>
        <row r="14">
          <cell r="C14">
            <v>4.4060029983520508</v>
          </cell>
          <cell r="D14">
            <v>4.4060029983520508</v>
          </cell>
          <cell r="E14">
            <v>4.4060029983520508</v>
          </cell>
          <cell r="F14">
            <v>4.4060029983520508</v>
          </cell>
          <cell r="G14">
            <v>4.4060029983520508</v>
          </cell>
          <cell r="H14">
            <v>2.7448270320892334</v>
          </cell>
          <cell r="I14">
            <v>2.7448270320892334</v>
          </cell>
          <cell r="J14">
            <v>2.7448270320892334</v>
          </cell>
          <cell r="K14">
            <v>2.7448270320892334</v>
          </cell>
          <cell r="L14">
            <v>2.7448270320892334</v>
          </cell>
        </row>
        <row r="15">
          <cell r="C15">
            <v>-6.4499998092651367</v>
          </cell>
          <cell r="D15">
            <v>-6.4499998092651367</v>
          </cell>
          <cell r="E15">
            <v>-6.4499998092651367</v>
          </cell>
          <cell r="F15">
            <v>-6.4499998092651367</v>
          </cell>
          <cell r="G15">
            <v>-6.4499998092651367</v>
          </cell>
          <cell r="H15">
            <v>0.89999997615814209</v>
          </cell>
          <cell r="I15">
            <v>0.89999997615814209</v>
          </cell>
          <cell r="J15">
            <v>0.89999997615814209</v>
          </cell>
          <cell r="K15">
            <v>0.89999997615814209</v>
          </cell>
          <cell r="L15">
            <v>0.89999997615814209</v>
          </cell>
        </row>
        <row r="16">
          <cell r="C16">
            <v>-5.8499999046325684</v>
          </cell>
          <cell r="D16">
            <v>-5.8499999046325684</v>
          </cell>
          <cell r="E16">
            <v>-5.8499999046325684</v>
          </cell>
          <cell r="F16">
            <v>-5.8499999046325684</v>
          </cell>
          <cell r="G16">
            <v>-5.8499999046325684</v>
          </cell>
          <cell r="H16">
            <v>0.89999997615814209</v>
          </cell>
          <cell r="I16">
            <v>0.89999997615814209</v>
          </cell>
          <cell r="J16">
            <v>0.89999997615814209</v>
          </cell>
          <cell r="K16">
            <v>0.89999997615814209</v>
          </cell>
          <cell r="L16">
            <v>0.89999997615814209</v>
          </cell>
        </row>
        <row r="17">
          <cell r="C17">
            <v>-4.3499999046325684</v>
          </cell>
          <cell r="D17">
            <v>-4.3499999046325684</v>
          </cell>
          <cell r="E17">
            <v>-4.3499999046325684</v>
          </cell>
          <cell r="F17">
            <v>-4.3499999046325684</v>
          </cell>
          <cell r="G17">
            <v>-4.3499999046325684</v>
          </cell>
          <cell r="H17">
            <v>0.89999997615814209</v>
          </cell>
          <cell r="I17">
            <v>0.89999997615814209</v>
          </cell>
          <cell r="J17">
            <v>0.89999997615814209</v>
          </cell>
          <cell r="K17">
            <v>0.89999997615814209</v>
          </cell>
          <cell r="L17">
            <v>0.89999997615814209</v>
          </cell>
        </row>
        <row r="18">
          <cell r="C18">
            <v>-5.5500001907348633</v>
          </cell>
          <cell r="D18">
            <v>-5.5500001907348633</v>
          </cell>
          <cell r="E18">
            <v>-5.5500001907348633</v>
          </cell>
          <cell r="F18">
            <v>-5.5500001907348633</v>
          </cell>
          <cell r="G18">
            <v>-5.5500001907348633</v>
          </cell>
          <cell r="H18">
            <v>2.8499999046325684</v>
          </cell>
          <cell r="I18">
            <v>2.8499999046325684</v>
          </cell>
          <cell r="J18">
            <v>2.8499999046325684</v>
          </cell>
          <cell r="K18">
            <v>2.8499999046325684</v>
          </cell>
          <cell r="L18">
            <v>2.8499999046325684</v>
          </cell>
        </row>
        <row r="19">
          <cell r="C19">
            <v>-4.6500000953674316</v>
          </cell>
          <cell r="D19">
            <v>-4.6500000953674316</v>
          </cell>
          <cell r="E19">
            <v>-4.6500000953674316</v>
          </cell>
          <cell r="F19">
            <v>-4.6500000953674316</v>
          </cell>
          <cell r="G19">
            <v>-4.6500000953674316</v>
          </cell>
          <cell r="H19">
            <v>2.8499999046325684</v>
          </cell>
          <cell r="I19">
            <v>2.8499999046325684</v>
          </cell>
          <cell r="J19">
            <v>2.8499999046325684</v>
          </cell>
          <cell r="K19">
            <v>2.8499999046325684</v>
          </cell>
          <cell r="L19">
            <v>2.8499999046325684</v>
          </cell>
        </row>
        <row r="20">
          <cell r="C20">
            <v>12.149999618530273</v>
          </cell>
          <cell r="D20">
            <v>12.149999618530273</v>
          </cell>
          <cell r="E20">
            <v>12.149999618530273</v>
          </cell>
          <cell r="F20">
            <v>12.149999618530273</v>
          </cell>
          <cell r="G20">
            <v>12.149999618530273</v>
          </cell>
          <cell r="H20">
            <v>0.89999997615814209</v>
          </cell>
          <cell r="I20">
            <v>0.89999997615814209</v>
          </cell>
          <cell r="J20">
            <v>0.89999997615814209</v>
          </cell>
          <cell r="K20">
            <v>0.89999997615814209</v>
          </cell>
          <cell r="L20">
            <v>0.89999997615814209</v>
          </cell>
        </row>
        <row r="21">
          <cell r="C21">
            <v>21.75</v>
          </cell>
          <cell r="D21">
            <v>21.75</v>
          </cell>
          <cell r="E21">
            <v>21.75</v>
          </cell>
          <cell r="F21">
            <v>21.75</v>
          </cell>
          <cell r="G21">
            <v>21.75</v>
          </cell>
          <cell r="H21">
            <v>0.89999997615814209</v>
          </cell>
          <cell r="I21">
            <v>0.89999997615814209</v>
          </cell>
          <cell r="J21">
            <v>0.89999997615814209</v>
          </cell>
          <cell r="K21">
            <v>0.89999997615814209</v>
          </cell>
          <cell r="L21">
            <v>0.89999997615814209</v>
          </cell>
        </row>
        <row r="22">
          <cell r="C22">
            <v>16.950000762939453</v>
          </cell>
          <cell r="D22">
            <v>16.950000762939453</v>
          </cell>
          <cell r="E22">
            <v>16.950000762939453</v>
          </cell>
          <cell r="F22">
            <v>16.950000762939453</v>
          </cell>
          <cell r="G22">
            <v>16.950000762939453</v>
          </cell>
          <cell r="H22">
            <v>-2.0999999046325684</v>
          </cell>
          <cell r="I22">
            <v>-2.0999999046325684</v>
          </cell>
          <cell r="J22">
            <v>-2.0999999046325684</v>
          </cell>
          <cell r="K22">
            <v>-2.0999999046325684</v>
          </cell>
          <cell r="L22">
            <v>-2.0999999046325684</v>
          </cell>
        </row>
        <row r="23">
          <cell r="C23">
            <v>16.950000762939453</v>
          </cell>
          <cell r="D23">
            <v>16.950000762939453</v>
          </cell>
          <cell r="E23">
            <v>16.950000762939453</v>
          </cell>
          <cell r="F23">
            <v>16.950000762939453</v>
          </cell>
          <cell r="G23">
            <v>16.950000762939453</v>
          </cell>
          <cell r="H23">
            <v>0.89999997615814209</v>
          </cell>
          <cell r="I23">
            <v>0.89999997615814209</v>
          </cell>
          <cell r="J23">
            <v>0.89999997615814209</v>
          </cell>
          <cell r="K23">
            <v>0.89999997615814209</v>
          </cell>
          <cell r="L23">
            <v>0.89999997615814209</v>
          </cell>
        </row>
        <row r="27">
          <cell r="C27">
            <v>-3.75</v>
          </cell>
          <cell r="D27">
            <v>-3.75</v>
          </cell>
          <cell r="E27">
            <v>-3.75</v>
          </cell>
          <cell r="F27">
            <v>-3.75</v>
          </cell>
          <cell r="G27">
            <v>-3.75</v>
          </cell>
          <cell r="H27">
            <v>0.89999997615814209</v>
          </cell>
          <cell r="I27">
            <v>0.89999997615814209</v>
          </cell>
          <cell r="J27">
            <v>0.89999997615814209</v>
          </cell>
          <cell r="K27">
            <v>0.89999997615814209</v>
          </cell>
          <cell r="L27">
            <v>0.89999997615814209</v>
          </cell>
        </row>
        <row r="28">
          <cell r="C28">
            <v>-0.89999997615814209</v>
          </cell>
          <cell r="D28">
            <v>-0.89999997615814209</v>
          </cell>
          <cell r="E28">
            <v>-0.89999997615814209</v>
          </cell>
          <cell r="F28">
            <v>-0.89999997615814209</v>
          </cell>
          <cell r="G28">
            <v>-0.89999997615814209</v>
          </cell>
          <cell r="H28">
            <v>0.89999997615814209</v>
          </cell>
          <cell r="I28">
            <v>0.89999997615814209</v>
          </cell>
          <cell r="J28">
            <v>0.89999997615814209</v>
          </cell>
          <cell r="K28">
            <v>0.89999997615814209</v>
          </cell>
          <cell r="L28">
            <v>0.89999997615814209</v>
          </cell>
        </row>
        <row r="29">
          <cell r="C29">
            <v>8.6999998092651367</v>
          </cell>
          <cell r="D29">
            <v>8.6999998092651367</v>
          </cell>
          <cell r="E29">
            <v>8.6999998092651367</v>
          </cell>
          <cell r="F29">
            <v>8.6999998092651367</v>
          </cell>
          <cell r="G29">
            <v>8.6999998092651367</v>
          </cell>
          <cell r="H29">
            <v>0.89999997615814209</v>
          </cell>
          <cell r="I29">
            <v>0.89999997615814209</v>
          </cell>
          <cell r="J29">
            <v>0.89999997615814209</v>
          </cell>
          <cell r="K29">
            <v>0.89999997615814209</v>
          </cell>
          <cell r="L29">
            <v>0.89999997615814209</v>
          </cell>
        </row>
        <row r="30">
          <cell r="C30">
            <v>3.9000000953674316</v>
          </cell>
          <cell r="D30">
            <v>3.9000000953674316</v>
          </cell>
          <cell r="E30">
            <v>3.9000000953674316</v>
          </cell>
          <cell r="F30">
            <v>3.9000000953674316</v>
          </cell>
          <cell r="G30">
            <v>3.9000000953674316</v>
          </cell>
          <cell r="H30">
            <v>-2.0999999046325684</v>
          </cell>
          <cell r="I30">
            <v>-2.0999999046325684</v>
          </cell>
          <cell r="J30">
            <v>-2.0999999046325684</v>
          </cell>
          <cell r="K30">
            <v>-2.0999999046325684</v>
          </cell>
          <cell r="L30">
            <v>-2.0999999046325684</v>
          </cell>
        </row>
        <row r="31">
          <cell r="C31">
            <v>3.9000000953674316</v>
          </cell>
          <cell r="D31">
            <v>3.9000000953674316</v>
          </cell>
          <cell r="E31">
            <v>3.9000000953674316</v>
          </cell>
          <cell r="F31">
            <v>3.9000000953674316</v>
          </cell>
          <cell r="G31">
            <v>3.9000000953674316</v>
          </cell>
          <cell r="H31">
            <v>0.89999997615814209</v>
          </cell>
          <cell r="I31">
            <v>0.89999997615814209</v>
          </cell>
          <cell r="J31">
            <v>0.89999997615814209</v>
          </cell>
          <cell r="K31">
            <v>0.89999997615814209</v>
          </cell>
          <cell r="L31">
            <v>0.89999997615814209</v>
          </cell>
        </row>
        <row r="32">
          <cell r="C32">
            <v>3.2999999523162842</v>
          </cell>
          <cell r="D32">
            <v>3.2999999523162842</v>
          </cell>
          <cell r="E32">
            <v>3.2999999523162842</v>
          </cell>
          <cell r="F32">
            <v>3.2999999523162842</v>
          </cell>
          <cell r="G32">
            <v>3.2999999523162842</v>
          </cell>
          <cell r="H32">
            <v>3.5999999046325684</v>
          </cell>
          <cell r="I32">
            <v>3.5999999046325684</v>
          </cell>
          <cell r="J32">
            <v>3.5999999046325684</v>
          </cell>
          <cell r="K32">
            <v>3.5999999046325684</v>
          </cell>
          <cell r="L32">
            <v>3.5999999046325684</v>
          </cell>
        </row>
        <row r="33">
          <cell r="C33">
            <v>4.5</v>
          </cell>
          <cell r="D33">
            <v>4.5</v>
          </cell>
          <cell r="E33">
            <v>4.5</v>
          </cell>
          <cell r="F33">
            <v>4.5</v>
          </cell>
          <cell r="G33">
            <v>4.5</v>
          </cell>
          <cell r="H33">
            <v>3.5999999046325684</v>
          </cell>
          <cell r="I33">
            <v>3.5999999046325684</v>
          </cell>
          <cell r="J33">
            <v>3.5999999046325684</v>
          </cell>
          <cell r="K33">
            <v>3.5999999046325684</v>
          </cell>
          <cell r="L33">
            <v>3.5999999046325684</v>
          </cell>
        </row>
        <row r="34">
          <cell r="C34">
            <v>2.5508170127868652</v>
          </cell>
          <cell r="D34">
            <v>2.5508170127868652</v>
          </cell>
          <cell r="E34">
            <v>2.5508170127868652</v>
          </cell>
          <cell r="F34">
            <v>2.5508170127868652</v>
          </cell>
          <cell r="G34">
            <v>2.5508170127868652</v>
          </cell>
          <cell r="H34">
            <v>0.89983600378036499</v>
          </cell>
          <cell r="I34">
            <v>0.89983600378036499</v>
          </cell>
          <cell r="J34">
            <v>0.89983600378036499</v>
          </cell>
          <cell r="K34">
            <v>0.89983600378036499</v>
          </cell>
          <cell r="L34">
            <v>0.89983600378036499</v>
          </cell>
        </row>
        <row r="35">
          <cell r="C35">
            <v>5.2717561721801758</v>
          </cell>
          <cell r="D35">
            <v>5.2717561721801758</v>
          </cell>
          <cell r="E35">
            <v>5.2717561721801758</v>
          </cell>
          <cell r="F35">
            <v>5.2717561721801758</v>
          </cell>
          <cell r="G35">
            <v>5.2717561721801758</v>
          </cell>
          <cell r="H35">
            <v>0.89983600378036499</v>
          </cell>
          <cell r="I35">
            <v>0.89983600378036499</v>
          </cell>
          <cell r="J35">
            <v>0.89983600378036499</v>
          </cell>
          <cell r="K35">
            <v>0.89983600378036499</v>
          </cell>
          <cell r="L35">
            <v>0.89983600378036499</v>
          </cell>
        </row>
        <row r="36">
          <cell r="C36">
            <v>3.3856499195098877</v>
          </cell>
          <cell r="D36">
            <v>3.3856499195098877</v>
          </cell>
          <cell r="E36">
            <v>3.3856499195098877</v>
          </cell>
          <cell r="F36">
            <v>3.3856499195098877</v>
          </cell>
          <cell r="G36">
            <v>3.3856499195098877</v>
          </cell>
          <cell r="H36">
            <v>2.7293310165405273</v>
          </cell>
          <cell r="I36">
            <v>2.7293310165405273</v>
          </cell>
          <cell r="J36">
            <v>2.7293310165405273</v>
          </cell>
          <cell r="K36">
            <v>2.7293310165405273</v>
          </cell>
          <cell r="L36">
            <v>2.7293310165405273</v>
          </cell>
        </row>
        <row r="37">
          <cell r="C37">
            <v>4.4060029983520508</v>
          </cell>
          <cell r="D37">
            <v>4.4060029983520508</v>
          </cell>
          <cell r="E37">
            <v>4.4060029983520508</v>
          </cell>
          <cell r="F37">
            <v>4.4060029983520508</v>
          </cell>
          <cell r="G37">
            <v>4.4060029983520508</v>
          </cell>
          <cell r="H37">
            <v>2.7448270320892334</v>
          </cell>
          <cell r="I37">
            <v>2.7448270320892334</v>
          </cell>
          <cell r="J37">
            <v>2.7448270320892334</v>
          </cell>
          <cell r="K37">
            <v>2.7448270320892334</v>
          </cell>
          <cell r="L37">
            <v>2.7448270320892334</v>
          </cell>
        </row>
        <row r="38">
          <cell r="C38">
            <v>-6.4499998092651367</v>
          </cell>
          <cell r="D38">
            <v>-6.4499998092651367</v>
          </cell>
          <cell r="E38">
            <v>-6.4499998092651367</v>
          </cell>
          <cell r="F38">
            <v>-6.4499998092651367</v>
          </cell>
          <cell r="G38">
            <v>-6.4499998092651367</v>
          </cell>
          <cell r="H38">
            <v>0.89999997615814209</v>
          </cell>
          <cell r="I38">
            <v>0.89999997615814209</v>
          </cell>
          <cell r="J38">
            <v>0.89999997615814209</v>
          </cell>
          <cell r="K38">
            <v>0.89999997615814209</v>
          </cell>
          <cell r="L38">
            <v>0.89999997615814209</v>
          </cell>
        </row>
        <row r="39">
          <cell r="C39">
            <v>-5.8499999046325684</v>
          </cell>
          <cell r="D39">
            <v>-5.8499999046325684</v>
          </cell>
          <cell r="E39">
            <v>-5.8499999046325684</v>
          </cell>
          <cell r="F39">
            <v>-5.8499999046325684</v>
          </cell>
          <cell r="G39">
            <v>-5.8499999046325684</v>
          </cell>
          <cell r="H39">
            <v>0.89999997615814209</v>
          </cell>
          <cell r="I39">
            <v>0.89999997615814209</v>
          </cell>
          <cell r="J39">
            <v>0.89999997615814209</v>
          </cell>
          <cell r="K39">
            <v>0.89999997615814209</v>
          </cell>
          <cell r="L39">
            <v>0.89999997615814209</v>
          </cell>
        </row>
        <row r="40">
          <cell r="C40">
            <v>-4.3499999046325684</v>
          </cell>
          <cell r="D40">
            <v>-4.3499999046325684</v>
          </cell>
          <cell r="E40">
            <v>-4.3499999046325684</v>
          </cell>
          <cell r="F40">
            <v>-4.3499999046325684</v>
          </cell>
          <cell r="G40">
            <v>-4.3499999046325684</v>
          </cell>
          <cell r="H40">
            <v>0.89999997615814209</v>
          </cell>
          <cell r="I40">
            <v>0.89999997615814209</v>
          </cell>
          <cell r="J40">
            <v>0.89999997615814209</v>
          </cell>
          <cell r="K40">
            <v>0.89999997615814209</v>
          </cell>
          <cell r="L40">
            <v>0.89999997615814209</v>
          </cell>
        </row>
        <row r="41">
          <cell r="C41">
            <v>-5.5500001907348633</v>
          </cell>
          <cell r="D41">
            <v>-5.5500001907348633</v>
          </cell>
          <cell r="E41">
            <v>-5.5500001907348633</v>
          </cell>
          <cell r="F41">
            <v>-5.5500001907348633</v>
          </cell>
          <cell r="G41">
            <v>-5.5500001907348633</v>
          </cell>
          <cell r="H41">
            <v>2.8499999046325684</v>
          </cell>
          <cell r="I41">
            <v>2.8499999046325684</v>
          </cell>
          <cell r="J41">
            <v>2.8499999046325684</v>
          </cell>
          <cell r="K41">
            <v>2.8499999046325684</v>
          </cell>
          <cell r="L41">
            <v>2.8499999046325684</v>
          </cell>
        </row>
        <row r="42">
          <cell r="C42">
            <v>-4.6500000953674316</v>
          </cell>
          <cell r="D42">
            <v>-4.6500000953674316</v>
          </cell>
          <cell r="E42">
            <v>-4.6500000953674316</v>
          </cell>
          <cell r="F42">
            <v>-4.6500000953674316</v>
          </cell>
          <cell r="G42">
            <v>-4.6500000953674316</v>
          </cell>
          <cell r="H42">
            <v>2.8499999046325684</v>
          </cell>
          <cell r="I42">
            <v>2.8499999046325684</v>
          </cell>
          <cell r="J42">
            <v>2.8499999046325684</v>
          </cell>
          <cell r="K42">
            <v>2.8499999046325684</v>
          </cell>
          <cell r="L42">
            <v>2.8499999046325684</v>
          </cell>
        </row>
        <row r="43">
          <cell r="C43">
            <v>12.149999618530273</v>
          </cell>
          <cell r="D43">
            <v>12.149999618530273</v>
          </cell>
          <cell r="E43">
            <v>12.149999618530273</v>
          </cell>
          <cell r="F43">
            <v>12.149999618530273</v>
          </cell>
          <cell r="G43">
            <v>12.149999618530273</v>
          </cell>
          <cell r="H43">
            <v>0.89999997615814209</v>
          </cell>
          <cell r="I43">
            <v>0.89999997615814209</v>
          </cell>
          <cell r="J43">
            <v>0.89999997615814209</v>
          </cell>
          <cell r="K43">
            <v>0.89999997615814209</v>
          </cell>
          <cell r="L43">
            <v>0.89999997615814209</v>
          </cell>
        </row>
        <row r="44">
          <cell r="C44">
            <v>21.75</v>
          </cell>
          <cell r="D44">
            <v>21.75</v>
          </cell>
          <cell r="E44">
            <v>21.75</v>
          </cell>
          <cell r="F44">
            <v>21.75</v>
          </cell>
          <cell r="G44">
            <v>21.75</v>
          </cell>
          <cell r="H44">
            <v>0.89999997615814209</v>
          </cell>
          <cell r="I44">
            <v>0.89999997615814209</v>
          </cell>
          <cell r="J44">
            <v>0.89999997615814209</v>
          </cell>
          <cell r="K44">
            <v>0.89999997615814209</v>
          </cell>
          <cell r="L44">
            <v>0.89999997615814209</v>
          </cell>
        </row>
        <row r="45">
          <cell r="C45">
            <v>16.950000762939453</v>
          </cell>
          <cell r="D45">
            <v>16.950000762939453</v>
          </cell>
          <cell r="E45">
            <v>16.950000762939453</v>
          </cell>
          <cell r="F45">
            <v>16.950000762939453</v>
          </cell>
          <cell r="G45">
            <v>16.950000762939453</v>
          </cell>
          <cell r="H45">
            <v>-2.0999999046325684</v>
          </cell>
          <cell r="I45">
            <v>-2.0999999046325684</v>
          </cell>
          <cell r="J45">
            <v>-2.0999999046325684</v>
          </cell>
          <cell r="K45">
            <v>-2.0999999046325684</v>
          </cell>
          <cell r="L45">
            <v>-2.0999999046325684</v>
          </cell>
        </row>
        <row r="46">
          <cell r="C46">
            <v>16.950000762939453</v>
          </cell>
          <cell r="D46">
            <v>16.950000762939453</v>
          </cell>
          <cell r="E46">
            <v>16.950000762939453</v>
          </cell>
          <cell r="F46">
            <v>16.950000762939453</v>
          </cell>
          <cell r="G46">
            <v>16.950000762939453</v>
          </cell>
          <cell r="H46">
            <v>0.89999997615814209</v>
          </cell>
          <cell r="I46">
            <v>0.89999997615814209</v>
          </cell>
          <cell r="J46">
            <v>0.89999997615814209</v>
          </cell>
          <cell r="K46">
            <v>0.89999997615814209</v>
          </cell>
          <cell r="L46">
            <v>0.89999997615814209</v>
          </cell>
        </row>
        <row r="50">
          <cell r="C50">
            <v>7.6500000953674316</v>
          </cell>
          <cell r="D50">
            <v>7.6500000953674316</v>
          </cell>
          <cell r="E50">
            <v>7.6500000953674316</v>
          </cell>
          <cell r="F50">
            <v>7.6500000953674316</v>
          </cell>
          <cell r="G50">
            <v>7.6500000953674316</v>
          </cell>
          <cell r="H50">
            <v>7.6500000953674316</v>
          </cell>
          <cell r="I50">
            <v>7.6500000953674316</v>
          </cell>
          <cell r="J50">
            <v>7.6500000953674316</v>
          </cell>
          <cell r="K50">
            <v>7.6500000953674316</v>
          </cell>
          <cell r="L50">
            <v>7.6500000953674316</v>
          </cell>
          <cell r="M50">
            <v>0.75</v>
          </cell>
          <cell r="N50">
            <v>0.75</v>
          </cell>
          <cell r="O50">
            <v>0.75</v>
          </cell>
          <cell r="P50">
            <v>0.75</v>
          </cell>
          <cell r="Q50">
            <v>0.75</v>
          </cell>
          <cell r="R50">
            <v>0.75</v>
          </cell>
          <cell r="S50">
            <v>0.75</v>
          </cell>
          <cell r="T50">
            <v>0.75</v>
          </cell>
          <cell r="U50">
            <v>0.75</v>
          </cell>
          <cell r="V50">
            <v>0.75</v>
          </cell>
        </row>
        <row r="51">
          <cell r="C51">
            <v>7.6500000953674316</v>
          </cell>
          <cell r="D51">
            <v>7.6500000953674316</v>
          </cell>
          <cell r="E51">
            <v>7.6500000953674316</v>
          </cell>
          <cell r="F51">
            <v>7.6500000953674316</v>
          </cell>
          <cell r="G51">
            <v>7.6500000953674316</v>
          </cell>
          <cell r="H51">
            <v>7.6500000953674316</v>
          </cell>
          <cell r="I51">
            <v>7.6500000953674316</v>
          </cell>
          <cell r="J51">
            <v>7.6500000953674316</v>
          </cell>
          <cell r="K51">
            <v>7.6500000953674316</v>
          </cell>
          <cell r="L51">
            <v>7.6500000953674316</v>
          </cell>
          <cell r="M51">
            <v>0.75</v>
          </cell>
          <cell r="N51">
            <v>0.75</v>
          </cell>
          <cell r="O51">
            <v>0.75</v>
          </cell>
          <cell r="P51">
            <v>0.75</v>
          </cell>
          <cell r="Q51">
            <v>0.75</v>
          </cell>
          <cell r="R51">
            <v>0.75</v>
          </cell>
          <cell r="S51">
            <v>0.75</v>
          </cell>
          <cell r="T51">
            <v>0.75</v>
          </cell>
          <cell r="U51">
            <v>0.75</v>
          </cell>
          <cell r="V51">
            <v>0.75</v>
          </cell>
        </row>
        <row r="52">
          <cell r="C52">
            <v>7.6500000953674316</v>
          </cell>
          <cell r="D52">
            <v>7.6500000953674316</v>
          </cell>
          <cell r="E52">
            <v>7.6500000953674316</v>
          </cell>
          <cell r="F52">
            <v>7.6500000953674316</v>
          </cell>
          <cell r="G52">
            <v>7.6500000953674316</v>
          </cell>
          <cell r="H52">
            <v>7.6500000953674316</v>
          </cell>
          <cell r="I52">
            <v>7.6500000953674316</v>
          </cell>
          <cell r="J52">
            <v>7.6500000953674316</v>
          </cell>
          <cell r="K52">
            <v>7.6500000953674316</v>
          </cell>
          <cell r="L52">
            <v>7.6500000953674316</v>
          </cell>
          <cell r="M52">
            <v>0.75</v>
          </cell>
          <cell r="N52">
            <v>0.75</v>
          </cell>
          <cell r="O52">
            <v>0.75</v>
          </cell>
          <cell r="P52">
            <v>0.75</v>
          </cell>
          <cell r="Q52">
            <v>0.75</v>
          </cell>
          <cell r="R52">
            <v>0.75</v>
          </cell>
          <cell r="S52">
            <v>0.75</v>
          </cell>
          <cell r="T52">
            <v>0.75</v>
          </cell>
          <cell r="U52">
            <v>0.75</v>
          </cell>
          <cell r="V52">
            <v>0.75</v>
          </cell>
        </row>
        <row r="53">
          <cell r="C53">
            <v>7.6500000953674316</v>
          </cell>
          <cell r="D53">
            <v>7.6500000953674316</v>
          </cell>
          <cell r="E53">
            <v>7.6500000953674316</v>
          </cell>
          <cell r="F53">
            <v>7.6500000953674316</v>
          </cell>
          <cell r="G53">
            <v>7.6500000953674316</v>
          </cell>
          <cell r="H53">
            <v>7.6500000953674316</v>
          </cell>
          <cell r="I53">
            <v>7.6500000953674316</v>
          </cell>
          <cell r="J53">
            <v>7.6500000953674316</v>
          </cell>
          <cell r="K53">
            <v>7.6500000953674316</v>
          </cell>
          <cell r="L53">
            <v>7.6500000953674316</v>
          </cell>
          <cell r="M53">
            <v>0.75</v>
          </cell>
          <cell r="N53">
            <v>0.75</v>
          </cell>
          <cell r="O53">
            <v>0.75</v>
          </cell>
          <cell r="P53">
            <v>0.75</v>
          </cell>
          <cell r="Q53">
            <v>0.75</v>
          </cell>
          <cell r="R53">
            <v>0.75</v>
          </cell>
          <cell r="S53">
            <v>0.75</v>
          </cell>
          <cell r="T53">
            <v>0.75</v>
          </cell>
          <cell r="U53">
            <v>0.75</v>
          </cell>
          <cell r="V53">
            <v>0.75</v>
          </cell>
        </row>
        <row r="54">
          <cell r="C54">
            <v>7.6500000953674316</v>
          </cell>
          <cell r="D54">
            <v>7.6500000953674316</v>
          </cell>
          <cell r="E54">
            <v>7.6500000953674316</v>
          </cell>
          <cell r="F54">
            <v>7.6500000953674316</v>
          </cell>
          <cell r="G54">
            <v>7.6500000953674316</v>
          </cell>
          <cell r="H54">
            <v>7.6500000953674316</v>
          </cell>
          <cell r="I54">
            <v>7.6500000953674316</v>
          </cell>
          <cell r="J54">
            <v>7.6500000953674316</v>
          </cell>
          <cell r="K54">
            <v>7.6500000953674316</v>
          </cell>
          <cell r="L54">
            <v>7.6500000953674316</v>
          </cell>
          <cell r="M54">
            <v>0.75</v>
          </cell>
          <cell r="N54">
            <v>0.75</v>
          </cell>
          <cell r="O54">
            <v>0.75</v>
          </cell>
          <cell r="P54">
            <v>0.75</v>
          </cell>
          <cell r="Q54">
            <v>0.75</v>
          </cell>
          <cell r="R54">
            <v>0.75</v>
          </cell>
          <cell r="S54">
            <v>0.75</v>
          </cell>
          <cell r="T54">
            <v>0.75</v>
          </cell>
          <cell r="U54">
            <v>0.75</v>
          </cell>
          <cell r="V54">
            <v>0.75</v>
          </cell>
        </row>
        <row r="55">
          <cell r="C55">
            <v>7.6500000953674316</v>
          </cell>
          <cell r="D55">
            <v>7.6500000953674316</v>
          </cell>
          <cell r="E55">
            <v>7.6500000953674316</v>
          </cell>
          <cell r="F55">
            <v>7.6500000953674316</v>
          </cell>
          <cell r="G55">
            <v>7.6500000953674316</v>
          </cell>
          <cell r="H55">
            <v>7.6500000953674316</v>
          </cell>
          <cell r="I55">
            <v>7.6500000953674316</v>
          </cell>
          <cell r="J55">
            <v>7.6500000953674316</v>
          </cell>
          <cell r="K55">
            <v>7.6500000953674316</v>
          </cell>
          <cell r="L55">
            <v>7.6500000953674316</v>
          </cell>
          <cell r="M55">
            <v>0.75</v>
          </cell>
          <cell r="N55">
            <v>0.75</v>
          </cell>
          <cell r="O55">
            <v>0.75</v>
          </cell>
          <cell r="P55">
            <v>0.75</v>
          </cell>
          <cell r="Q55">
            <v>0.75</v>
          </cell>
          <cell r="R55">
            <v>0.75</v>
          </cell>
          <cell r="S55">
            <v>0.75</v>
          </cell>
          <cell r="T55">
            <v>0.75</v>
          </cell>
          <cell r="U55">
            <v>0.75</v>
          </cell>
          <cell r="V55">
            <v>0.75</v>
          </cell>
        </row>
        <row r="56">
          <cell r="C56">
            <v>7.6500000953674316</v>
          </cell>
          <cell r="D56">
            <v>7.6500000953674316</v>
          </cell>
          <cell r="E56">
            <v>7.6500000953674316</v>
          </cell>
          <cell r="F56">
            <v>7.6500000953674316</v>
          </cell>
          <cell r="G56">
            <v>7.6500000953674316</v>
          </cell>
          <cell r="H56">
            <v>7.6500000953674316</v>
          </cell>
          <cell r="I56">
            <v>7.6500000953674316</v>
          </cell>
          <cell r="J56">
            <v>7.6500000953674316</v>
          </cell>
          <cell r="K56">
            <v>7.6500000953674316</v>
          </cell>
          <cell r="L56">
            <v>7.6500000953674316</v>
          </cell>
          <cell r="M56">
            <v>0.75</v>
          </cell>
          <cell r="N56">
            <v>0.75</v>
          </cell>
          <cell r="O56">
            <v>0.75</v>
          </cell>
          <cell r="P56">
            <v>0.75</v>
          </cell>
          <cell r="Q56">
            <v>0.75</v>
          </cell>
          <cell r="R56">
            <v>0.75</v>
          </cell>
          <cell r="S56">
            <v>0.75</v>
          </cell>
          <cell r="T56">
            <v>0.75</v>
          </cell>
          <cell r="U56">
            <v>0.75</v>
          </cell>
          <cell r="V56">
            <v>0.75</v>
          </cell>
        </row>
        <row r="57">
          <cell r="C57">
            <v>7.6500000953674316</v>
          </cell>
          <cell r="D57">
            <v>7.6500000953674316</v>
          </cell>
          <cell r="E57">
            <v>7.6500000953674316</v>
          </cell>
          <cell r="F57">
            <v>7.6500000953674316</v>
          </cell>
          <cell r="G57">
            <v>7.6500000953674316</v>
          </cell>
          <cell r="H57">
            <v>7.6500000953674316</v>
          </cell>
          <cell r="I57">
            <v>7.6500000953674316</v>
          </cell>
          <cell r="J57">
            <v>7.6500000953674316</v>
          </cell>
          <cell r="K57">
            <v>7.6500000953674316</v>
          </cell>
          <cell r="L57">
            <v>7.6500000953674316</v>
          </cell>
          <cell r="M57">
            <v>0.75</v>
          </cell>
          <cell r="N57">
            <v>0.75</v>
          </cell>
          <cell r="O57">
            <v>0.75</v>
          </cell>
          <cell r="P57">
            <v>0.75</v>
          </cell>
          <cell r="Q57">
            <v>0.75</v>
          </cell>
          <cell r="R57">
            <v>0.75</v>
          </cell>
          <cell r="S57">
            <v>0.75</v>
          </cell>
          <cell r="T57">
            <v>0.75</v>
          </cell>
          <cell r="U57">
            <v>0.75</v>
          </cell>
          <cell r="V57">
            <v>0.75</v>
          </cell>
        </row>
        <row r="58">
          <cell r="C58">
            <v>7.6500000953674316</v>
          </cell>
          <cell r="D58">
            <v>7.6500000953674316</v>
          </cell>
          <cell r="E58">
            <v>7.6500000953674316</v>
          </cell>
          <cell r="F58">
            <v>7.6500000953674316</v>
          </cell>
          <cell r="G58">
            <v>7.6500000953674316</v>
          </cell>
          <cell r="H58">
            <v>7.6500000953674316</v>
          </cell>
          <cell r="I58">
            <v>7.6500000953674316</v>
          </cell>
          <cell r="J58">
            <v>7.6500000953674316</v>
          </cell>
          <cell r="K58">
            <v>7.6500000953674316</v>
          </cell>
          <cell r="L58">
            <v>7.6500000953674316</v>
          </cell>
          <cell r="M58">
            <v>0.75</v>
          </cell>
          <cell r="N58">
            <v>0.75</v>
          </cell>
          <cell r="O58">
            <v>0.75</v>
          </cell>
          <cell r="P58">
            <v>0.75</v>
          </cell>
          <cell r="Q58">
            <v>0.75</v>
          </cell>
          <cell r="R58">
            <v>0.75</v>
          </cell>
          <cell r="S58">
            <v>0.75</v>
          </cell>
          <cell r="T58">
            <v>0.75</v>
          </cell>
          <cell r="U58">
            <v>0.75</v>
          </cell>
          <cell r="V58">
            <v>0.75</v>
          </cell>
        </row>
        <row r="59">
          <cell r="C59">
            <v>7.6500000953674316</v>
          </cell>
          <cell r="D59">
            <v>7.6500000953674316</v>
          </cell>
          <cell r="E59">
            <v>7.6500000953674316</v>
          </cell>
          <cell r="F59">
            <v>7.6500000953674316</v>
          </cell>
          <cell r="G59">
            <v>7.6500000953674316</v>
          </cell>
          <cell r="H59">
            <v>7.6500000953674316</v>
          </cell>
          <cell r="I59">
            <v>7.6500000953674316</v>
          </cell>
          <cell r="J59">
            <v>7.6500000953674316</v>
          </cell>
          <cell r="K59">
            <v>7.6500000953674316</v>
          </cell>
          <cell r="L59">
            <v>7.6500000953674316</v>
          </cell>
          <cell r="M59">
            <v>0.75</v>
          </cell>
          <cell r="N59">
            <v>0.75</v>
          </cell>
          <cell r="O59">
            <v>0.75</v>
          </cell>
          <cell r="P59">
            <v>0.75</v>
          </cell>
          <cell r="Q59">
            <v>0.75</v>
          </cell>
          <cell r="R59">
            <v>0.75</v>
          </cell>
          <cell r="S59">
            <v>0.75</v>
          </cell>
          <cell r="T59">
            <v>0.75</v>
          </cell>
          <cell r="U59">
            <v>0.75</v>
          </cell>
          <cell r="V59">
            <v>0.75</v>
          </cell>
        </row>
        <row r="60">
          <cell r="C60">
            <v>7.6500000953674316</v>
          </cell>
          <cell r="D60">
            <v>7.6500000953674316</v>
          </cell>
          <cell r="E60">
            <v>7.6500000953674316</v>
          </cell>
          <cell r="F60">
            <v>7.6500000953674316</v>
          </cell>
          <cell r="G60">
            <v>7.6500000953674316</v>
          </cell>
          <cell r="H60">
            <v>7.6500000953674316</v>
          </cell>
          <cell r="I60">
            <v>7.6500000953674316</v>
          </cell>
          <cell r="J60">
            <v>7.6500000953674316</v>
          </cell>
          <cell r="K60">
            <v>7.6500000953674316</v>
          </cell>
          <cell r="L60">
            <v>7.6500000953674316</v>
          </cell>
          <cell r="M60">
            <v>0.75</v>
          </cell>
          <cell r="N60">
            <v>0.75</v>
          </cell>
          <cell r="O60">
            <v>0.75</v>
          </cell>
          <cell r="P60">
            <v>0.75</v>
          </cell>
          <cell r="Q60">
            <v>0.75</v>
          </cell>
          <cell r="R60">
            <v>0.75</v>
          </cell>
          <cell r="S60">
            <v>0.75</v>
          </cell>
          <cell r="T60">
            <v>0.75</v>
          </cell>
          <cell r="U60">
            <v>0.75</v>
          </cell>
          <cell r="V60">
            <v>0.75</v>
          </cell>
        </row>
        <row r="61">
          <cell r="C61">
            <v>7.6500000953674316</v>
          </cell>
          <cell r="D61">
            <v>7.6500000953674316</v>
          </cell>
          <cell r="E61">
            <v>7.6500000953674316</v>
          </cell>
          <cell r="F61">
            <v>7.6500000953674316</v>
          </cell>
          <cell r="G61">
            <v>7.6500000953674316</v>
          </cell>
          <cell r="H61">
            <v>7.6500000953674316</v>
          </cell>
          <cell r="I61">
            <v>7.6500000953674316</v>
          </cell>
          <cell r="J61">
            <v>7.6500000953674316</v>
          </cell>
          <cell r="K61">
            <v>7.6500000953674316</v>
          </cell>
          <cell r="L61">
            <v>7.6500000953674316</v>
          </cell>
          <cell r="M61">
            <v>0.75</v>
          </cell>
          <cell r="N61">
            <v>0.75</v>
          </cell>
          <cell r="O61">
            <v>0.75</v>
          </cell>
          <cell r="P61">
            <v>0.75</v>
          </cell>
          <cell r="Q61">
            <v>0.75</v>
          </cell>
          <cell r="R61">
            <v>0.75</v>
          </cell>
          <cell r="S61">
            <v>0.75</v>
          </cell>
          <cell r="T61">
            <v>0.75</v>
          </cell>
          <cell r="U61">
            <v>0.75</v>
          </cell>
          <cell r="V61">
            <v>0.75</v>
          </cell>
        </row>
        <row r="62">
          <cell r="C62">
            <v>7.6500000953674316</v>
          </cell>
          <cell r="D62">
            <v>7.6500000953674316</v>
          </cell>
          <cell r="E62">
            <v>7.6500000953674316</v>
          </cell>
          <cell r="F62">
            <v>7.6500000953674316</v>
          </cell>
          <cell r="G62">
            <v>7.6500000953674316</v>
          </cell>
          <cell r="H62">
            <v>7.6500000953674316</v>
          </cell>
          <cell r="I62">
            <v>7.6500000953674316</v>
          </cell>
          <cell r="J62">
            <v>7.6500000953674316</v>
          </cell>
          <cell r="K62">
            <v>7.6500000953674316</v>
          </cell>
          <cell r="L62">
            <v>7.6500000953674316</v>
          </cell>
          <cell r="M62">
            <v>0.75</v>
          </cell>
          <cell r="N62">
            <v>0.75</v>
          </cell>
          <cell r="O62">
            <v>0.75</v>
          </cell>
          <cell r="P62">
            <v>0.75</v>
          </cell>
          <cell r="Q62">
            <v>0.75</v>
          </cell>
          <cell r="R62">
            <v>0.75</v>
          </cell>
          <cell r="S62">
            <v>0.75</v>
          </cell>
          <cell r="T62">
            <v>0.75</v>
          </cell>
          <cell r="U62">
            <v>0.75</v>
          </cell>
          <cell r="V62">
            <v>0.75</v>
          </cell>
        </row>
        <row r="63">
          <cell r="C63">
            <v>7.6500000953674316</v>
          </cell>
          <cell r="D63">
            <v>7.6500000953674316</v>
          </cell>
          <cell r="E63">
            <v>7.6500000953674316</v>
          </cell>
          <cell r="F63">
            <v>7.6500000953674316</v>
          </cell>
          <cell r="G63">
            <v>7.6500000953674316</v>
          </cell>
          <cell r="H63">
            <v>7.6500000953674316</v>
          </cell>
          <cell r="I63">
            <v>7.6500000953674316</v>
          </cell>
          <cell r="J63">
            <v>7.6500000953674316</v>
          </cell>
          <cell r="K63">
            <v>7.6500000953674316</v>
          </cell>
          <cell r="L63">
            <v>7.6500000953674316</v>
          </cell>
          <cell r="M63">
            <v>0.75</v>
          </cell>
          <cell r="N63">
            <v>0.75</v>
          </cell>
          <cell r="O63">
            <v>0.75</v>
          </cell>
          <cell r="P63">
            <v>0.75</v>
          </cell>
          <cell r="Q63">
            <v>0.75</v>
          </cell>
          <cell r="R63">
            <v>0.75</v>
          </cell>
          <cell r="S63">
            <v>0.75</v>
          </cell>
          <cell r="T63">
            <v>0.75</v>
          </cell>
          <cell r="U63">
            <v>0.75</v>
          </cell>
          <cell r="V63">
            <v>0.75</v>
          </cell>
        </row>
        <row r="64">
          <cell r="C64">
            <v>7.6500000953674316</v>
          </cell>
          <cell r="D64">
            <v>7.6500000953674316</v>
          </cell>
          <cell r="E64">
            <v>7.6500000953674316</v>
          </cell>
          <cell r="F64">
            <v>7.6500000953674316</v>
          </cell>
          <cell r="G64">
            <v>7.6500000953674316</v>
          </cell>
          <cell r="H64">
            <v>7.6500000953674316</v>
          </cell>
          <cell r="I64">
            <v>7.6500000953674316</v>
          </cell>
          <cell r="J64">
            <v>7.6500000953674316</v>
          </cell>
          <cell r="K64">
            <v>7.6500000953674316</v>
          </cell>
          <cell r="L64">
            <v>7.6500000953674316</v>
          </cell>
          <cell r="M64">
            <v>0.75</v>
          </cell>
          <cell r="N64">
            <v>0.75</v>
          </cell>
          <cell r="O64">
            <v>0.75</v>
          </cell>
          <cell r="P64">
            <v>0.75</v>
          </cell>
          <cell r="Q64">
            <v>0.75</v>
          </cell>
          <cell r="R64">
            <v>0.75</v>
          </cell>
          <cell r="S64">
            <v>0.75</v>
          </cell>
          <cell r="T64">
            <v>0.75</v>
          </cell>
          <cell r="U64">
            <v>0.75</v>
          </cell>
          <cell r="V64">
            <v>0.75</v>
          </cell>
        </row>
        <row r="65">
          <cell r="C65">
            <v>7.6500000953674316</v>
          </cell>
          <cell r="D65">
            <v>7.6500000953674316</v>
          </cell>
          <cell r="E65">
            <v>7.6500000953674316</v>
          </cell>
          <cell r="F65">
            <v>7.6500000953674316</v>
          </cell>
          <cell r="G65">
            <v>7.6500000953674316</v>
          </cell>
          <cell r="H65">
            <v>7.6500000953674316</v>
          </cell>
          <cell r="I65">
            <v>7.6500000953674316</v>
          </cell>
          <cell r="J65">
            <v>7.6500000953674316</v>
          </cell>
          <cell r="K65">
            <v>7.6500000953674316</v>
          </cell>
          <cell r="L65">
            <v>7.6500000953674316</v>
          </cell>
          <cell r="M65">
            <v>0.75</v>
          </cell>
          <cell r="N65">
            <v>0.75</v>
          </cell>
          <cell r="O65">
            <v>0.75</v>
          </cell>
          <cell r="P65">
            <v>0.75</v>
          </cell>
          <cell r="Q65">
            <v>0.75</v>
          </cell>
          <cell r="R65">
            <v>0.75</v>
          </cell>
          <cell r="S65">
            <v>0.75</v>
          </cell>
          <cell r="T65">
            <v>0.75</v>
          </cell>
          <cell r="U65">
            <v>0.75</v>
          </cell>
          <cell r="V65">
            <v>0.75</v>
          </cell>
        </row>
        <row r="66">
          <cell r="C66">
            <v>7.6500000953674316</v>
          </cell>
          <cell r="D66">
            <v>7.6500000953674316</v>
          </cell>
          <cell r="E66">
            <v>7.6500000953674316</v>
          </cell>
          <cell r="F66">
            <v>7.6500000953674316</v>
          </cell>
          <cell r="G66">
            <v>7.6500000953674316</v>
          </cell>
          <cell r="H66">
            <v>7.6500000953674316</v>
          </cell>
          <cell r="I66">
            <v>7.6500000953674316</v>
          </cell>
          <cell r="J66">
            <v>7.6500000953674316</v>
          </cell>
          <cell r="K66">
            <v>7.6500000953674316</v>
          </cell>
          <cell r="L66">
            <v>7.6500000953674316</v>
          </cell>
          <cell r="M66">
            <v>0.75</v>
          </cell>
          <cell r="N66">
            <v>0.75</v>
          </cell>
          <cell r="O66">
            <v>0.75</v>
          </cell>
          <cell r="P66">
            <v>0.75</v>
          </cell>
          <cell r="Q66">
            <v>0.75</v>
          </cell>
          <cell r="R66">
            <v>0.75</v>
          </cell>
          <cell r="S66">
            <v>0.75</v>
          </cell>
          <cell r="T66">
            <v>0.75</v>
          </cell>
          <cell r="U66">
            <v>0.75</v>
          </cell>
          <cell r="V66">
            <v>0.75</v>
          </cell>
        </row>
        <row r="67">
          <cell r="C67">
            <v>7.6500000953674316</v>
          </cell>
          <cell r="D67">
            <v>7.6500000953674316</v>
          </cell>
          <cell r="E67">
            <v>7.6500000953674316</v>
          </cell>
          <cell r="F67">
            <v>7.6500000953674316</v>
          </cell>
          <cell r="G67">
            <v>7.6500000953674316</v>
          </cell>
          <cell r="H67">
            <v>7.6500000953674316</v>
          </cell>
          <cell r="I67">
            <v>7.6500000953674316</v>
          </cell>
          <cell r="J67">
            <v>7.6500000953674316</v>
          </cell>
          <cell r="K67">
            <v>7.6500000953674316</v>
          </cell>
          <cell r="L67">
            <v>7.6500000953674316</v>
          </cell>
          <cell r="M67">
            <v>0.75</v>
          </cell>
          <cell r="N67">
            <v>0.75</v>
          </cell>
          <cell r="O67">
            <v>0.75</v>
          </cell>
          <cell r="P67">
            <v>0.75</v>
          </cell>
          <cell r="Q67">
            <v>0.75</v>
          </cell>
          <cell r="R67">
            <v>0.75</v>
          </cell>
          <cell r="S67">
            <v>0.75</v>
          </cell>
          <cell r="T67">
            <v>0.75</v>
          </cell>
          <cell r="U67">
            <v>0.75</v>
          </cell>
          <cell r="V67">
            <v>0.75</v>
          </cell>
        </row>
        <row r="68">
          <cell r="C68">
            <v>7.6500000953674316</v>
          </cell>
          <cell r="D68">
            <v>7.6500000953674316</v>
          </cell>
          <cell r="E68">
            <v>7.6500000953674316</v>
          </cell>
          <cell r="F68">
            <v>7.6500000953674316</v>
          </cell>
          <cell r="G68">
            <v>7.6500000953674316</v>
          </cell>
          <cell r="H68">
            <v>7.6500000953674316</v>
          </cell>
          <cell r="I68">
            <v>7.6500000953674316</v>
          </cell>
          <cell r="J68">
            <v>7.6500000953674316</v>
          </cell>
          <cell r="K68">
            <v>7.6500000953674316</v>
          </cell>
          <cell r="L68">
            <v>7.6500000953674316</v>
          </cell>
          <cell r="M68">
            <v>0.75</v>
          </cell>
          <cell r="N68">
            <v>0.75</v>
          </cell>
          <cell r="O68">
            <v>0.75</v>
          </cell>
          <cell r="P68">
            <v>0.75</v>
          </cell>
          <cell r="Q68">
            <v>0.75</v>
          </cell>
          <cell r="R68">
            <v>0.75</v>
          </cell>
          <cell r="S68">
            <v>0.75</v>
          </cell>
          <cell r="T68">
            <v>0.75</v>
          </cell>
          <cell r="U68">
            <v>0.75</v>
          </cell>
          <cell r="V68">
            <v>0.75</v>
          </cell>
        </row>
        <row r="69">
          <cell r="C69">
            <v>7.6500000953674316</v>
          </cell>
          <cell r="D69">
            <v>7.6500000953674316</v>
          </cell>
          <cell r="E69">
            <v>7.6500000953674316</v>
          </cell>
          <cell r="F69">
            <v>7.6500000953674316</v>
          </cell>
          <cell r="G69">
            <v>7.6500000953674316</v>
          </cell>
          <cell r="H69">
            <v>7.6500000953674316</v>
          </cell>
          <cell r="I69">
            <v>7.6500000953674316</v>
          </cell>
          <cell r="J69">
            <v>7.6500000953674316</v>
          </cell>
          <cell r="K69">
            <v>7.6500000953674316</v>
          </cell>
          <cell r="L69">
            <v>7.6500000953674316</v>
          </cell>
          <cell r="M69">
            <v>0.75</v>
          </cell>
          <cell r="N69">
            <v>0.75</v>
          </cell>
          <cell r="O69">
            <v>0.75</v>
          </cell>
          <cell r="P69">
            <v>0.75</v>
          </cell>
          <cell r="Q69">
            <v>0.75</v>
          </cell>
          <cell r="R69">
            <v>0.75</v>
          </cell>
          <cell r="S69">
            <v>0.75</v>
          </cell>
          <cell r="T69">
            <v>0.75</v>
          </cell>
          <cell r="U69">
            <v>0.75</v>
          </cell>
          <cell r="V69">
            <v>0.75</v>
          </cell>
        </row>
      </sheetData>
      <sheetData sheetId="14">
        <row r="47">
          <cell r="B47">
            <v>7.6500000953674316</v>
          </cell>
          <cell r="C47">
            <v>7.6500000953674316</v>
          </cell>
          <cell r="D47">
            <v>7.6500000953674316</v>
          </cell>
          <cell r="E47">
            <v>7.6500000953674316</v>
          </cell>
          <cell r="F47">
            <v>7.6500000953674316</v>
          </cell>
          <cell r="G47">
            <v>7.6500000953674316</v>
          </cell>
          <cell r="H47">
            <v>7.6500000953674316</v>
          </cell>
          <cell r="I47">
            <v>7.6500000953674316</v>
          </cell>
          <cell r="J47">
            <v>7.6500000953674316</v>
          </cell>
          <cell r="K47">
            <v>7.6500000953674316</v>
          </cell>
          <cell r="L47">
            <v>7.6500000953674316</v>
          </cell>
          <cell r="M47">
            <v>7.6500000953674316</v>
          </cell>
          <cell r="N47">
            <v>7.6500000953674316</v>
          </cell>
          <cell r="O47">
            <v>7.6500000953674316</v>
          </cell>
          <cell r="P47">
            <v>7.6500000953674316</v>
          </cell>
          <cell r="Q47">
            <v>7.6500000953674316</v>
          </cell>
          <cell r="R47">
            <v>7.6500000953674316</v>
          </cell>
          <cell r="S47">
            <v>0.75</v>
          </cell>
          <cell r="T47">
            <v>0.75</v>
          </cell>
          <cell r="U47">
            <v>0.75</v>
          </cell>
          <cell r="V47">
            <v>0.75</v>
          </cell>
          <cell r="W47">
            <v>0.75</v>
          </cell>
          <cell r="X47">
            <v>0.75</v>
          </cell>
          <cell r="Y47">
            <v>0.75</v>
          </cell>
          <cell r="Z47">
            <v>0.75</v>
          </cell>
          <cell r="AA47">
            <v>0.75</v>
          </cell>
          <cell r="AB47">
            <v>0.75</v>
          </cell>
          <cell r="AC47">
            <v>0.75</v>
          </cell>
          <cell r="AD47">
            <v>0.75</v>
          </cell>
          <cell r="AE47">
            <v>0.75</v>
          </cell>
          <cell r="AF47">
            <v>0.75</v>
          </cell>
          <cell r="AG47">
            <v>0.75</v>
          </cell>
          <cell r="AH47">
            <v>0.75</v>
          </cell>
          <cell r="AI47">
            <v>0.75</v>
          </cell>
        </row>
        <row r="48">
          <cell r="B48">
            <v>7.6500000953674316</v>
          </cell>
          <cell r="C48">
            <v>7.6500000953674316</v>
          </cell>
          <cell r="D48">
            <v>7.6500000953674316</v>
          </cell>
          <cell r="E48">
            <v>7.6500000953674316</v>
          </cell>
          <cell r="F48">
            <v>7.6500000953674316</v>
          </cell>
          <cell r="G48">
            <v>7.6500000953674316</v>
          </cell>
          <cell r="H48">
            <v>7.6500000953674316</v>
          </cell>
          <cell r="I48">
            <v>7.6500000953674316</v>
          </cell>
          <cell r="J48">
            <v>7.6500000953674316</v>
          </cell>
          <cell r="K48">
            <v>7.6500000953674316</v>
          </cell>
          <cell r="L48">
            <v>7.6500000953674316</v>
          </cell>
          <cell r="M48">
            <v>7.6500000953674316</v>
          </cell>
          <cell r="N48">
            <v>7.6500000953674316</v>
          </cell>
          <cell r="O48">
            <v>7.6500000953674316</v>
          </cell>
          <cell r="P48">
            <v>7.6500000953674316</v>
          </cell>
          <cell r="Q48">
            <v>7.6500000953674316</v>
          </cell>
          <cell r="R48">
            <v>7.6500000953674316</v>
          </cell>
          <cell r="S48">
            <v>0.75</v>
          </cell>
          <cell r="T48">
            <v>0.75</v>
          </cell>
          <cell r="U48">
            <v>0.75</v>
          </cell>
          <cell r="V48">
            <v>0.75</v>
          </cell>
          <cell r="W48">
            <v>0.75</v>
          </cell>
          <cell r="X48">
            <v>0.75</v>
          </cell>
          <cell r="Y48">
            <v>0.75</v>
          </cell>
          <cell r="Z48">
            <v>0.75</v>
          </cell>
          <cell r="AA48">
            <v>0.75</v>
          </cell>
          <cell r="AB48">
            <v>0.75</v>
          </cell>
          <cell r="AC48">
            <v>0.75</v>
          </cell>
          <cell r="AD48">
            <v>0.75</v>
          </cell>
          <cell r="AE48">
            <v>0.75</v>
          </cell>
          <cell r="AF48">
            <v>0.75</v>
          </cell>
          <cell r="AG48">
            <v>0.75</v>
          </cell>
          <cell r="AH48">
            <v>0.75</v>
          </cell>
          <cell r="AI48">
            <v>0.75</v>
          </cell>
        </row>
        <row r="49">
          <cell r="B49">
            <v>7.6500000953674316</v>
          </cell>
          <cell r="C49">
            <v>7.6500000953674316</v>
          </cell>
          <cell r="D49">
            <v>7.6500000953674316</v>
          </cell>
          <cell r="E49">
            <v>7.6500000953674316</v>
          </cell>
          <cell r="F49">
            <v>7.6500000953674316</v>
          </cell>
          <cell r="G49">
            <v>7.6500000953674316</v>
          </cell>
          <cell r="H49">
            <v>7.6500000953674316</v>
          </cell>
          <cell r="I49">
            <v>7.6500000953674316</v>
          </cell>
          <cell r="J49">
            <v>7.6500000953674316</v>
          </cell>
          <cell r="K49">
            <v>7.6500000953674316</v>
          </cell>
          <cell r="L49">
            <v>7.6500000953674316</v>
          </cell>
          <cell r="M49">
            <v>7.6500000953674316</v>
          </cell>
          <cell r="N49">
            <v>7.6500000953674316</v>
          </cell>
          <cell r="O49">
            <v>7.6500000953674316</v>
          </cell>
          <cell r="P49">
            <v>7.6500000953674316</v>
          </cell>
          <cell r="Q49">
            <v>7.6500000953674316</v>
          </cell>
          <cell r="R49">
            <v>7.6500000953674316</v>
          </cell>
          <cell r="S49">
            <v>0.75</v>
          </cell>
          <cell r="T49">
            <v>0.75</v>
          </cell>
          <cell r="U49">
            <v>0.75</v>
          </cell>
          <cell r="V49">
            <v>0.75</v>
          </cell>
          <cell r="W49">
            <v>0.75</v>
          </cell>
          <cell r="X49">
            <v>0.75</v>
          </cell>
          <cell r="Y49">
            <v>0.75</v>
          </cell>
          <cell r="Z49">
            <v>0.75</v>
          </cell>
          <cell r="AA49">
            <v>0.75</v>
          </cell>
          <cell r="AB49">
            <v>0.75</v>
          </cell>
          <cell r="AC49">
            <v>0.75</v>
          </cell>
          <cell r="AD49">
            <v>0.75</v>
          </cell>
          <cell r="AE49">
            <v>0.75</v>
          </cell>
          <cell r="AF49">
            <v>0.75</v>
          </cell>
          <cell r="AG49">
            <v>0.75</v>
          </cell>
          <cell r="AH49">
            <v>0.75</v>
          </cell>
          <cell r="AI49">
            <v>0.75</v>
          </cell>
        </row>
        <row r="50">
          <cell r="B50">
            <v>7.6500000953674316</v>
          </cell>
          <cell r="C50">
            <v>7.6500000953674316</v>
          </cell>
          <cell r="D50">
            <v>7.6500000953674316</v>
          </cell>
          <cell r="E50">
            <v>7.6500000953674316</v>
          </cell>
          <cell r="F50">
            <v>7.6500000953674316</v>
          </cell>
          <cell r="G50">
            <v>7.6500000953674316</v>
          </cell>
          <cell r="H50">
            <v>7.6500000953674316</v>
          </cell>
          <cell r="I50">
            <v>7.6500000953674316</v>
          </cell>
          <cell r="J50">
            <v>7.6500000953674316</v>
          </cell>
          <cell r="K50">
            <v>7.6500000953674316</v>
          </cell>
          <cell r="L50">
            <v>7.6500000953674316</v>
          </cell>
          <cell r="M50">
            <v>7.6500000953674316</v>
          </cell>
          <cell r="N50">
            <v>7.6500000953674316</v>
          </cell>
          <cell r="O50">
            <v>7.6500000953674316</v>
          </cell>
          <cell r="P50">
            <v>7.6500000953674316</v>
          </cell>
          <cell r="Q50">
            <v>7.6500000953674316</v>
          </cell>
          <cell r="R50">
            <v>7.6500000953674316</v>
          </cell>
          <cell r="S50">
            <v>0.75</v>
          </cell>
          <cell r="T50">
            <v>0.75</v>
          </cell>
          <cell r="U50">
            <v>0.75</v>
          </cell>
          <cell r="V50">
            <v>0.75</v>
          </cell>
          <cell r="W50">
            <v>0.75</v>
          </cell>
          <cell r="X50">
            <v>0.75</v>
          </cell>
          <cell r="Y50">
            <v>0.75</v>
          </cell>
          <cell r="Z50">
            <v>0.75</v>
          </cell>
          <cell r="AA50">
            <v>0.75</v>
          </cell>
          <cell r="AB50">
            <v>0.75</v>
          </cell>
          <cell r="AC50">
            <v>0.75</v>
          </cell>
          <cell r="AD50">
            <v>0.75</v>
          </cell>
          <cell r="AE50">
            <v>0.75</v>
          </cell>
          <cell r="AF50">
            <v>0.75</v>
          </cell>
          <cell r="AG50">
            <v>0.75</v>
          </cell>
          <cell r="AH50">
            <v>0.75</v>
          </cell>
          <cell r="AI50">
            <v>0.75</v>
          </cell>
        </row>
        <row r="51">
          <cell r="B51">
            <v>7.6500000953674316</v>
          </cell>
          <cell r="C51">
            <v>7.6500000953674316</v>
          </cell>
          <cell r="D51">
            <v>7.6500000953674316</v>
          </cell>
          <cell r="E51">
            <v>7.6500000953674316</v>
          </cell>
          <cell r="F51">
            <v>7.6500000953674316</v>
          </cell>
          <cell r="G51">
            <v>7.6500000953674316</v>
          </cell>
          <cell r="H51">
            <v>7.6500000953674316</v>
          </cell>
          <cell r="I51">
            <v>7.6500000953674316</v>
          </cell>
          <cell r="J51">
            <v>7.6500000953674316</v>
          </cell>
          <cell r="K51">
            <v>7.6500000953674316</v>
          </cell>
          <cell r="L51">
            <v>7.6500000953674316</v>
          </cell>
          <cell r="M51">
            <v>7.6500000953674316</v>
          </cell>
          <cell r="N51">
            <v>7.6500000953674316</v>
          </cell>
          <cell r="O51">
            <v>7.6500000953674316</v>
          </cell>
          <cell r="P51">
            <v>7.6500000953674316</v>
          </cell>
          <cell r="Q51">
            <v>7.6500000953674316</v>
          </cell>
          <cell r="R51">
            <v>7.6500000953674316</v>
          </cell>
          <cell r="S51">
            <v>0.75</v>
          </cell>
          <cell r="T51">
            <v>0.75</v>
          </cell>
          <cell r="U51">
            <v>0.75</v>
          </cell>
          <cell r="V51">
            <v>0.75</v>
          </cell>
          <cell r="W51">
            <v>0.75</v>
          </cell>
          <cell r="X51">
            <v>0.75</v>
          </cell>
          <cell r="Y51">
            <v>0.75</v>
          </cell>
          <cell r="Z51">
            <v>0.75</v>
          </cell>
          <cell r="AA51">
            <v>0.75</v>
          </cell>
          <cell r="AB51">
            <v>0.75</v>
          </cell>
          <cell r="AC51">
            <v>0.75</v>
          </cell>
          <cell r="AD51">
            <v>0.75</v>
          </cell>
          <cell r="AE51">
            <v>0.75</v>
          </cell>
          <cell r="AF51">
            <v>0.75</v>
          </cell>
          <cell r="AG51">
            <v>0.75</v>
          </cell>
          <cell r="AH51">
            <v>0.75</v>
          </cell>
          <cell r="AI51">
            <v>0.75</v>
          </cell>
        </row>
        <row r="52">
          <cell r="B52">
            <v>7.6500000953674316</v>
          </cell>
          <cell r="C52">
            <v>7.6500000953674316</v>
          </cell>
          <cell r="D52">
            <v>7.6500000953674316</v>
          </cell>
          <cell r="E52">
            <v>7.6500000953674316</v>
          </cell>
          <cell r="F52">
            <v>7.6500000953674316</v>
          </cell>
          <cell r="G52">
            <v>7.6500000953674316</v>
          </cell>
          <cell r="H52">
            <v>7.6500000953674316</v>
          </cell>
          <cell r="I52">
            <v>7.6500000953674316</v>
          </cell>
          <cell r="J52">
            <v>7.6500000953674316</v>
          </cell>
          <cell r="K52">
            <v>7.6500000953674316</v>
          </cell>
          <cell r="L52">
            <v>7.6500000953674316</v>
          </cell>
          <cell r="M52">
            <v>7.6500000953674316</v>
          </cell>
          <cell r="N52">
            <v>7.6500000953674316</v>
          </cell>
          <cell r="O52">
            <v>7.6500000953674316</v>
          </cell>
          <cell r="P52">
            <v>7.6500000953674316</v>
          </cell>
          <cell r="Q52">
            <v>7.6500000953674316</v>
          </cell>
          <cell r="R52">
            <v>7.6500000953674316</v>
          </cell>
          <cell r="S52">
            <v>0.75</v>
          </cell>
          <cell r="T52">
            <v>0.75</v>
          </cell>
          <cell r="U52">
            <v>0.75</v>
          </cell>
          <cell r="V52">
            <v>0.75</v>
          </cell>
          <cell r="W52">
            <v>0.75</v>
          </cell>
          <cell r="X52">
            <v>0.75</v>
          </cell>
          <cell r="Y52">
            <v>0.75</v>
          </cell>
          <cell r="Z52">
            <v>0.75</v>
          </cell>
          <cell r="AA52">
            <v>0.75</v>
          </cell>
          <cell r="AB52">
            <v>0.75</v>
          </cell>
          <cell r="AC52">
            <v>0.75</v>
          </cell>
          <cell r="AD52">
            <v>0.75</v>
          </cell>
          <cell r="AE52">
            <v>0.75</v>
          </cell>
          <cell r="AF52">
            <v>0.75</v>
          </cell>
          <cell r="AG52">
            <v>0.75</v>
          </cell>
          <cell r="AH52">
            <v>0.75</v>
          </cell>
          <cell r="AI52">
            <v>0.75</v>
          </cell>
        </row>
        <row r="53">
          <cell r="B53">
            <v>7.6500000953674316</v>
          </cell>
          <cell r="C53">
            <v>7.6500000953674316</v>
          </cell>
          <cell r="D53">
            <v>7.6500000953674316</v>
          </cell>
          <cell r="E53">
            <v>7.6500000953674316</v>
          </cell>
          <cell r="F53">
            <v>7.6500000953674316</v>
          </cell>
          <cell r="G53">
            <v>7.6500000953674316</v>
          </cell>
          <cell r="H53">
            <v>7.6500000953674316</v>
          </cell>
          <cell r="I53">
            <v>7.6500000953674316</v>
          </cell>
          <cell r="J53">
            <v>7.6500000953674316</v>
          </cell>
          <cell r="K53">
            <v>7.6500000953674316</v>
          </cell>
          <cell r="L53">
            <v>7.6500000953674316</v>
          </cell>
          <cell r="M53">
            <v>7.6500000953674316</v>
          </cell>
          <cell r="N53">
            <v>7.6500000953674316</v>
          </cell>
          <cell r="O53">
            <v>7.6500000953674316</v>
          </cell>
          <cell r="P53">
            <v>7.6500000953674316</v>
          </cell>
          <cell r="Q53">
            <v>7.6500000953674316</v>
          </cell>
          <cell r="R53">
            <v>7.6500000953674316</v>
          </cell>
          <cell r="S53">
            <v>0.75</v>
          </cell>
          <cell r="T53">
            <v>0.75</v>
          </cell>
          <cell r="U53">
            <v>0.75</v>
          </cell>
          <cell r="V53">
            <v>0.75</v>
          </cell>
          <cell r="W53">
            <v>0.75</v>
          </cell>
          <cell r="X53">
            <v>0.75</v>
          </cell>
          <cell r="Y53">
            <v>0.75</v>
          </cell>
          <cell r="Z53">
            <v>0.75</v>
          </cell>
          <cell r="AA53">
            <v>0.75</v>
          </cell>
          <cell r="AB53">
            <v>0.75</v>
          </cell>
          <cell r="AC53">
            <v>0.75</v>
          </cell>
          <cell r="AD53">
            <v>0.75</v>
          </cell>
          <cell r="AE53">
            <v>0.75</v>
          </cell>
          <cell r="AF53">
            <v>0.75</v>
          </cell>
          <cell r="AG53">
            <v>0.75</v>
          </cell>
          <cell r="AH53">
            <v>0.75</v>
          </cell>
          <cell r="AI53">
            <v>0.75</v>
          </cell>
        </row>
        <row r="54">
          <cell r="B54">
            <v>7.6500000953674316</v>
          </cell>
          <cell r="C54">
            <v>7.6500000953674316</v>
          </cell>
          <cell r="D54">
            <v>7.6500000953674316</v>
          </cell>
          <cell r="E54">
            <v>7.6500000953674316</v>
          </cell>
          <cell r="F54">
            <v>7.6500000953674316</v>
          </cell>
          <cell r="G54">
            <v>7.6500000953674316</v>
          </cell>
          <cell r="H54">
            <v>7.6500000953674316</v>
          </cell>
          <cell r="I54">
            <v>7.6500000953674316</v>
          </cell>
          <cell r="J54">
            <v>7.6500000953674316</v>
          </cell>
          <cell r="K54">
            <v>7.6500000953674316</v>
          </cell>
          <cell r="L54">
            <v>7.6500000953674316</v>
          </cell>
          <cell r="M54">
            <v>7.6500000953674316</v>
          </cell>
          <cell r="N54">
            <v>7.6500000953674316</v>
          </cell>
          <cell r="O54">
            <v>7.6500000953674316</v>
          </cell>
          <cell r="P54">
            <v>7.6500000953674316</v>
          </cell>
          <cell r="Q54">
            <v>7.6500000953674316</v>
          </cell>
          <cell r="R54">
            <v>7.6500000953674316</v>
          </cell>
          <cell r="S54">
            <v>0.75</v>
          </cell>
          <cell r="T54">
            <v>0.75</v>
          </cell>
          <cell r="U54">
            <v>0.75</v>
          </cell>
          <cell r="V54">
            <v>0.75</v>
          </cell>
          <cell r="W54">
            <v>0.75</v>
          </cell>
          <cell r="X54">
            <v>0.75</v>
          </cell>
          <cell r="Y54">
            <v>0.75</v>
          </cell>
          <cell r="Z54">
            <v>0.75</v>
          </cell>
          <cell r="AA54">
            <v>0.75</v>
          </cell>
          <cell r="AB54">
            <v>0.75</v>
          </cell>
          <cell r="AC54">
            <v>0.75</v>
          </cell>
          <cell r="AD54">
            <v>0.75</v>
          </cell>
          <cell r="AE54">
            <v>0.75</v>
          </cell>
          <cell r="AF54">
            <v>0.75</v>
          </cell>
          <cell r="AG54">
            <v>0.75</v>
          </cell>
          <cell r="AH54">
            <v>0.75</v>
          </cell>
          <cell r="AI54">
            <v>0.75</v>
          </cell>
        </row>
        <row r="55">
          <cell r="B55">
            <v>7.6500000953674316</v>
          </cell>
          <cell r="C55">
            <v>7.6500000953674316</v>
          </cell>
          <cell r="D55">
            <v>7.6500000953674316</v>
          </cell>
          <cell r="E55">
            <v>7.6500000953674316</v>
          </cell>
          <cell r="F55">
            <v>7.6500000953674316</v>
          </cell>
          <cell r="G55">
            <v>7.6500000953674316</v>
          </cell>
          <cell r="H55">
            <v>7.6500000953674316</v>
          </cell>
          <cell r="I55">
            <v>7.6500000953674316</v>
          </cell>
          <cell r="J55">
            <v>7.6500000953674316</v>
          </cell>
          <cell r="K55">
            <v>7.6500000953674316</v>
          </cell>
          <cell r="L55">
            <v>7.6500000953674316</v>
          </cell>
          <cell r="M55">
            <v>7.6500000953674316</v>
          </cell>
          <cell r="N55">
            <v>7.6500000953674316</v>
          </cell>
          <cell r="O55">
            <v>7.6500000953674316</v>
          </cell>
          <cell r="P55">
            <v>7.6500000953674316</v>
          </cell>
          <cell r="Q55">
            <v>7.6500000953674316</v>
          </cell>
          <cell r="R55">
            <v>7.6500000953674316</v>
          </cell>
          <cell r="S55">
            <v>0.75</v>
          </cell>
          <cell r="T55">
            <v>0.75</v>
          </cell>
          <cell r="U55">
            <v>0.75</v>
          </cell>
          <cell r="V55">
            <v>0.75</v>
          </cell>
          <cell r="W55">
            <v>0.75</v>
          </cell>
          <cell r="X55">
            <v>0.75</v>
          </cell>
          <cell r="Y55">
            <v>0.75</v>
          </cell>
          <cell r="Z55">
            <v>0.75</v>
          </cell>
          <cell r="AA55">
            <v>0.75</v>
          </cell>
          <cell r="AB55">
            <v>0.75</v>
          </cell>
          <cell r="AC55">
            <v>0.75</v>
          </cell>
          <cell r="AD55">
            <v>0.75</v>
          </cell>
          <cell r="AE55">
            <v>0.75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</row>
        <row r="56">
          <cell r="B56">
            <v>7.6500000953674316</v>
          </cell>
          <cell r="C56">
            <v>7.6500000953674316</v>
          </cell>
          <cell r="D56">
            <v>7.6500000953674316</v>
          </cell>
          <cell r="E56">
            <v>7.6500000953674316</v>
          </cell>
          <cell r="F56">
            <v>7.6500000953674316</v>
          </cell>
          <cell r="G56">
            <v>7.6500000953674316</v>
          </cell>
          <cell r="H56">
            <v>7.6500000953674316</v>
          </cell>
          <cell r="I56">
            <v>7.6500000953674316</v>
          </cell>
          <cell r="J56">
            <v>7.6500000953674316</v>
          </cell>
          <cell r="K56">
            <v>7.6500000953674316</v>
          </cell>
          <cell r="L56">
            <v>7.6500000953674316</v>
          </cell>
          <cell r="M56">
            <v>7.6500000953674316</v>
          </cell>
          <cell r="N56">
            <v>7.6500000953674316</v>
          </cell>
          <cell r="O56">
            <v>7.6500000953674316</v>
          </cell>
          <cell r="P56">
            <v>7.6500000953674316</v>
          </cell>
          <cell r="Q56">
            <v>7.6500000953674316</v>
          </cell>
          <cell r="R56">
            <v>7.6500000953674316</v>
          </cell>
          <cell r="S56">
            <v>0.75</v>
          </cell>
          <cell r="T56">
            <v>0.75</v>
          </cell>
          <cell r="U56">
            <v>0.75</v>
          </cell>
          <cell r="V56">
            <v>0.75</v>
          </cell>
          <cell r="W56">
            <v>0.75</v>
          </cell>
          <cell r="X56">
            <v>0.75</v>
          </cell>
          <cell r="Y56">
            <v>0.75</v>
          </cell>
          <cell r="Z56">
            <v>0.75</v>
          </cell>
          <cell r="AA56">
            <v>0.75</v>
          </cell>
          <cell r="AB56">
            <v>0.75</v>
          </cell>
          <cell r="AC56">
            <v>0.75</v>
          </cell>
          <cell r="AD56">
            <v>0.75</v>
          </cell>
          <cell r="AE56">
            <v>0.75</v>
          </cell>
          <cell r="AF56">
            <v>0.75</v>
          </cell>
          <cell r="AG56">
            <v>0.75</v>
          </cell>
          <cell r="AH56">
            <v>0.75</v>
          </cell>
          <cell r="AI56">
            <v>0.75</v>
          </cell>
        </row>
        <row r="57">
          <cell r="B57">
            <v>7.6500000953674316</v>
          </cell>
          <cell r="C57">
            <v>7.6500000953674316</v>
          </cell>
          <cell r="D57">
            <v>7.6500000953674316</v>
          </cell>
          <cell r="E57">
            <v>7.6500000953674316</v>
          </cell>
          <cell r="F57">
            <v>7.6500000953674316</v>
          </cell>
          <cell r="G57">
            <v>7.6500000953674316</v>
          </cell>
          <cell r="H57">
            <v>7.6500000953674316</v>
          </cell>
          <cell r="I57">
            <v>7.6500000953674316</v>
          </cell>
          <cell r="J57">
            <v>7.6500000953674316</v>
          </cell>
          <cell r="K57">
            <v>7.6500000953674316</v>
          </cell>
          <cell r="L57">
            <v>7.6500000953674316</v>
          </cell>
          <cell r="M57">
            <v>7.6500000953674316</v>
          </cell>
          <cell r="N57">
            <v>7.6500000953674316</v>
          </cell>
          <cell r="O57">
            <v>7.6500000953674316</v>
          </cell>
          <cell r="P57">
            <v>7.6500000953674316</v>
          </cell>
          <cell r="Q57">
            <v>7.6500000953674316</v>
          </cell>
          <cell r="R57">
            <v>7.6500000953674316</v>
          </cell>
          <cell r="S57">
            <v>0.75</v>
          </cell>
          <cell r="T57">
            <v>0.75</v>
          </cell>
          <cell r="U57">
            <v>0.75</v>
          </cell>
          <cell r="V57">
            <v>0.75</v>
          </cell>
          <cell r="W57">
            <v>0.75</v>
          </cell>
          <cell r="X57">
            <v>0.75</v>
          </cell>
          <cell r="Y57">
            <v>0.75</v>
          </cell>
          <cell r="Z57">
            <v>0.75</v>
          </cell>
          <cell r="AA57">
            <v>0.75</v>
          </cell>
          <cell r="AB57">
            <v>0.75</v>
          </cell>
          <cell r="AC57">
            <v>0.75</v>
          </cell>
          <cell r="AD57">
            <v>0.75</v>
          </cell>
          <cell r="AE57">
            <v>0.75</v>
          </cell>
          <cell r="AF57">
            <v>0.75</v>
          </cell>
          <cell r="AG57">
            <v>0.75</v>
          </cell>
          <cell r="AH57">
            <v>0.75</v>
          </cell>
          <cell r="AI57">
            <v>0.75</v>
          </cell>
        </row>
        <row r="58">
          <cell r="B58">
            <v>7.6500000953674316</v>
          </cell>
          <cell r="C58">
            <v>7.6500000953674316</v>
          </cell>
          <cell r="D58">
            <v>7.6500000953674316</v>
          </cell>
          <cell r="E58">
            <v>7.6500000953674316</v>
          </cell>
          <cell r="F58">
            <v>7.6500000953674316</v>
          </cell>
          <cell r="G58">
            <v>7.6500000953674316</v>
          </cell>
          <cell r="H58">
            <v>7.6500000953674316</v>
          </cell>
          <cell r="I58">
            <v>7.6500000953674316</v>
          </cell>
          <cell r="J58">
            <v>7.6500000953674316</v>
          </cell>
          <cell r="K58">
            <v>7.6500000953674316</v>
          </cell>
          <cell r="L58">
            <v>7.6500000953674316</v>
          </cell>
          <cell r="M58">
            <v>7.6500000953674316</v>
          </cell>
          <cell r="N58">
            <v>7.6500000953674316</v>
          </cell>
          <cell r="O58">
            <v>7.6500000953674316</v>
          </cell>
          <cell r="P58">
            <v>7.6500000953674316</v>
          </cell>
          <cell r="Q58">
            <v>7.6500000953674316</v>
          </cell>
          <cell r="R58">
            <v>7.6500000953674316</v>
          </cell>
          <cell r="S58">
            <v>0.75</v>
          </cell>
          <cell r="T58">
            <v>0.75</v>
          </cell>
          <cell r="U58">
            <v>0.75</v>
          </cell>
          <cell r="V58">
            <v>0.75</v>
          </cell>
          <cell r="W58">
            <v>0.75</v>
          </cell>
          <cell r="X58">
            <v>0.75</v>
          </cell>
          <cell r="Y58">
            <v>0.75</v>
          </cell>
          <cell r="Z58">
            <v>0.75</v>
          </cell>
          <cell r="AA58">
            <v>0.75</v>
          </cell>
          <cell r="AB58">
            <v>0.75</v>
          </cell>
          <cell r="AC58">
            <v>0.75</v>
          </cell>
          <cell r="AD58">
            <v>0.75</v>
          </cell>
          <cell r="AE58">
            <v>0.75</v>
          </cell>
          <cell r="AF58">
            <v>0.75</v>
          </cell>
          <cell r="AG58">
            <v>0.75</v>
          </cell>
          <cell r="AH58">
            <v>0.75</v>
          </cell>
          <cell r="AI58">
            <v>0.75</v>
          </cell>
        </row>
        <row r="59">
          <cell r="B59">
            <v>7.6500000953674316</v>
          </cell>
          <cell r="C59">
            <v>7.6500000953674316</v>
          </cell>
          <cell r="D59">
            <v>7.6500000953674316</v>
          </cell>
          <cell r="E59">
            <v>7.6500000953674316</v>
          </cell>
          <cell r="F59">
            <v>7.6500000953674316</v>
          </cell>
          <cell r="G59">
            <v>7.6500000953674316</v>
          </cell>
          <cell r="H59">
            <v>7.6500000953674316</v>
          </cell>
          <cell r="I59">
            <v>7.6500000953674316</v>
          </cell>
          <cell r="J59">
            <v>7.6500000953674316</v>
          </cell>
          <cell r="K59">
            <v>7.6500000953674316</v>
          </cell>
          <cell r="L59">
            <v>7.6500000953674316</v>
          </cell>
          <cell r="M59">
            <v>7.6500000953674316</v>
          </cell>
          <cell r="N59">
            <v>7.6500000953674316</v>
          </cell>
          <cell r="O59">
            <v>7.6500000953674316</v>
          </cell>
          <cell r="P59">
            <v>7.6500000953674316</v>
          </cell>
          <cell r="Q59">
            <v>7.6500000953674316</v>
          </cell>
          <cell r="R59">
            <v>7.6500000953674316</v>
          </cell>
          <cell r="S59">
            <v>0.75</v>
          </cell>
          <cell r="T59">
            <v>0.75</v>
          </cell>
          <cell r="U59">
            <v>0.75</v>
          </cell>
          <cell r="V59">
            <v>0.75</v>
          </cell>
          <cell r="W59">
            <v>0.75</v>
          </cell>
          <cell r="X59">
            <v>0.75</v>
          </cell>
          <cell r="Y59">
            <v>0.75</v>
          </cell>
          <cell r="Z59">
            <v>0.75</v>
          </cell>
          <cell r="AA59">
            <v>0.75</v>
          </cell>
          <cell r="AB59">
            <v>0.75</v>
          </cell>
          <cell r="AC59">
            <v>0.75</v>
          </cell>
          <cell r="AD59">
            <v>0.75</v>
          </cell>
          <cell r="AE59">
            <v>0.75</v>
          </cell>
          <cell r="AF59">
            <v>0.75</v>
          </cell>
          <cell r="AG59">
            <v>0.75</v>
          </cell>
          <cell r="AH59">
            <v>0.75</v>
          </cell>
          <cell r="AI59">
            <v>0.75</v>
          </cell>
        </row>
        <row r="60">
          <cell r="B60">
            <v>7.6500000953674316</v>
          </cell>
          <cell r="C60">
            <v>7.6500000953674316</v>
          </cell>
          <cell r="D60">
            <v>7.6500000953674316</v>
          </cell>
          <cell r="E60">
            <v>7.6500000953674316</v>
          </cell>
          <cell r="F60">
            <v>7.6500000953674316</v>
          </cell>
          <cell r="G60">
            <v>7.6500000953674316</v>
          </cell>
          <cell r="H60">
            <v>7.6500000953674316</v>
          </cell>
          <cell r="I60">
            <v>7.6500000953674316</v>
          </cell>
          <cell r="J60">
            <v>7.6500000953674316</v>
          </cell>
          <cell r="K60">
            <v>7.6500000953674316</v>
          </cell>
          <cell r="L60">
            <v>7.6500000953674316</v>
          </cell>
          <cell r="M60">
            <v>7.6500000953674316</v>
          </cell>
          <cell r="N60">
            <v>7.6500000953674316</v>
          </cell>
          <cell r="O60">
            <v>7.6500000953674316</v>
          </cell>
          <cell r="P60">
            <v>7.6500000953674316</v>
          </cell>
          <cell r="Q60">
            <v>7.6500000953674316</v>
          </cell>
          <cell r="R60">
            <v>7.6500000953674316</v>
          </cell>
          <cell r="S60">
            <v>0.75</v>
          </cell>
          <cell r="T60">
            <v>0.75</v>
          </cell>
          <cell r="U60">
            <v>0.75</v>
          </cell>
          <cell r="V60">
            <v>0.75</v>
          </cell>
          <cell r="W60">
            <v>0.75</v>
          </cell>
          <cell r="X60">
            <v>0.75</v>
          </cell>
          <cell r="Y60">
            <v>0.75</v>
          </cell>
          <cell r="Z60">
            <v>0.75</v>
          </cell>
          <cell r="AA60">
            <v>0.75</v>
          </cell>
          <cell r="AB60">
            <v>0.75</v>
          </cell>
          <cell r="AC60">
            <v>0.75</v>
          </cell>
          <cell r="AD60">
            <v>0.75</v>
          </cell>
          <cell r="AE60">
            <v>0.75</v>
          </cell>
          <cell r="AF60">
            <v>0.75</v>
          </cell>
          <cell r="AG60">
            <v>0.75</v>
          </cell>
          <cell r="AH60">
            <v>0.75</v>
          </cell>
          <cell r="AI60">
            <v>0.75</v>
          </cell>
        </row>
        <row r="61">
          <cell r="B61">
            <v>7.6500000953674316</v>
          </cell>
          <cell r="C61">
            <v>7.6500000953674316</v>
          </cell>
          <cell r="D61">
            <v>7.6500000953674316</v>
          </cell>
          <cell r="E61">
            <v>7.6500000953674316</v>
          </cell>
          <cell r="F61">
            <v>7.6500000953674316</v>
          </cell>
          <cell r="G61">
            <v>7.6500000953674316</v>
          </cell>
          <cell r="H61">
            <v>7.6500000953674316</v>
          </cell>
          <cell r="I61">
            <v>7.6500000953674316</v>
          </cell>
          <cell r="J61">
            <v>7.6500000953674316</v>
          </cell>
          <cell r="K61">
            <v>7.6500000953674316</v>
          </cell>
          <cell r="L61">
            <v>7.6500000953674316</v>
          </cell>
          <cell r="M61">
            <v>7.6500000953674316</v>
          </cell>
          <cell r="N61">
            <v>7.6500000953674316</v>
          </cell>
          <cell r="O61">
            <v>7.6500000953674316</v>
          </cell>
          <cell r="P61">
            <v>7.6500000953674316</v>
          </cell>
          <cell r="Q61">
            <v>7.6500000953674316</v>
          </cell>
          <cell r="R61">
            <v>7.6500000953674316</v>
          </cell>
          <cell r="S61">
            <v>0.75</v>
          </cell>
          <cell r="T61">
            <v>0.75</v>
          </cell>
          <cell r="U61">
            <v>0.75</v>
          </cell>
          <cell r="V61">
            <v>0.75</v>
          </cell>
          <cell r="W61">
            <v>0.75</v>
          </cell>
          <cell r="X61">
            <v>0.75</v>
          </cell>
          <cell r="Y61">
            <v>0.75</v>
          </cell>
          <cell r="Z61">
            <v>0.75</v>
          </cell>
          <cell r="AA61">
            <v>0.75</v>
          </cell>
          <cell r="AB61">
            <v>0.75</v>
          </cell>
          <cell r="AC61">
            <v>0.75</v>
          </cell>
          <cell r="AD61">
            <v>0.75</v>
          </cell>
          <cell r="AE61">
            <v>0.75</v>
          </cell>
          <cell r="AF61">
            <v>0.75</v>
          </cell>
          <cell r="AG61">
            <v>0.75</v>
          </cell>
          <cell r="AH61">
            <v>0.75</v>
          </cell>
          <cell r="AI61">
            <v>0.75</v>
          </cell>
        </row>
        <row r="62">
          <cell r="B62">
            <v>7.6500000953674316</v>
          </cell>
          <cell r="C62">
            <v>7.6500000953674316</v>
          </cell>
          <cell r="D62">
            <v>7.6500000953674316</v>
          </cell>
          <cell r="E62">
            <v>7.6500000953674316</v>
          </cell>
          <cell r="F62">
            <v>7.6500000953674316</v>
          </cell>
          <cell r="G62">
            <v>7.6500000953674316</v>
          </cell>
          <cell r="H62">
            <v>7.6500000953674316</v>
          </cell>
          <cell r="I62">
            <v>7.6500000953674316</v>
          </cell>
          <cell r="J62">
            <v>7.6500000953674316</v>
          </cell>
          <cell r="K62">
            <v>7.6500000953674316</v>
          </cell>
          <cell r="L62">
            <v>7.6500000953674316</v>
          </cell>
          <cell r="M62">
            <v>7.6500000953674316</v>
          </cell>
          <cell r="N62">
            <v>7.6500000953674316</v>
          </cell>
          <cell r="O62">
            <v>7.6500000953674316</v>
          </cell>
          <cell r="P62">
            <v>7.6500000953674316</v>
          </cell>
          <cell r="Q62">
            <v>7.6500000953674316</v>
          </cell>
          <cell r="R62">
            <v>7.6500000953674316</v>
          </cell>
          <cell r="S62">
            <v>0.75</v>
          </cell>
          <cell r="T62">
            <v>0.75</v>
          </cell>
          <cell r="U62">
            <v>0.75</v>
          </cell>
          <cell r="V62">
            <v>0.75</v>
          </cell>
          <cell r="W62">
            <v>0.75</v>
          </cell>
          <cell r="X62">
            <v>0.75</v>
          </cell>
          <cell r="Y62">
            <v>0.75</v>
          </cell>
          <cell r="Z62">
            <v>0.75</v>
          </cell>
          <cell r="AA62">
            <v>0.75</v>
          </cell>
          <cell r="AB62">
            <v>0.75</v>
          </cell>
          <cell r="AC62">
            <v>0.75</v>
          </cell>
          <cell r="AD62">
            <v>0.75</v>
          </cell>
          <cell r="AE62">
            <v>0.75</v>
          </cell>
          <cell r="AF62">
            <v>0.75</v>
          </cell>
          <cell r="AG62">
            <v>0.75</v>
          </cell>
          <cell r="AH62">
            <v>0.75</v>
          </cell>
          <cell r="AI62">
            <v>0.75</v>
          </cell>
        </row>
        <row r="63">
          <cell r="B63">
            <v>7.6500000953674316</v>
          </cell>
          <cell r="C63">
            <v>7.6500000953674316</v>
          </cell>
          <cell r="D63">
            <v>7.6500000953674316</v>
          </cell>
          <cell r="E63">
            <v>7.6500000953674316</v>
          </cell>
          <cell r="F63">
            <v>7.6500000953674316</v>
          </cell>
          <cell r="G63">
            <v>7.6500000953674316</v>
          </cell>
          <cell r="H63">
            <v>7.6500000953674316</v>
          </cell>
          <cell r="I63">
            <v>7.6500000953674316</v>
          </cell>
          <cell r="J63">
            <v>7.6500000953674316</v>
          </cell>
          <cell r="K63">
            <v>7.6500000953674316</v>
          </cell>
          <cell r="L63">
            <v>7.6500000953674316</v>
          </cell>
          <cell r="M63">
            <v>7.6500000953674316</v>
          </cell>
          <cell r="N63">
            <v>7.6500000953674316</v>
          </cell>
          <cell r="O63">
            <v>7.6500000953674316</v>
          </cell>
          <cell r="P63">
            <v>7.6500000953674316</v>
          </cell>
          <cell r="Q63">
            <v>7.6500000953674316</v>
          </cell>
          <cell r="R63">
            <v>7.6500000953674316</v>
          </cell>
          <cell r="S63">
            <v>0.75</v>
          </cell>
          <cell r="T63">
            <v>0.75</v>
          </cell>
          <cell r="U63">
            <v>0.75</v>
          </cell>
          <cell r="V63">
            <v>0.75</v>
          </cell>
          <cell r="W63">
            <v>0.75</v>
          </cell>
          <cell r="X63">
            <v>0.75</v>
          </cell>
          <cell r="Y63">
            <v>0.75</v>
          </cell>
          <cell r="Z63">
            <v>0.75</v>
          </cell>
          <cell r="AA63">
            <v>0.75</v>
          </cell>
          <cell r="AB63">
            <v>0.75</v>
          </cell>
          <cell r="AC63">
            <v>0.75</v>
          </cell>
          <cell r="AD63">
            <v>0.75</v>
          </cell>
          <cell r="AE63">
            <v>0.75</v>
          </cell>
          <cell r="AF63">
            <v>0.75</v>
          </cell>
          <cell r="AG63">
            <v>0.75</v>
          </cell>
          <cell r="AH63">
            <v>0.75</v>
          </cell>
          <cell r="AI63">
            <v>0.75</v>
          </cell>
        </row>
        <row r="64">
          <cell r="B64">
            <v>7.6500000953674316</v>
          </cell>
          <cell r="C64">
            <v>7.6500000953674316</v>
          </cell>
          <cell r="D64">
            <v>7.6500000953674316</v>
          </cell>
          <cell r="E64">
            <v>7.6500000953674316</v>
          </cell>
          <cell r="F64">
            <v>7.6500000953674316</v>
          </cell>
          <cell r="G64">
            <v>7.6500000953674316</v>
          </cell>
          <cell r="H64">
            <v>7.6500000953674316</v>
          </cell>
          <cell r="I64">
            <v>7.6500000953674316</v>
          </cell>
          <cell r="J64">
            <v>7.6500000953674316</v>
          </cell>
          <cell r="K64">
            <v>7.6500000953674316</v>
          </cell>
          <cell r="L64">
            <v>7.6500000953674316</v>
          </cell>
          <cell r="M64">
            <v>7.6500000953674316</v>
          </cell>
          <cell r="N64">
            <v>7.6500000953674316</v>
          </cell>
          <cell r="O64">
            <v>7.6500000953674316</v>
          </cell>
          <cell r="P64">
            <v>7.6500000953674316</v>
          </cell>
          <cell r="Q64">
            <v>7.6500000953674316</v>
          </cell>
          <cell r="R64">
            <v>7.6500000953674316</v>
          </cell>
          <cell r="S64">
            <v>0.75</v>
          </cell>
          <cell r="T64">
            <v>0.75</v>
          </cell>
          <cell r="U64">
            <v>0.75</v>
          </cell>
          <cell r="V64">
            <v>0.75</v>
          </cell>
          <cell r="W64">
            <v>0.75</v>
          </cell>
          <cell r="X64">
            <v>0.75</v>
          </cell>
          <cell r="Y64">
            <v>0.75</v>
          </cell>
          <cell r="Z64">
            <v>0.75</v>
          </cell>
          <cell r="AA64">
            <v>0.75</v>
          </cell>
          <cell r="AB64">
            <v>0.75</v>
          </cell>
          <cell r="AC64">
            <v>0.75</v>
          </cell>
          <cell r="AD64">
            <v>0.75</v>
          </cell>
          <cell r="AE64">
            <v>0.75</v>
          </cell>
          <cell r="AF64">
            <v>0.75</v>
          </cell>
          <cell r="AG64">
            <v>0.75</v>
          </cell>
          <cell r="AH64">
            <v>0.75</v>
          </cell>
          <cell r="AI64">
            <v>0.75</v>
          </cell>
        </row>
        <row r="65">
          <cell r="B65">
            <v>7.6500000953674316</v>
          </cell>
          <cell r="C65">
            <v>7.6500000953674316</v>
          </cell>
          <cell r="D65">
            <v>7.6500000953674316</v>
          </cell>
          <cell r="E65">
            <v>7.6500000953674316</v>
          </cell>
          <cell r="F65">
            <v>7.6500000953674316</v>
          </cell>
          <cell r="G65">
            <v>7.6500000953674316</v>
          </cell>
          <cell r="H65">
            <v>7.6500000953674316</v>
          </cell>
          <cell r="I65">
            <v>7.6500000953674316</v>
          </cell>
          <cell r="J65">
            <v>7.6500000953674316</v>
          </cell>
          <cell r="K65">
            <v>7.6500000953674316</v>
          </cell>
          <cell r="L65">
            <v>7.6500000953674316</v>
          </cell>
          <cell r="M65">
            <v>7.6500000953674316</v>
          </cell>
          <cell r="N65">
            <v>7.6500000953674316</v>
          </cell>
          <cell r="O65">
            <v>7.6500000953674316</v>
          </cell>
          <cell r="P65">
            <v>7.6500000953674316</v>
          </cell>
          <cell r="Q65">
            <v>7.6500000953674316</v>
          </cell>
          <cell r="R65">
            <v>7.6500000953674316</v>
          </cell>
          <cell r="S65">
            <v>0.75</v>
          </cell>
          <cell r="T65">
            <v>0.75</v>
          </cell>
          <cell r="U65">
            <v>0.75</v>
          </cell>
          <cell r="V65">
            <v>0.75</v>
          </cell>
          <cell r="W65">
            <v>0.75</v>
          </cell>
          <cell r="X65">
            <v>0.75</v>
          </cell>
          <cell r="Y65">
            <v>0.75</v>
          </cell>
          <cell r="Z65">
            <v>0.75</v>
          </cell>
          <cell r="AA65">
            <v>0.75</v>
          </cell>
          <cell r="AB65">
            <v>0.75</v>
          </cell>
          <cell r="AC65">
            <v>0.75</v>
          </cell>
          <cell r="AD65">
            <v>0.75</v>
          </cell>
          <cell r="AE65">
            <v>0.75</v>
          </cell>
          <cell r="AF65">
            <v>0.75</v>
          </cell>
          <cell r="AG65">
            <v>0.75</v>
          </cell>
          <cell r="AH65">
            <v>0.75</v>
          </cell>
          <cell r="AI65">
            <v>0.75</v>
          </cell>
        </row>
        <row r="66">
          <cell r="B66">
            <v>7.6500000953674316</v>
          </cell>
          <cell r="C66">
            <v>7.6500000953674316</v>
          </cell>
          <cell r="D66">
            <v>7.6500000953674316</v>
          </cell>
          <cell r="E66">
            <v>7.6500000953674316</v>
          </cell>
          <cell r="F66">
            <v>7.6500000953674316</v>
          </cell>
          <cell r="G66">
            <v>7.6500000953674316</v>
          </cell>
          <cell r="H66">
            <v>7.6500000953674316</v>
          </cell>
          <cell r="I66">
            <v>7.6500000953674316</v>
          </cell>
          <cell r="J66">
            <v>7.6500000953674316</v>
          </cell>
          <cell r="K66">
            <v>7.6500000953674316</v>
          </cell>
          <cell r="L66">
            <v>7.6500000953674316</v>
          </cell>
          <cell r="M66">
            <v>7.6500000953674316</v>
          </cell>
          <cell r="N66">
            <v>7.6500000953674316</v>
          </cell>
          <cell r="O66">
            <v>7.6500000953674316</v>
          </cell>
          <cell r="P66">
            <v>7.6500000953674316</v>
          </cell>
          <cell r="Q66">
            <v>7.6500000953674316</v>
          </cell>
          <cell r="R66">
            <v>7.6500000953674316</v>
          </cell>
          <cell r="S66">
            <v>0.75</v>
          </cell>
          <cell r="T66">
            <v>0.75</v>
          </cell>
          <cell r="U66">
            <v>0.75</v>
          </cell>
          <cell r="V66">
            <v>0.75</v>
          </cell>
          <cell r="W66">
            <v>0.75</v>
          </cell>
          <cell r="X66">
            <v>0.75</v>
          </cell>
          <cell r="Y66">
            <v>0.75</v>
          </cell>
          <cell r="Z66">
            <v>0.75</v>
          </cell>
          <cell r="AA66">
            <v>0.75</v>
          </cell>
          <cell r="AB66">
            <v>0.75</v>
          </cell>
          <cell r="AC66">
            <v>0.75</v>
          </cell>
          <cell r="AD66">
            <v>0.75</v>
          </cell>
          <cell r="AE66">
            <v>0.75</v>
          </cell>
          <cell r="AF66">
            <v>0.75</v>
          </cell>
          <cell r="AG66">
            <v>0.75</v>
          </cell>
          <cell r="AH66">
            <v>0.75</v>
          </cell>
          <cell r="AI66">
            <v>0.75</v>
          </cell>
        </row>
        <row r="67">
          <cell r="B67">
            <v>7.6500000953674316</v>
          </cell>
          <cell r="C67">
            <v>7.6500000953674316</v>
          </cell>
          <cell r="D67">
            <v>7.6500000953674316</v>
          </cell>
          <cell r="E67">
            <v>7.6500000953674316</v>
          </cell>
          <cell r="F67">
            <v>7.6500000953674316</v>
          </cell>
          <cell r="G67">
            <v>7.6500000953674316</v>
          </cell>
          <cell r="H67">
            <v>7.6500000953674316</v>
          </cell>
          <cell r="I67">
            <v>7.6500000953674316</v>
          </cell>
          <cell r="J67">
            <v>7.6500000953674316</v>
          </cell>
          <cell r="K67">
            <v>7.6500000953674316</v>
          </cell>
          <cell r="L67">
            <v>7.6500000953674316</v>
          </cell>
          <cell r="M67">
            <v>7.6500000953674316</v>
          </cell>
          <cell r="N67">
            <v>7.6500000953674316</v>
          </cell>
          <cell r="O67">
            <v>7.6500000953674316</v>
          </cell>
          <cell r="P67">
            <v>7.6500000953674316</v>
          </cell>
          <cell r="Q67">
            <v>7.6500000953674316</v>
          </cell>
          <cell r="R67">
            <v>7.6500000953674316</v>
          </cell>
          <cell r="S67">
            <v>0.75</v>
          </cell>
          <cell r="T67">
            <v>0.75</v>
          </cell>
          <cell r="U67">
            <v>0.75</v>
          </cell>
          <cell r="V67">
            <v>0.75</v>
          </cell>
          <cell r="W67">
            <v>0.75</v>
          </cell>
          <cell r="X67">
            <v>0.75</v>
          </cell>
          <cell r="Y67">
            <v>0.75</v>
          </cell>
          <cell r="Z67">
            <v>0.75</v>
          </cell>
          <cell r="AA67">
            <v>0.75</v>
          </cell>
          <cell r="AB67">
            <v>0.75</v>
          </cell>
          <cell r="AC67">
            <v>0.75</v>
          </cell>
          <cell r="AD67">
            <v>0.75</v>
          </cell>
          <cell r="AE67">
            <v>0.75</v>
          </cell>
          <cell r="AF67">
            <v>0.75</v>
          </cell>
          <cell r="AG67">
            <v>0.75</v>
          </cell>
          <cell r="AH67">
            <v>0.75</v>
          </cell>
          <cell r="AI67">
            <v>0.75</v>
          </cell>
        </row>
        <row r="68">
          <cell r="B68">
            <v>7.6500000953674316</v>
          </cell>
          <cell r="C68">
            <v>7.6500000953674316</v>
          </cell>
          <cell r="D68">
            <v>7.6500000953674316</v>
          </cell>
          <cell r="E68">
            <v>7.6500000953674316</v>
          </cell>
          <cell r="F68">
            <v>7.6500000953674316</v>
          </cell>
          <cell r="G68">
            <v>7.6500000953674316</v>
          </cell>
          <cell r="H68">
            <v>7.6500000953674316</v>
          </cell>
          <cell r="I68">
            <v>7.6500000953674316</v>
          </cell>
          <cell r="J68">
            <v>7.6500000953674316</v>
          </cell>
          <cell r="K68">
            <v>7.6500000953674316</v>
          </cell>
          <cell r="L68">
            <v>7.6500000953674316</v>
          </cell>
          <cell r="M68">
            <v>7.6500000953674316</v>
          </cell>
          <cell r="N68">
            <v>7.6500000953674316</v>
          </cell>
          <cell r="O68">
            <v>7.6500000953674316</v>
          </cell>
          <cell r="P68">
            <v>7.6500000953674316</v>
          </cell>
          <cell r="Q68">
            <v>7.6500000953674316</v>
          </cell>
          <cell r="R68">
            <v>7.6500000953674316</v>
          </cell>
          <cell r="S68">
            <v>0.75</v>
          </cell>
          <cell r="T68">
            <v>0.75</v>
          </cell>
          <cell r="U68">
            <v>0.75</v>
          </cell>
          <cell r="V68">
            <v>0.75</v>
          </cell>
          <cell r="W68">
            <v>0.75</v>
          </cell>
          <cell r="X68">
            <v>0.75</v>
          </cell>
          <cell r="Y68">
            <v>0.75</v>
          </cell>
          <cell r="Z68">
            <v>0.75</v>
          </cell>
          <cell r="AA68">
            <v>0.75</v>
          </cell>
          <cell r="AB68">
            <v>0.75</v>
          </cell>
          <cell r="AC68">
            <v>0.75</v>
          </cell>
          <cell r="AD68">
            <v>0.75</v>
          </cell>
          <cell r="AE68">
            <v>0.75</v>
          </cell>
          <cell r="AF68">
            <v>0.75</v>
          </cell>
          <cell r="AG68">
            <v>0.75</v>
          </cell>
          <cell r="AH68">
            <v>0.75</v>
          </cell>
          <cell r="AI68">
            <v>0.75</v>
          </cell>
        </row>
        <row r="69">
          <cell r="B69">
            <v>7.6500000953674316</v>
          </cell>
          <cell r="C69">
            <v>7.6500000953674316</v>
          </cell>
          <cell r="D69">
            <v>7.6500000953674316</v>
          </cell>
          <cell r="E69">
            <v>7.6500000953674316</v>
          </cell>
          <cell r="F69">
            <v>7.6500000953674316</v>
          </cell>
          <cell r="G69">
            <v>7.6500000953674316</v>
          </cell>
          <cell r="H69">
            <v>7.6500000953674316</v>
          </cell>
          <cell r="I69">
            <v>7.6500000953674316</v>
          </cell>
          <cell r="J69">
            <v>7.6500000953674316</v>
          </cell>
          <cell r="K69">
            <v>7.6500000953674316</v>
          </cell>
          <cell r="L69">
            <v>7.6500000953674316</v>
          </cell>
          <cell r="M69">
            <v>7.6500000953674316</v>
          </cell>
          <cell r="N69">
            <v>7.6500000953674316</v>
          </cell>
          <cell r="O69">
            <v>7.6500000953674316</v>
          </cell>
          <cell r="P69">
            <v>7.6500000953674316</v>
          </cell>
          <cell r="Q69">
            <v>7.6500000953674316</v>
          </cell>
          <cell r="R69">
            <v>7.6500000953674316</v>
          </cell>
          <cell r="S69">
            <v>0.75</v>
          </cell>
          <cell r="T69">
            <v>0.75</v>
          </cell>
          <cell r="U69">
            <v>0.75</v>
          </cell>
          <cell r="V69">
            <v>0.75</v>
          </cell>
          <cell r="W69">
            <v>0.75</v>
          </cell>
          <cell r="X69">
            <v>0.75</v>
          </cell>
          <cell r="Y69">
            <v>0.75</v>
          </cell>
          <cell r="Z69">
            <v>0.75</v>
          </cell>
          <cell r="AA69">
            <v>0.75</v>
          </cell>
          <cell r="AB69">
            <v>0.75</v>
          </cell>
          <cell r="AC69">
            <v>0.75</v>
          </cell>
          <cell r="AD69">
            <v>0.75</v>
          </cell>
          <cell r="AE69">
            <v>0.75</v>
          </cell>
          <cell r="AF69">
            <v>0.75</v>
          </cell>
          <cell r="AG69">
            <v>0.75</v>
          </cell>
          <cell r="AH69">
            <v>0.75</v>
          </cell>
          <cell r="AI69">
            <v>0.75</v>
          </cell>
        </row>
        <row r="70">
          <cell r="B70">
            <v>7.6500000953674316</v>
          </cell>
          <cell r="C70">
            <v>7.6500000953674316</v>
          </cell>
          <cell r="D70">
            <v>7.6500000953674316</v>
          </cell>
          <cell r="E70">
            <v>7.6500000953674316</v>
          </cell>
          <cell r="F70">
            <v>7.6500000953674316</v>
          </cell>
          <cell r="G70">
            <v>7.6500000953674316</v>
          </cell>
          <cell r="H70">
            <v>7.6500000953674316</v>
          </cell>
          <cell r="I70">
            <v>7.6500000953674316</v>
          </cell>
          <cell r="J70">
            <v>7.6500000953674316</v>
          </cell>
          <cell r="K70">
            <v>7.6500000953674316</v>
          </cell>
          <cell r="L70">
            <v>7.6500000953674316</v>
          </cell>
          <cell r="M70">
            <v>7.6500000953674316</v>
          </cell>
          <cell r="N70">
            <v>7.6500000953674316</v>
          </cell>
          <cell r="O70">
            <v>7.6500000953674316</v>
          </cell>
          <cell r="P70">
            <v>7.6500000953674316</v>
          </cell>
          <cell r="Q70">
            <v>7.6500000953674316</v>
          </cell>
          <cell r="R70">
            <v>7.6500000953674316</v>
          </cell>
          <cell r="S70">
            <v>0.75</v>
          </cell>
          <cell r="T70">
            <v>0.75</v>
          </cell>
          <cell r="U70">
            <v>0.75</v>
          </cell>
          <cell r="V70">
            <v>0.75</v>
          </cell>
          <cell r="W70">
            <v>0.75</v>
          </cell>
          <cell r="X70">
            <v>0.75</v>
          </cell>
          <cell r="Y70">
            <v>0.75</v>
          </cell>
          <cell r="Z70">
            <v>0.75</v>
          </cell>
          <cell r="AA70">
            <v>0.75</v>
          </cell>
          <cell r="AB70">
            <v>0.75</v>
          </cell>
          <cell r="AC70">
            <v>0.75</v>
          </cell>
          <cell r="AD70">
            <v>0.75</v>
          </cell>
          <cell r="AE70">
            <v>0.75</v>
          </cell>
          <cell r="AF70">
            <v>0.75</v>
          </cell>
          <cell r="AG70">
            <v>0.75</v>
          </cell>
          <cell r="AH70">
            <v>0.75</v>
          </cell>
          <cell r="AI70">
            <v>0.75</v>
          </cell>
        </row>
        <row r="71">
          <cell r="B71">
            <v>7.6500000953674316</v>
          </cell>
          <cell r="C71">
            <v>7.6500000953674316</v>
          </cell>
          <cell r="D71">
            <v>7.6500000953674316</v>
          </cell>
          <cell r="E71">
            <v>7.6500000953674316</v>
          </cell>
          <cell r="F71">
            <v>7.6500000953674316</v>
          </cell>
          <cell r="G71">
            <v>7.6500000953674316</v>
          </cell>
          <cell r="H71">
            <v>7.6500000953674316</v>
          </cell>
          <cell r="I71">
            <v>7.6500000953674316</v>
          </cell>
          <cell r="J71">
            <v>7.6500000953674316</v>
          </cell>
          <cell r="K71">
            <v>7.6500000953674316</v>
          </cell>
          <cell r="L71">
            <v>7.6500000953674316</v>
          </cell>
          <cell r="M71">
            <v>7.6500000953674316</v>
          </cell>
          <cell r="N71">
            <v>7.6500000953674316</v>
          </cell>
          <cell r="O71">
            <v>7.6500000953674316</v>
          </cell>
          <cell r="P71">
            <v>7.6500000953674316</v>
          </cell>
          <cell r="Q71">
            <v>7.6500000953674316</v>
          </cell>
          <cell r="R71">
            <v>7.6500000953674316</v>
          </cell>
          <cell r="S71">
            <v>0.75</v>
          </cell>
          <cell r="T71">
            <v>0.75</v>
          </cell>
          <cell r="U71">
            <v>0.75</v>
          </cell>
          <cell r="V71">
            <v>0.75</v>
          </cell>
          <cell r="W71">
            <v>0.75</v>
          </cell>
          <cell r="X71">
            <v>0.75</v>
          </cell>
          <cell r="Y71">
            <v>0.75</v>
          </cell>
          <cell r="Z71">
            <v>0.75</v>
          </cell>
          <cell r="AA71">
            <v>0.75</v>
          </cell>
          <cell r="AB71">
            <v>0.75</v>
          </cell>
          <cell r="AC71">
            <v>0.75</v>
          </cell>
          <cell r="AD71">
            <v>0.75</v>
          </cell>
          <cell r="AE71">
            <v>0.75</v>
          </cell>
          <cell r="AF71">
            <v>0.75</v>
          </cell>
          <cell r="AG71">
            <v>0.75</v>
          </cell>
          <cell r="AH71">
            <v>0.75</v>
          </cell>
          <cell r="AI71">
            <v>0.75</v>
          </cell>
        </row>
        <row r="72">
          <cell r="B72">
            <v>7.6500000953674316</v>
          </cell>
          <cell r="C72">
            <v>7.6500000953674316</v>
          </cell>
          <cell r="D72">
            <v>7.6500000953674316</v>
          </cell>
          <cell r="E72">
            <v>7.6500000953674316</v>
          </cell>
          <cell r="F72">
            <v>7.6500000953674316</v>
          </cell>
          <cell r="G72">
            <v>7.6500000953674316</v>
          </cell>
          <cell r="H72">
            <v>7.6500000953674316</v>
          </cell>
          <cell r="I72">
            <v>7.6500000953674316</v>
          </cell>
          <cell r="J72">
            <v>7.6500000953674316</v>
          </cell>
          <cell r="K72">
            <v>7.6500000953674316</v>
          </cell>
          <cell r="L72">
            <v>7.6500000953674316</v>
          </cell>
          <cell r="M72">
            <v>7.6500000953674316</v>
          </cell>
          <cell r="N72">
            <v>7.6500000953674316</v>
          </cell>
          <cell r="O72">
            <v>7.6500000953674316</v>
          </cell>
          <cell r="P72">
            <v>7.6500000953674316</v>
          </cell>
          <cell r="Q72">
            <v>7.6500000953674316</v>
          </cell>
          <cell r="R72">
            <v>7.6500000953674316</v>
          </cell>
          <cell r="S72">
            <v>0.75</v>
          </cell>
          <cell r="T72">
            <v>0.75</v>
          </cell>
          <cell r="U72">
            <v>0.75</v>
          </cell>
          <cell r="V72">
            <v>0.75</v>
          </cell>
          <cell r="W72">
            <v>0.75</v>
          </cell>
          <cell r="X72">
            <v>0.75</v>
          </cell>
          <cell r="Y72">
            <v>0.75</v>
          </cell>
          <cell r="Z72">
            <v>0.75</v>
          </cell>
          <cell r="AA72">
            <v>0.75</v>
          </cell>
          <cell r="AB72">
            <v>0.75</v>
          </cell>
          <cell r="AC72">
            <v>0.75</v>
          </cell>
          <cell r="AD72">
            <v>0.75</v>
          </cell>
          <cell r="AE72">
            <v>0.75</v>
          </cell>
          <cell r="AF72">
            <v>0.75</v>
          </cell>
          <cell r="AG72">
            <v>0.75</v>
          </cell>
          <cell r="AH72">
            <v>0.75</v>
          </cell>
          <cell r="AI72">
            <v>0.75</v>
          </cell>
        </row>
        <row r="73">
          <cell r="B73">
            <v>7.6500000953674316</v>
          </cell>
          <cell r="C73">
            <v>7.6500000953674316</v>
          </cell>
          <cell r="D73">
            <v>7.6500000953674316</v>
          </cell>
          <cell r="E73">
            <v>7.6500000953674316</v>
          </cell>
          <cell r="F73">
            <v>7.6500000953674316</v>
          </cell>
          <cell r="G73">
            <v>7.6500000953674316</v>
          </cell>
          <cell r="H73">
            <v>7.6500000953674316</v>
          </cell>
          <cell r="I73">
            <v>7.6500000953674316</v>
          </cell>
          <cell r="J73">
            <v>7.6500000953674316</v>
          </cell>
          <cell r="K73">
            <v>7.6500000953674316</v>
          </cell>
          <cell r="L73">
            <v>7.6500000953674316</v>
          </cell>
          <cell r="M73">
            <v>7.6500000953674316</v>
          </cell>
          <cell r="N73">
            <v>7.6500000953674316</v>
          </cell>
          <cell r="O73">
            <v>7.6500000953674316</v>
          </cell>
          <cell r="P73">
            <v>7.6500000953674316</v>
          </cell>
          <cell r="Q73">
            <v>7.6500000953674316</v>
          </cell>
          <cell r="R73">
            <v>7.6500000953674316</v>
          </cell>
          <cell r="S73">
            <v>0.75</v>
          </cell>
          <cell r="T73">
            <v>0.75</v>
          </cell>
          <cell r="U73">
            <v>0.75</v>
          </cell>
          <cell r="V73">
            <v>0.75</v>
          </cell>
          <cell r="W73">
            <v>0.75</v>
          </cell>
          <cell r="X73">
            <v>0.75</v>
          </cell>
          <cell r="Y73">
            <v>0.75</v>
          </cell>
          <cell r="Z73">
            <v>0.75</v>
          </cell>
          <cell r="AA73">
            <v>0.75</v>
          </cell>
          <cell r="AB73">
            <v>0.75</v>
          </cell>
          <cell r="AC73">
            <v>0.75</v>
          </cell>
          <cell r="AD73">
            <v>0.75</v>
          </cell>
          <cell r="AE73">
            <v>0.75</v>
          </cell>
          <cell r="AF73">
            <v>0.75</v>
          </cell>
          <cell r="AG73">
            <v>0.75</v>
          </cell>
          <cell r="AH73">
            <v>0.75</v>
          </cell>
          <cell r="AI73">
            <v>0.75</v>
          </cell>
        </row>
        <row r="74">
          <cell r="B74">
            <v>7.6500000953674316</v>
          </cell>
          <cell r="C74">
            <v>7.6500000953674316</v>
          </cell>
          <cell r="D74">
            <v>7.6500000953674316</v>
          </cell>
          <cell r="E74">
            <v>7.6500000953674316</v>
          </cell>
          <cell r="F74">
            <v>7.6500000953674316</v>
          </cell>
          <cell r="G74">
            <v>7.6500000953674316</v>
          </cell>
          <cell r="H74">
            <v>7.6500000953674316</v>
          </cell>
          <cell r="I74">
            <v>7.6500000953674316</v>
          </cell>
          <cell r="J74">
            <v>7.6500000953674316</v>
          </cell>
          <cell r="K74">
            <v>7.6500000953674316</v>
          </cell>
          <cell r="L74">
            <v>7.6500000953674316</v>
          </cell>
          <cell r="M74">
            <v>7.6500000953674316</v>
          </cell>
          <cell r="N74">
            <v>7.6500000953674316</v>
          </cell>
          <cell r="O74">
            <v>7.6500000953674316</v>
          </cell>
          <cell r="P74">
            <v>7.6500000953674316</v>
          </cell>
          <cell r="Q74">
            <v>7.6500000953674316</v>
          </cell>
          <cell r="R74">
            <v>7.6500000953674316</v>
          </cell>
          <cell r="S74">
            <v>0.75</v>
          </cell>
          <cell r="T74">
            <v>0.75</v>
          </cell>
          <cell r="U74">
            <v>0.75</v>
          </cell>
          <cell r="V74">
            <v>0.75</v>
          </cell>
          <cell r="W74">
            <v>0.75</v>
          </cell>
          <cell r="X74">
            <v>0.75</v>
          </cell>
          <cell r="Y74">
            <v>0.75</v>
          </cell>
          <cell r="Z74">
            <v>0.75</v>
          </cell>
          <cell r="AA74">
            <v>0.75</v>
          </cell>
          <cell r="AB74">
            <v>0.75</v>
          </cell>
          <cell r="AC74">
            <v>0.75</v>
          </cell>
          <cell r="AD74">
            <v>0.75</v>
          </cell>
          <cell r="AE74">
            <v>0.75</v>
          </cell>
          <cell r="AF74">
            <v>0.75</v>
          </cell>
          <cell r="AG74">
            <v>0.75</v>
          </cell>
          <cell r="AH74">
            <v>0.75</v>
          </cell>
          <cell r="AI74">
            <v>0.75</v>
          </cell>
        </row>
        <row r="75">
          <cell r="B75">
            <v>7.6500000953674316</v>
          </cell>
          <cell r="C75">
            <v>7.6500000953674316</v>
          </cell>
          <cell r="D75">
            <v>7.6500000953674316</v>
          </cell>
          <cell r="E75">
            <v>7.6500000953674316</v>
          </cell>
          <cell r="F75">
            <v>7.6500000953674316</v>
          </cell>
          <cell r="G75">
            <v>7.6500000953674316</v>
          </cell>
          <cell r="H75">
            <v>7.6500000953674316</v>
          </cell>
          <cell r="I75">
            <v>7.6500000953674316</v>
          </cell>
          <cell r="J75">
            <v>7.6500000953674316</v>
          </cell>
          <cell r="K75">
            <v>7.6500000953674316</v>
          </cell>
          <cell r="L75">
            <v>7.6500000953674316</v>
          </cell>
          <cell r="M75">
            <v>7.6500000953674316</v>
          </cell>
          <cell r="N75">
            <v>7.6500000953674316</v>
          </cell>
          <cell r="O75">
            <v>7.6500000953674316</v>
          </cell>
          <cell r="P75">
            <v>7.6500000953674316</v>
          </cell>
          <cell r="Q75">
            <v>7.6500000953674316</v>
          </cell>
          <cell r="R75">
            <v>7.6500000953674316</v>
          </cell>
          <cell r="S75">
            <v>0.75</v>
          </cell>
          <cell r="T75">
            <v>0.75</v>
          </cell>
          <cell r="U75">
            <v>0.75</v>
          </cell>
          <cell r="V75">
            <v>0.75</v>
          </cell>
          <cell r="W75">
            <v>0.75</v>
          </cell>
          <cell r="X75">
            <v>0.75</v>
          </cell>
          <cell r="Y75">
            <v>0.75</v>
          </cell>
          <cell r="Z75">
            <v>0.75</v>
          </cell>
          <cell r="AA75">
            <v>0.75</v>
          </cell>
          <cell r="AB75">
            <v>0.75</v>
          </cell>
          <cell r="AC75">
            <v>0.75</v>
          </cell>
          <cell r="AD75">
            <v>0.75</v>
          </cell>
          <cell r="AE75">
            <v>0.75</v>
          </cell>
          <cell r="AF75">
            <v>0.75</v>
          </cell>
          <cell r="AG75">
            <v>0.75</v>
          </cell>
          <cell r="AH75">
            <v>0.75</v>
          </cell>
          <cell r="AI75">
            <v>0.75</v>
          </cell>
        </row>
        <row r="76">
          <cell r="B76">
            <v>7.6500000953674316</v>
          </cell>
          <cell r="C76">
            <v>7.6500000953674316</v>
          </cell>
          <cell r="D76">
            <v>7.6500000953674316</v>
          </cell>
          <cell r="E76">
            <v>7.6500000953674316</v>
          </cell>
          <cell r="F76">
            <v>7.6500000953674316</v>
          </cell>
          <cell r="G76">
            <v>7.6500000953674316</v>
          </cell>
          <cell r="H76">
            <v>7.6500000953674316</v>
          </cell>
          <cell r="I76">
            <v>7.6500000953674316</v>
          </cell>
          <cell r="J76">
            <v>7.6500000953674316</v>
          </cell>
          <cell r="K76">
            <v>7.6500000953674316</v>
          </cell>
          <cell r="L76">
            <v>7.6500000953674316</v>
          </cell>
          <cell r="M76">
            <v>7.6500000953674316</v>
          </cell>
          <cell r="N76">
            <v>7.6500000953674316</v>
          </cell>
          <cell r="O76">
            <v>7.6500000953674316</v>
          </cell>
          <cell r="P76">
            <v>7.6500000953674316</v>
          </cell>
          <cell r="Q76">
            <v>7.6500000953674316</v>
          </cell>
          <cell r="R76">
            <v>7.6500000953674316</v>
          </cell>
          <cell r="S76">
            <v>0.75</v>
          </cell>
          <cell r="T76">
            <v>0.75</v>
          </cell>
          <cell r="U76">
            <v>0.75</v>
          </cell>
          <cell r="V76">
            <v>0.75</v>
          </cell>
          <cell r="W76">
            <v>0.75</v>
          </cell>
          <cell r="X76">
            <v>0.75</v>
          </cell>
          <cell r="Y76">
            <v>0.75</v>
          </cell>
          <cell r="Z76">
            <v>0.75</v>
          </cell>
          <cell r="AA76">
            <v>0.75</v>
          </cell>
          <cell r="AB76">
            <v>0.75</v>
          </cell>
          <cell r="AC76">
            <v>0.75</v>
          </cell>
          <cell r="AD76">
            <v>0.75</v>
          </cell>
          <cell r="AE76">
            <v>0.75</v>
          </cell>
          <cell r="AF76">
            <v>0.75</v>
          </cell>
          <cell r="AG76">
            <v>0.75</v>
          </cell>
          <cell r="AH76">
            <v>0.75</v>
          </cell>
          <cell r="AI76">
            <v>0.75</v>
          </cell>
        </row>
        <row r="77">
          <cell r="B77">
            <v>7.6500000953674316</v>
          </cell>
          <cell r="C77">
            <v>7.6500000953674316</v>
          </cell>
          <cell r="D77">
            <v>7.6500000953674316</v>
          </cell>
          <cell r="E77">
            <v>7.6500000953674316</v>
          </cell>
          <cell r="F77">
            <v>7.6500000953674316</v>
          </cell>
          <cell r="G77">
            <v>7.6500000953674316</v>
          </cell>
          <cell r="H77">
            <v>7.6500000953674316</v>
          </cell>
          <cell r="I77">
            <v>7.6500000953674316</v>
          </cell>
          <cell r="J77">
            <v>7.6500000953674316</v>
          </cell>
          <cell r="K77">
            <v>7.6500000953674316</v>
          </cell>
          <cell r="L77">
            <v>7.6500000953674316</v>
          </cell>
          <cell r="M77">
            <v>7.6500000953674316</v>
          </cell>
          <cell r="N77">
            <v>7.6500000953674316</v>
          </cell>
          <cell r="O77">
            <v>7.6500000953674316</v>
          </cell>
          <cell r="P77">
            <v>7.6500000953674316</v>
          </cell>
          <cell r="Q77">
            <v>7.6500000953674316</v>
          </cell>
          <cell r="R77">
            <v>7.6500000953674316</v>
          </cell>
          <cell r="S77">
            <v>0.75</v>
          </cell>
          <cell r="T77">
            <v>0.75</v>
          </cell>
          <cell r="U77">
            <v>0.75</v>
          </cell>
          <cell r="V77">
            <v>0.75</v>
          </cell>
          <cell r="W77">
            <v>0.75</v>
          </cell>
          <cell r="X77">
            <v>0.75</v>
          </cell>
          <cell r="Y77">
            <v>0.75</v>
          </cell>
          <cell r="Z77">
            <v>0.75</v>
          </cell>
          <cell r="AA77">
            <v>0.75</v>
          </cell>
          <cell r="AB77">
            <v>0.75</v>
          </cell>
          <cell r="AC77">
            <v>0.75</v>
          </cell>
          <cell r="AD77">
            <v>0.75</v>
          </cell>
          <cell r="AE77">
            <v>0.75</v>
          </cell>
          <cell r="AF77">
            <v>0.75</v>
          </cell>
          <cell r="AG77">
            <v>0.75</v>
          </cell>
          <cell r="AH77">
            <v>0.75</v>
          </cell>
          <cell r="AI77">
            <v>0.75</v>
          </cell>
        </row>
        <row r="78">
          <cell r="B78">
            <v>7.6500000953674316</v>
          </cell>
          <cell r="C78">
            <v>7.6500000953674316</v>
          </cell>
          <cell r="D78">
            <v>7.6500000953674316</v>
          </cell>
          <cell r="E78">
            <v>7.6500000953674316</v>
          </cell>
          <cell r="F78">
            <v>7.6500000953674316</v>
          </cell>
          <cell r="G78">
            <v>7.6500000953674316</v>
          </cell>
          <cell r="H78">
            <v>7.6500000953674316</v>
          </cell>
          <cell r="I78">
            <v>7.6500000953674316</v>
          </cell>
          <cell r="J78">
            <v>7.6500000953674316</v>
          </cell>
          <cell r="K78">
            <v>7.6500000953674316</v>
          </cell>
          <cell r="L78">
            <v>7.6500000953674316</v>
          </cell>
          <cell r="M78">
            <v>7.6500000953674316</v>
          </cell>
          <cell r="N78">
            <v>7.6500000953674316</v>
          </cell>
          <cell r="O78">
            <v>7.6500000953674316</v>
          </cell>
          <cell r="P78">
            <v>7.6500000953674316</v>
          </cell>
          <cell r="Q78">
            <v>7.6500000953674316</v>
          </cell>
          <cell r="R78">
            <v>7.6500000953674316</v>
          </cell>
          <cell r="S78">
            <v>0.75</v>
          </cell>
          <cell r="T78">
            <v>0.75</v>
          </cell>
          <cell r="U78">
            <v>0.75</v>
          </cell>
          <cell r="V78">
            <v>0.75</v>
          </cell>
          <cell r="W78">
            <v>0.75</v>
          </cell>
          <cell r="X78">
            <v>0.75</v>
          </cell>
          <cell r="Y78">
            <v>0.75</v>
          </cell>
          <cell r="Z78">
            <v>0.75</v>
          </cell>
          <cell r="AA78">
            <v>0.75</v>
          </cell>
          <cell r="AB78">
            <v>0.75</v>
          </cell>
          <cell r="AC78">
            <v>0.75</v>
          </cell>
          <cell r="AD78">
            <v>0.75</v>
          </cell>
          <cell r="AE78">
            <v>0.75</v>
          </cell>
          <cell r="AF78">
            <v>0.75</v>
          </cell>
          <cell r="AG78">
            <v>0.75</v>
          </cell>
          <cell r="AH78">
            <v>0.75</v>
          </cell>
          <cell r="AI78">
            <v>0.75</v>
          </cell>
        </row>
        <row r="79">
          <cell r="B79">
            <v>7.6500000953674316</v>
          </cell>
          <cell r="C79">
            <v>7.6500000953674316</v>
          </cell>
          <cell r="D79">
            <v>7.6500000953674316</v>
          </cell>
          <cell r="E79">
            <v>7.6500000953674316</v>
          </cell>
          <cell r="F79">
            <v>7.6500000953674316</v>
          </cell>
          <cell r="G79">
            <v>7.6500000953674316</v>
          </cell>
          <cell r="H79">
            <v>7.6500000953674316</v>
          </cell>
          <cell r="I79">
            <v>7.6500000953674316</v>
          </cell>
          <cell r="J79">
            <v>7.6500000953674316</v>
          </cell>
          <cell r="K79">
            <v>7.6500000953674316</v>
          </cell>
          <cell r="L79">
            <v>7.6500000953674316</v>
          </cell>
          <cell r="M79">
            <v>7.6500000953674316</v>
          </cell>
          <cell r="N79">
            <v>7.6500000953674316</v>
          </cell>
          <cell r="O79">
            <v>7.6500000953674316</v>
          </cell>
          <cell r="P79">
            <v>7.6500000953674316</v>
          </cell>
          <cell r="Q79">
            <v>7.6500000953674316</v>
          </cell>
          <cell r="R79">
            <v>7.6500000953674316</v>
          </cell>
          <cell r="S79">
            <v>0.75</v>
          </cell>
          <cell r="T79">
            <v>0.75</v>
          </cell>
          <cell r="U79">
            <v>0.75</v>
          </cell>
          <cell r="V79">
            <v>0.75</v>
          </cell>
          <cell r="W79">
            <v>0.75</v>
          </cell>
          <cell r="X79">
            <v>0.75</v>
          </cell>
          <cell r="Y79">
            <v>0.75</v>
          </cell>
          <cell r="Z79">
            <v>0.75</v>
          </cell>
          <cell r="AA79">
            <v>0.75</v>
          </cell>
          <cell r="AB79">
            <v>0.75</v>
          </cell>
          <cell r="AC79">
            <v>0.75</v>
          </cell>
          <cell r="AD79">
            <v>0.75</v>
          </cell>
          <cell r="AE79">
            <v>0.75</v>
          </cell>
          <cell r="AF79">
            <v>0.75</v>
          </cell>
          <cell r="AG79">
            <v>0.75</v>
          </cell>
          <cell r="AH79">
            <v>0.75</v>
          </cell>
          <cell r="AI79">
            <v>0.75</v>
          </cell>
        </row>
        <row r="80">
          <cell r="B80">
            <v>7.6500000953674316</v>
          </cell>
          <cell r="C80">
            <v>7.6500000953674316</v>
          </cell>
          <cell r="D80">
            <v>7.6500000953674316</v>
          </cell>
          <cell r="E80">
            <v>7.6500000953674316</v>
          </cell>
          <cell r="F80">
            <v>7.6500000953674316</v>
          </cell>
          <cell r="G80">
            <v>7.6500000953674316</v>
          </cell>
          <cell r="H80">
            <v>7.6500000953674316</v>
          </cell>
          <cell r="I80">
            <v>7.6500000953674316</v>
          </cell>
          <cell r="J80">
            <v>7.6500000953674316</v>
          </cell>
          <cell r="K80">
            <v>7.6500000953674316</v>
          </cell>
          <cell r="L80">
            <v>7.6500000953674316</v>
          </cell>
          <cell r="M80">
            <v>7.6500000953674316</v>
          </cell>
          <cell r="N80">
            <v>7.6500000953674316</v>
          </cell>
          <cell r="O80">
            <v>7.6500000953674316</v>
          </cell>
          <cell r="P80">
            <v>7.6500000953674316</v>
          </cell>
          <cell r="Q80">
            <v>7.6500000953674316</v>
          </cell>
          <cell r="R80">
            <v>7.6500000953674316</v>
          </cell>
          <cell r="S80">
            <v>0.75</v>
          </cell>
          <cell r="T80">
            <v>0.75</v>
          </cell>
          <cell r="U80">
            <v>0.75</v>
          </cell>
          <cell r="V80">
            <v>0.75</v>
          </cell>
          <cell r="W80">
            <v>0.75</v>
          </cell>
          <cell r="X80">
            <v>0.75</v>
          </cell>
          <cell r="Y80">
            <v>0.75</v>
          </cell>
          <cell r="Z80">
            <v>0.75</v>
          </cell>
          <cell r="AA80">
            <v>0.75</v>
          </cell>
          <cell r="AB80">
            <v>0.75</v>
          </cell>
          <cell r="AC80">
            <v>0.75</v>
          </cell>
          <cell r="AD80">
            <v>0.75</v>
          </cell>
          <cell r="AE80">
            <v>0.75</v>
          </cell>
          <cell r="AF80">
            <v>0.75</v>
          </cell>
          <cell r="AG80">
            <v>0.75</v>
          </cell>
          <cell r="AH80">
            <v>0.75</v>
          </cell>
          <cell r="AI80">
            <v>0.75</v>
          </cell>
        </row>
        <row r="81">
          <cell r="B81">
            <v>7.6500000953674316</v>
          </cell>
          <cell r="C81">
            <v>7.6500000953674316</v>
          </cell>
          <cell r="D81">
            <v>7.6500000953674316</v>
          </cell>
          <cell r="E81">
            <v>7.6500000953674316</v>
          </cell>
          <cell r="F81">
            <v>7.6500000953674316</v>
          </cell>
          <cell r="G81">
            <v>7.6500000953674316</v>
          </cell>
          <cell r="H81">
            <v>7.6500000953674316</v>
          </cell>
          <cell r="I81">
            <v>7.6500000953674316</v>
          </cell>
          <cell r="J81">
            <v>7.6500000953674316</v>
          </cell>
          <cell r="K81">
            <v>7.6500000953674316</v>
          </cell>
          <cell r="L81">
            <v>7.6500000953674316</v>
          </cell>
          <cell r="M81">
            <v>7.6500000953674316</v>
          </cell>
          <cell r="N81">
            <v>7.6500000953674316</v>
          </cell>
          <cell r="O81">
            <v>7.6500000953674316</v>
          </cell>
          <cell r="P81">
            <v>7.6500000953674316</v>
          </cell>
          <cell r="Q81">
            <v>7.6500000953674316</v>
          </cell>
          <cell r="R81">
            <v>7.6500000953674316</v>
          </cell>
          <cell r="S81">
            <v>0.75</v>
          </cell>
          <cell r="T81">
            <v>0.75</v>
          </cell>
          <cell r="U81">
            <v>0.75</v>
          </cell>
          <cell r="V81">
            <v>0.75</v>
          </cell>
          <cell r="W81">
            <v>0.75</v>
          </cell>
          <cell r="X81">
            <v>0.75</v>
          </cell>
          <cell r="Y81">
            <v>0.75</v>
          </cell>
          <cell r="Z81">
            <v>0.75</v>
          </cell>
          <cell r="AA81">
            <v>0.75</v>
          </cell>
          <cell r="AB81">
            <v>0.75</v>
          </cell>
          <cell r="AC81">
            <v>0.75</v>
          </cell>
          <cell r="AD81">
            <v>0.75</v>
          </cell>
          <cell r="AE81">
            <v>0.75</v>
          </cell>
          <cell r="AF81">
            <v>0.75</v>
          </cell>
          <cell r="AG81">
            <v>0.75</v>
          </cell>
          <cell r="AH81">
            <v>0.75</v>
          </cell>
          <cell r="AI81">
            <v>0.75</v>
          </cell>
        </row>
        <row r="82">
          <cell r="B82">
            <v>7.6500000953674316</v>
          </cell>
          <cell r="C82">
            <v>7.6500000953674316</v>
          </cell>
          <cell r="D82">
            <v>7.6500000953674316</v>
          </cell>
          <cell r="E82">
            <v>7.6500000953674316</v>
          </cell>
          <cell r="F82">
            <v>7.6500000953674316</v>
          </cell>
          <cell r="G82">
            <v>7.6500000953674316</v>
          </cell>
          <cell r="H82">
            <v>7.6500000953674316</v>
          </cell>
          <cell r="I82">
            <v>7.6500000953674316</v>
          </cell>
          <cell r="J82">
            <v>7.6500000953674316</v>
          </cell>
          <cell r="K82">
            <v>7.6500000953674316</v>
          </cell>
          <cell r="L82">
            <v>7.6500000953674316</v>
          </cell>
          <cell r="M82">
            <v>7.6500000953674316</v>
          </cell>
          <cell r="N82">
            <v>7.6500000953674316</v>
          </cell>
          <cell r="O82">
            <v>7.6500000953674316</v>
          </cell>
          <cell r="P82">
            <v>7.6500000953674316</v>
          </cell>
          <cell r="Q82">
            <v>7.6500000953674316</v>
          </cell>
          <cell r="R82">
            <v>7.6500000953674316</v>
          </cell>
          <cell r="S82">
            <v>0.75</v>
          </cell>
          <cell r="T82">
            <v>0.75</v>
          </cell>
          <cell r="U82">
            <v>0.75</v>
          </cell>
          <cell r="V82">
            <v>0.75</v>
          </cell>
          <cell r="W82">
            <v>0.75</v>
          </cell>
          <cell r="X82">
            <v>0.75</v>
          </cell>
          <cell r="Y82">
            <v>0.75</v>
          </cell>
          <cell r="Z82">
            <v>0.75</v>
          </cell>
          <cell r="AA82">
            <v>0.75</v>
          </cell>
          <cell r="AB82">
            <v>0.75</v>
          </cell>
          <cell r="AC82">
            <v>0.75</v>
          </cell>
          <cell r="AD82">
            <v>0.75</v>
          </cell>
          <cell r="AE82">
            <v>0.75</v>
          </cell>
          <cell r="AF82">
            <v>0.75</v>
          </cell>
          <cell r="AG82">
            <v>0.75</v>
          </cell>
          <cell r="AH82">
            <v>0.75</v>
          </cell>
          <cell r="AI82">
            <v>0.75</v>
          </cell>
        </row>
        <row r="83">
          <cell r="B83">
            <v>7.6500000953674316</v>
          </cell>
          <cell r="C83">
            <v>7.6500000953674316</v>
          </cell>
          <cell r="D83">
            <v>7.6500000953674316</v>
          </cell>
          <cell r="E83">
            <v>7.6500000953674316</v>
          </cell>
          <cell r="F83">
            <v>7.6500000953674316</v>
          </cell>
          <cell r="G83">
            <v>7.6500000953674316</v>
          </cell>
          <cell r="H83">
            <v>7.6500000953674316</v>
          </cell>
          <cell r="I83">
            <v>7.6500000953674316</v>
          </cell>
          <cell r="J83">
            <v>7.6500000953674316</v>
          </cell>
          <cell r="K83">
            <v>7.6500000953674316</v>
          </cell>
          <cell r="L83">
            <v>7.6500000953674316</v>
          </cell>
          <cell r="M83">
            <v>7.6500000953674316</v>
          </cell>
          <cell r="N83">
            <v>7.6500000953674316</v>
          </cell>
          <cell r="O83">
            <v>7.6500000953674316</v>
          </cell>
          <cell r="P83">
            <v>7.6500000953674316</v>
          </cell>
          <cell r="Q83">
            <v>7.6500000953674316</v>
          </cell>
          <cell r="R83">
            <v>7.6500000953674316</v>
          </cell>
          <cell r="S83">
            <v>0.75</v>
          </cell>
          <cell r="T83">
            <v>0.75</v>
          </cell>
          <cell r="U83">
            <v>0.75</v>
          </cell>
          <cell r="V83">
            <v>0.75</v>
          </cell>
          <cell r="W83">
            <v>0.75</v>
          </cell>
          <cell r="X83">
            <v>0.75</v>
          </cell>
          <cell r="Y83">
            <v>0.75</v>
          </cell>
          <cell r="Z83">
            <v>0.75</v>
          </cell>
          <cell r="AA83">
            <v>0.75</v>
          </cell>
          <cell r="AB83">
            <v>0.75</v>
          </cell>
          <cell r="AC83">
            <v>0.75</v>
          </cell>
          <cell r="AD83">
            <v>0.75</v>
          </cell>
          <cell r="AE83">
            <v>0.75</v>
          </cell>
          <cell r="AF83">
            <v>0.75</v>
          </cell>
          <cell r="AG83">
            <v>0.75</v>
          </cell>
          <cell r="AH83">
            <v>0.75</v>
          </cell>
          <cell r="AI83">
            <v>0.75</v>
          </cell>
        </row>
        <row r="84">
          <cell r="B84">
            <v>7.6500000953674316</v>
          </cell>
          <cell r="C84">
            <v>7.6500000953674316</v>
          </cell>
          <cell r="D84">
            <v>7.6500000953674316</v>
          </cell>
          <cell r="E84">
            <v>7.6500000953674316</v>
          </cell>
          <cell r="F84">
            <v>7.6500000953674316</v>
          </cell>
          <cell r="G84">
            <v>7.6500000953674316</v>
          </cell>
          <cell r="H84">
            <v>7.6500000953674316</v>
          </cell>
          <cell r="I84">
            <v>7.6500000953674316</v>
          </cell>
          <cell r="J84">
            <v>7.6500000953674316</v>
          </cell>
          <cell r="K84">
            <v>7.6500000953674316</v>
          </cell>
          <cell r="L84">
            <v>7.6500000953674316</v>
          </cell>
          <cell r="M84">
            <v>7.6500000953674316</v>
          </cell>
          <cell r="N84">
            <v>7.6500000953674316</v>
          </cell>
          <cell r="O84">
            <v>7.6500000953674316</v>
          </cell>
          <cell r="P84">
            <v>7.6500000953674316</v>
          </cell>
          <cell r="Q84">
            <v>7.6500000953674316</v>
          </cell>
          <cell r="R84">
            <v>7.6500000953674316</v>
          </cell>
          <cell r="S84">
            <v>0.75</v>
          </cell>
          <cell r="T84">
            <v>0.75</v>
          </cell>
          <cell r="U84">
            <v>0.75</v>
          </cell>
          <cell r="V84">
            <v>0.75</v>
          </cell>
          <cell r="W84">
            <v>0.75</v>
          </cell>
          <cell r="X84">
            <v>0.75</v>
          </cell>
          <cell r="Y84">
            <v>0.75</v>
          </cell>
          <cell r="Z84">
            <v>0.75</v>
          </cell>
          <cell r="AA84">
            <v>0.75</v>
          </cell>
          <cell r="AB84">
            <v>0.75</v>
          </cell>
          <cell r="AC84">
            <v>0.75</v>
          </cell>
          <cell r="AD84">
            <v>0.75</v>
          </cell>
          <cell r="AE84">
            <v>0.75</v>
          </cell>
          <cell r="AF84">
            <v>0.75</v>
          </cell>
          <cell r="AG84">
            <v>0.75</v>
          </cell>
          <cell r="AH84">
            <v>0.75</v>
          </cell>
          <cell r="AI84">
            <v>0.75</v>
          </cell>
        </row>
        <row r="85">
          <cell r="B85">
            <v>7.6500000953674316</v>
          </cell>
          <cell r="C85">
            <v>7.6500000953674316</v>
          </cell>
          <cell r="D85">
            <v>7.6500000953674316</v>
          </cell>
          <cell r="E85">
            <v>7.6500000953674316</v>
          </cell>
          <cell r="F85">
            <v>7.6500000953674316</v>
          </cell>
          <cell r="G85">
            <v>7.6500000953674316</v>
          </cell>
          <cell r="H85">
            <v>7.6500000953674316</v>
          </cell>
          <cell r="I85">
            <v>7.6500000953674316</v>
          </cell>
          <cell r="J85">
            <v>7.6500000953674316</v>
          </cell>
          <cell r="K85">
            <v>7.6500000953674316</v>
          </cell>
          <cell r="L85">
            <v>7.6500000953674316</v>
          </cell>
          <cell r="M85">
            <v>7.6500000953674316</v>
          </cell>
          <cell r="N85">
            <v>7.6500000953674316</v>
          </cell>
          <cell r="O85">
            <v>7.6500000953674316</v>
          </cell>
          <cell r="P85">
            <v>7.6500000953674316</v>
          </cell>
          <cell r="Q85">
            <v>7.6500000953674316</v>
          </cell>
          <cell r="R85">
            <v>7.6500000953674316</v>
          </cell>
          <cell r="S85">
            <v>0.75</v>
          </cell>
          <cell r="T85">
            <v>0.75</v>
          </cell>
          <cell r="U85">
            <v>0.75</v>
          </cell>
          <cell r="V85">
            <v>0.75</v>
          </cell>
          <cell r="W85">
            <v>0.75</v>
          </cell>
          <cell r="X85">
            <v>0.75</v>
          </cell>
          <cell r="Y85">
            <v>0.75</v>
          </cell>
          <cell r="Z85">
            <v>0.75</v>
          </cell>
          <cell r="AA85">
            <v>0.75</v>
          </cell>
          <cell r="AB85">
            <v>0.75</v>
          </cell>
          <cell r="AC85">
            <v>0.75</v>
          </cell>
          <cell r="AD85">
            <v>0.75</v>
          </cell>
          <cell r="AE85">
            <v>0.75</v>
          </cell>
          <cell r="AF85">
            <v>0.75</v>
          </cell>
          <cell r="AG85">
            <v>0.75</v>
          </cell>
          <cell r="AH85">
            <v>0.75</v>
          </cell>
          <cell r="AI85">
            <v>0.75</v>
          </cell>
        </row>
        <row r="86">
          <cell r="B86">
            <v>7.6500000953674316</v>
          </cell>
          <cell r="C86">
            <v>7.6500000953674316</v>
          </cell>
          <cell r="D86">
            <v>7.6500000953674316</v>
          </cell>
          <cell r="E86">
            <v>7.6500000953674316</v>
          </cell>
          <cell r="F86">
            <v>7.6500000953674316</v>
          </cell>
          <cell r="G86">
            <v>7.6500000953674316</v>
          </cell>
          <cell r="H86">
            <v>7.6500000953674316</v>
          </cell>
          <cell r="I86">
            <v>7.6500000953674316</v>
          </cell>
          <cell r="J86">
            <v>7.6500000953674316</v>
          </cell>
          <cell r="K86">
            <v>7.6500000953674316</v>
          </cell>
          <cell r="L86">
            <v>7.6500000953674316</v>
          </cell>
          <cell r="M86">
            <v>7.6500000953674316</v>
          </cell>
          <cell r="N86">
            <v>7.6500000953674316</v>
          </cell>
          <cell r="O86">
            <v>7.6500000953674316</v>
          </cell>
          <cell r="P86">
            <v>7.6500000953674316</v>
          </cell>
          <cell r="Q86">
            <v>7.6500000953674316</v>
          </cell>
          <cell r="R86">
            <v>7.6500000953674316</v>
          </cell>
          <cell r="S86">
            <v>0.75</v>
          </cell>
          <cell r="T86">
            <v>0.75</v>
          </cell>
          <cell r="U86">
            <v>0.75</v>
          </cell>
          <cell r="V86">
            <v>0.75</v>
          </cell>
          <cell r="W86">
            <v>0.75</v>
          </cell>
          <cell r="X86">
            <v>0.75</v>
          </cell>
          <cell r="Y86">
            <v>0.75</v>
          </cell>
          <cell r="Z86">
            <v>0.75</v>
          </cell>
          <cell r="AA86">
            <v>0.75</v>
          </cell>
          <cell r="AB86">
            <v>0.75</v>
          </cell>
          <cell r="AC86">
            <v>0.75</v>
          </cell>
          <cell r="AD86">
            <v>0.75</v>
          </cell>
          <cell r="AE86">
            <v>0.75</v>
          </cell>
          <cell r="AF86">
            <v>0.75</v>
          </cell>
          <cell r="AG86">
            <v>0.75</v>
          </cell>
          <cell r="AH86">
            <v>0.75</v>
          </cell>
          <cell r="AI86">
            <v>0.75</v>
          </cell>
        </row>
        <row r="316">
          <cell r="J316">
            <v>7.6500000953674316</v>
          </cell>
          <cell r="K316">
            <v>7.6500000953674316</v>
          </cell>
          <cell r="L316">
            <v>7.6500000953674316</v>
          </cell>
          <cell r="M316">
            <v>7.6500000953674316</v>
          </cell>
        </row>
        <row r="317">
          <cell r="J317">
            <v>7.6500000953674316</v>
          </cell>
          <cell r="K317">
            <v>7.6500000953674316</v>
          </cell>
          <cell r="L317">
            <v>7.6500000953674316</v>
          </cell>
          <cell r="M317">
            <v>7.6500000953674316</v>
          </cell>
        </row>
      </sheetData>
      <sheetData sheetId="15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1</v>
          </cell>
        </row>
        <row r="4">
          <cell r="B4">
            <v>0</v>
          </cell>
          <cell r="C4">
            <v>1</v>
          </cell>
        </row>
        <row r="5">
          <cell r="B5">
            <v>0</v>
          </cell>
          <cell r="C5">
            <v>1</v>
          </cell>
        </row>
        <row r="6">
          <cell r="B6">
            <v>0</v>
          </cell>
          <cell r="C6">
            <v>1</v>
          </cell>
        </row>
        <row r="7">
          <cell r="B7">
            <v>0</v>
          </cell>
          <cell r="C7">
            <v>1</v>
          </cell>
        </row>
        <row r="8">
          <cell r="B8">
            <v>0</v>
          </cell>
          <cell r="C8">
            <v>1</v>
          </cell>
        </row>
        <row r="9">
          <cell r="B9">
            <v>0</v>
          </cell>
          <cell r="C9">
            <v>1</v>
          </cell>
        </row>
        <row r="10">
          <cell r="B10">
            <v>0</v>
          </cell>
          <cell r="C10">
            <v>1</v>
          </cell>
        </row>
        <row r="11">
          <cell r="B11">
            <v>0</v>
          </cell>
          <cell r="C11">
            <v>1</v>
          </cell>
        </row>
        <row r="12">
          <cell r="B12">
            <v>0</v>
          </cell>
          <cell r="C12">
            <v>1</v>
          </cell>
        </row>
        <row r="13">
          <cell r="B13">
            <v>0</v>
          </cell>
          <cell r="C13">
            <v>1</v>
          </cell>
        </row>
        <row r="14">
          <cell r="B14">
            <v>0</v>
          </cell>
          <cell r="C14">
            <v>1</v>
          </cell>
        </row>
        <row r="15">
          <cell r="B15">
            <v>0</v>
          </cell>
          <cell r="C15">
            <v>1</v>
          </cell>
        </row>
        <row r="16">
          <cell r="B16">
            <v>0</v>
          </cell>
          <cell r="C16">
            <v>1</v>
          </cell>
        </row>
        <row r="17">
          <cell r="B17">
            <v>0</v>
          </cell>
          <cell r="C17">
            <v>1</v>
          </cell>
        </row>
        <row r="18">
          <cell r="B18">
            <v>0</v>
          </cell>
          <cell r="C18">
            <v>1</v>
          </cell>
        </row>
        <row r="19">
          <cell r="B19">
            <v>0</v>
          </cell>
          <cell r="C19">
            <v>1</v>
          </cell>
        </row>
        <row r="20">
          <cell r="B20">
            <v>0</v>
          </cell>
          <cell r="C20">
            <v>1</v>
          </cell>
        </row>
        <row r="21">
          <cell r="B21">
            <v>0</v>
          </cell>
          <cell r="C21">
            <v>1</v>
          </cell>
        </row>
        <row r="22">
          <cell r="B22">
            <v>0</v>
          </cell>
          <cell r="C22">
            <v>1</v>
          </cell>
        </row>
        <row r="23">
          <cell r="B23">
            <v>0</v>
          </cell>
          <cell r="C23">
            <v>1</v>
          </cell>
        </row>
        <row r="24">
          <cell r="B24">
            <v>0</v>
          </cell>
          <cell r="C24">
            <v>1</v>
          </cell>
        </row>
        <row r="25">
          <cell r="B25">
            <v>0</v>
          </cell>
          <cell r="C25">
            <v>1</v>
          </cell>
        </row>
        <row r="26">
          <cell r="B26">
            <v>0</v>
          </cell>
          <cell r="C26">
            <v>1</v>
          </cell>
        </row>
        <row r="27">
          <cell r="B27">
            <v>0</v>
          </cell>
          <cell r="C27">
            <v>1</v>
          </cell>
        </row>
        <row r="28">
          <cell r="B28">
            <v>0</v>
          </cell>
          <cell r="C28">
            <v>1</v>
          </cell>
        </row>
        <row r="29">
          <cell r="B29">
            <v>0</v>
          </cell>
          <cell r="C29">
            <v>1</v>
          </cell>
        </row>
        <row r="30">
          <cell r="B30">
            <v>0</v>
          </cell>
          <cell r="C30">
            <v>1</v>
          </cell>
        </row>
        <row r="31">
          <cell r="B31">
            <v>0</v>
          </cell>
          <cell r="C31">
            <v>1</v>
          </cell>
        </row>
        <row r="32">
          <cell r="B32">
            <v>0</v>
          </cell>
          <cell r="C32">
            <v>1</v>
          </cell>
        </row>
        <row r="33">
          <cell r="B33">
            <v>0</v>
          </cell>
          <cell r="C33">
            <v>1</v>
          </cell>
        </row>
        <row r="34">
          <cell r="B34">
            <v>0</v>
          </cell>
          <cell r="C34">
            <v>1</v>
          </cell>
        </row>
        <row r="35">
          <cell r="B35">
            <v>0</v>
          </cell>
          <cell r="C35">
            <v>1</v>
          </cell>
        </row>
        <row r="36">
          <cell r="B36">
            <v>0</v>
          </cell>
          <cell r="C36">
            <v>1</v>
          </cell>
        </row>
        <row r="37">
          <cell r="B37">
            <v>0</v>
          </cell>
          <cell r="C37">
            <v>1</v>
          </cell>
        </row>
        <row r="38">
          <cell r="B38">
            <v>0</v>
          </cell>
          <cell r="C38">
            <v>1</v>
          </cell>
        </row>
        <row r="39">
          <cell r="B39">
            <v>0</v>
          </cell>
          <cell r="C39">
            <v>1</v>
          </cell>
        </row>
        <row r="40">
          <cell r="B40">
            <v>0</v>
          </cell>
          <cell r="C40">
            <v>1</v>
          </cell>
        </row>
        <row r="41">
          <cell r="B41">
            <v>0</v>
          </cell>
          <cell r="C41">
            <v>1</v>
          </cell>
        </row>
        <row r="42">
          <cell r="B42">
            <v>0</v>
          </cell>
          <cell r="C42">
            <v>1</v>
          </cell>
        </row>
        <row r="43">
          <cell r="B43">
            <v>0</v>
          </cell>
          <cell r="C43">
            <v>1</v>
          </cell>
        </row>
        <row r="44">
          <cell r="B44">
            <v>0</v>
          </cell>
          <cell r="C44">
            <v>1</v>
          </cell>
        </row>
        <row r="45">
          <cell r="B45">
            <v>0</v>
          </cell>
          <cell r="C45">
            <v>1</v>
          </cell>
        </row>
        <row r="46">
          <cell r="B46">
            <v>0</v>
          </cell>
          <cell r="C46">
            <v>1</v>
          </cell>
        </row>
        <row r="47">
          <cell r="B47">
            <v>0</v>
          </cell>
          <cell r="C47">
            <v>1</v>
          </cell>
        </row>
        <row r="48">
          <cell r="B48">
            <v>0</v>
          </cell>
          <cell r="C48">
            <v>1</v>
          </cell>
        </row>
        <row r="49">
          <cell r="B49">
            <v>0</v>
          </cell>
          <cell r="C49">
            <v>1</v>
          </cell>
        </row>
        <row r="50">
          <cell r="B50">
            <v>0</v>
          </cell>
          <cell r="C50">
            <v>1</v>
          </cell>
        </row>
        <row r="51">
          <cell r="B51">
            <v>0</v>
          </cell>
          <cell r="C51">
            <v>1</v>
          </cell>
        </row>
        <row r="52">
          <cell r="B52">
            <v>0</v>
          </cell>
          <cell r="C52">
            <v>1</v>
          </cell>
        </row>
        <row r="53">
          <cell r="B53">
            <v>0</v>
          </cell>
          <cell r="C53">
            <v>1</v>
          </cell>
        </row>
        <row r="54">
          <cell r="B54">
            <v>0</v>
          </cell>
          <cell r="C54">
            <v>1</v>
          </cell>
        </row>
        <row r="55">
          <cell r="B55">
            <v>4.6138162612915039</v>
          </cell>
          <cell r="C55">
            <v>0</v>
          </cell>
        </row>
        <row r="56">
          <cell r="B56">
            <v>4.6142458915710449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B60">
            <v>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B71">
            <v>0</v>
          </cell>
          <cell r="C71">
            <v>0</v>
          </cell>
        </row>
        <row r="72">
          <cell r="B72">
            <v>0</v>
          </cell>
          <cell r="C72">
            <v>1</v>
          </cell>
        </row>
        <row r="73">
          <cell r="B73">
            <v>4.7629218897782266E-5</v>
          </cell>
          <cell r="C73">
            <v>1</v>
          </cell>
        </row>
        <row r="74">
          <cell r="B74">
            <v>4.7629218897782266E-5</v>
          </cell>
          <cell r="C74">
            <v>1</v>
          </cell>
        </row>
        <row r="75">
          <cell r="B75">
            <v>4.7629218897782266E-5</v>
          </cell>
          <cell r="C75">
            <v>1</v>
          </cell>
        </row>
        <row r="76">
          <cell r="B76">
            <v>4.7629218897782266E-5</v>
          </cell>
          <cell r="C76">
            <v>1</v>
          </cell>
        </row>
        <row r="77">
          <cell r="B77">
            <v>4.7629220034650643E-7</v>
          </cell>
          <cell r="C77">
            <v>9.9999997764825821E-3</v>
          </cell>
        </row>
        <row r="78">
          <cell r="B78">
            <v>4.7629219479858875E-3</v>
          </cell>
          <cell r="C78">
            <v>100</v>
          </cell>
        </row>
        <row r="79">
          <cell r="B79">
            <v>4.7629219479858875E-3</v>
          </cell>
          <cell r="C79">
            <v>100</v>
          </cell>
        </row>
        <row r="80">
          <cell r="B80">
            <v>7.5526535511016846E-3</v>
          </cell>
          <cell r="C80">
            <v>100</v>
          </cell>
        </row>
        <row r="81">
          <cell r="B81">
            <v>2.7642752975225449E-2</v>
          </cell>
          <cell r="C81">
            <v>100</v>
          </cell>
        </row>
        <row r="82">
          <cell r="B82">
            <v>2.76456568390131E-2</v>
          </cell>
          <cell r="C82">
            <v>100.010498046875</v>
          </cell>
        </row>
        <row r="83">
          <cell r="B83">
            <v>2.7648704126477242E-2</v>
          </cell>
          <cell r="C83">
            <v>100.02152252197266</v>
          </cell>
        </row>
        <row r="84">
          <cell r="B84">
            <v>2.765190415084362E-2</v>
          </cell>
          <cell r="C84">
            <v>100.03310394287109</v>
          </cell>
        </row>
        <row r="85">
          <cell r="B85">
            <v>2.7655104175209999E-2</v>
          </cell>
          <cell r="C85">
            <v>100.044677734375</v>
          </cell>
        </row>
        <row r="86">
          <cell r="B86">
            <v>2.7658464387059212E-2</v>
          </cell>
          <cell r="C86">
            <v>100.05683135986328</v>
          </cell>
        </row>
        <row r="87">
          <cell r="B87">
            <v>2.7661824598908424E-2</v>
          </cell>
          <cell r="C87">
            <v>100.06898498535156</v>
          </cell>
        </row>
        <row r="88">
          <cell r="B88">
            <v>2.7665184810757637E-2</v>
          </cell>
          <cell r="C88">
            <v>100.08114624023437</v>
          </cell>
        </row>
        <row r="89">
          <cell r="B89">
            <v>2.76685431599617E-2</v>
          </cell>
          <cell r="C89">
            <v>100.09329986572266</v>
          </cell>
        </row>
        <row r="90">
          <cell r="B90">
            <v>2.7672071009874344E-2</v>
          </cell>
          <cell r="C90">
            <v>100.10606384277344</v>
          </cell>
        </row>
        <row r="91">
          <cell r="B91">
            <v>2.7675600722432137E-2</v>
          </cell>
          <cell r="C91">
            <v>100.11882019042969</v>
          </cell>
        </row>
        <row r="92">
          <cell r="B92">
            <v>2.7679303660988808E-2</v>
          </cell>
          <cell r="C92">
            <v>100.13222503662109</v>
          </cell>
        </row>
        <row r="93">
          <cell r="B93">
            <v>2.7683194726705551E-2</v>
          </cell>
          <cell r="C93">
            <v>100.14629364013672</v>
          </cell>
        </row>
        <row r="94">
          <cell r="B94">
            <v>2.7687277644872665E-2</v>
          </cell>
          <cell r="C94">
            <v>100.16107177734375</v>
          </cell>
        </row>
        <row r="95">
          <cell r="B95">
            <v>2.7691565454006195E-2</v>
          </cell>
          <cell r="C95">
            <v>100.17658233642578</v>
          </cell>
        </row>
        <row r="96">
          <cell r="B96">
            <v>2.7695855125784874E-2</v>
          </cell>
          <cell r="C96">
            <v>100.19209289550781</v>
          </cell>
        </row>
        <row r="97">
          <cell r="B97">
            <v>2.7691565454006195E-2</v>
          </cell>
          <cell r="C97">
            <v>100.17658233642578</v>
          </cell>
        </row>
        <row r="98">
          <cell r="B98">
            <v>2.7687063440680504E-2</v>
          </cell>
          <cell r="C98">
            <v>100.16029357910156</v>
          </cell>
        </row>
        <row r="99">
          <cell r="B99">
            <v>2.7682336047291756E-2</v>
          </cell>
          <cell r="C99">
            <v>100.1431884765625</v>
          </cell>
        </row>
        <row r="100">
          <cell r="B100">
            <v>2.7677608653903008E-2</v>
          </cell>
          <cell r="C100">
            <v>100.12609100341797</v>
          </cell>
        </row>
        <row r="101">
          <cell r="B101">
            <v>2.7672642841935158E-2</v>
          </cell>
          <cell r="C101">
            <v>100.10813140869141</v>
          </cell>
        </row>
        <row r="102">
          <cell r="B102">
            <v>2.766743116080761E-2</v>
          </cell>
          <cell r="C102">
            <v>100.08927154541016</v>
          </cell>
        </row>
        <row r="103">
          <cell r="B103">
            <v>2.7661958709359169E-2</v>
          </cell>
          <cell r="C103">
            <v>100.06947326660156</v>
          </cell>
        </row>
        <row r="104">
          <cell r="B104">
            <v>2.7656210586428642E-2</v>
          </cell>
          <cell r="C104">
            <v>100.04868316650391</v>
          </cell>
        </row>
        <row r="105">
          <cell r="B105">
            <v>2.7662245556712151E-2</v>
          </cell>
          <cell r="C105">
            <v>100.07051086425781</v>
          </cell>
        </row>
        <row r="106">
          <cell r="B106">
            <v>2.7668580412864685E-2</v>
          </cell>
          <cell r="C106">
            <v>100.09342956542969</v>
          </cell>
        </row>
        <row r="107">
          <cell r="B107">
            <v>2.7675233781337738E-2</v>
          </cell>
          <cell r="C107">
            <v>100.11750030517578</v>
          </cell>
        </row>
        <row r="108">
          <cell r="B108">
            <v>2.7682218700647354E-2</v>
          </cell>
          <cell r="C108">
            <v>100.14276885986328</v>
          </cell>
        </row>
        <row r="109">
          <cell r="B109">
            <v>2.7689553797245026E-2</v>
          </cell>
          <cell r="C109">
            <v>100.16930389404297</v>
          </cell>
        </row>
        <row r="110">
          <cell r="B110">
            <v>2.7697253972291946E-2</v>
          </cell>
          <cell r="C110">
            <v>100.19715881347656</v>
          </cell>
        </row>
        <row r="111">
          <cell r="B111">
            <v>2.7705341577529907E-2</v>
          </cell>
          <cell r="C111">
            <v>100.22640991210937</v>
          </cell>
        </row>
        <row r="112">
          <cell r="B112">
            <v>2.7713831514120102E-2</v>
          </cell>
          <cell r="C112">
            <v>100.25712585449219</v>
          </cell>
        </row>
        <row r="113">
          <cell r="B113">
            <v>2.7722746133804321E-2</v>
          </cell>
          <cell r="C113">
            <v>100.28938293457031</v>
          </cell>
        </row>
        <row r="114">
          <cell r="B114">
            <v>2.7732107788324356E-2</v>
          </cell>
          <cell r="C114">
            <v>100.3232421875</v>
          </cell>
        </row>
        <row r="115">
          <cell r="B115">
            <v>2.7741936966776848E-2</v>
          </cell>
          <cell r="C115">
            <v>100.35880279541016</v>
          </cell>
        </row>
        <row r="116">
          <cell r="B116">
            <v>2.7770960703492165E-2</v>
          </cell>
          <cell r="C116">
            <v>100.46379852294922</v>
          </cell>
        </row>
        <row r="117">
          <cell r="B117">
            <v>2.7801437303423882E-2</v>
          </cell>
          <cell r="C117">
            <v>100.57405090332031</v>
          </cell>
        </row>
        <row r="118">
          <cell r="B118">
            <v>2.7833437547087669E-2</v>
          </cell>
          <cell r="C118">
            <v>100.68981170654297</v>
          </cell>
        </row>
        <row r="119">
          <cell r="B119">
            <v>2.7865437790751457E-2</v>
          </cell>
          <cell r="C119">
            <v>100.80557250976562</v>
          </cell>
        </row>
        <row r="120">
          <cell r="B120">
            <v>2.7899036183953285E-2</v>
          </cell>
          <cell r="C120">
            <v>100.9271240234375</v>
          </cell>
        </row>
        <row r="121">
          <cell r="B121">
            <v>2.7934316545724869E-2</v>
          </cell>
          <cell r="C121">
            <v>101.05475616455078</v>
          </cell>
        </row>
        <row r="122">
          <cell r="B122">
            <v>2.7971360832452774E-2</v>
          </cell>
          <cell r="C122">
            <v>101.18876647949219</v>
          </cell>
        </row>
        <row r="123">
          <cell r="B123">
            <v>2.8010256588459015E-2</v>
          </cell>
          <cell r="C123">
            <v>101.32947540283203</v>
          </cell>
        </row>
        <row r="124">
          <cell r="B124">
            <v>2.8051098808646202E-2</v>
          </cell>
          <cell r="C124">
            <v>101.47721862792969</v>
          </cell>
        </row>
        <row r="125">
          <cell r="B125">
            <v>2.8093980625271797E-2</v>
          </cell>
          <cell r="C125">
            <v>101.63235473632812</v>
          </cell>
        </row>
        <row r="126">
          <cell r="B126">
            <v>2.8139008209109306E-2</v>
          </cell>
          <cell r="C126">
            <v>101.79524230957031</v>
          </cell>
        </row>
        <row r="127">
          <cell r="B127">
            <v>2.8186285868287086E-2</v>
          </cell>
          <cell r="C127">
            <v>101.96627807617187</v>
          </cell>
        </row>
        <row r="128">
          <cell r="B128">
            <v>2.823592908680439E-2</v>
          </cell>
          <cell r="C128">
            <v>102.14585876464844</v>
          </cell>
        </row>
        <row r="129">
          <cell r="B129">
            <v>2.8288053348660469E-2</v>
          </cell>
          <cell r="C129">
            <v>102.33442687988281</v>
          </cell>
        </row>
        <row r="130">
          <cell r="B130">
            <v>2.8342783451080322E-2</v>
          </cell>
          <cell r="C130">
            <v>102.53241729736328</v>
          </cell>
        </row>
        <row r="131">
          <cell r="B131">
            <v>2.8400251641869545E-2</v>
          </cell>
          <cell r="C131">
            <v>102.74031066894531</v>
          </cell>
        </row>
        <row r="132">
          <cell r="B132">
            <v>2.8457717970013618E-2</v>
          </cell>
          <cell r="C132">
            <v>102.94820404052734</v>
          </cell>
        </row>
        <row r="133">
          <cell r="B133">
            <v>2.8515186160802841E-2</v>
          </cell>
          <cell r="C133">
            <v>103.15609741210937</v>
          </cell>
        </row>
        <row r="134">
          <cell r="B134">
            <v>2.8791613876819611E-2</v>
          </cell>
          <cell r="C134">
            <v>104.15609741210937</v>
          </cell>
        </row>
        <row r="135">
          <cell r="B135">
            <v>2.9081862419843674E-2</v>
          </cell>
          <cell r="C135">
            <v>105.20610046386719</v>
          </cell>
        </row>
        <row r="136">
          <cell r="B136">
            <v>2.9386624693870544E-2</v>
          </cell>
          <cell r="C136">
            <v>106.30859375</v>
          </cell>
        </row>
        <row r="137">
          <cell r="B137">
            <v>2.9691385105252266E-2</v>
          </cell>
          <cell r="C137">
            <v>107.41109466552734</v>
          </cell>
        </row>
        <row r="138">
          <cell r="B138">
            <v>3.0011383816599846E-2</v>
          </cell>
          <cell r="C138">
            <v>108.5687255859375</v>
          </cell>
        </row>
        <row r="139">
          <cell r="B139">
            <v>3.0331384390592575E-2</v>
          </cell>
          <cell r="C139">
            <v>109.72634887695312</v>
          </cell>
        </row>
        <row r="140">
          <cell r="B140">
            <v>3.0667383223772049E-2</v>
          </cell>
          <cell r="C140">
            <v>110.94185638427734</v>
          </cell>
        </row>
        <row r="141">
          <cell r="B141">
            <v>3.1020183116197586E-2</v>
          </cell>
          <cell r="C141">
            <v>112.21813201904297</v>
          </cell>
        </row>
        <row r="142">
          <cell r="B142">
            <v>3.1355343759059906E-2</v>
          </cell>
          <cell r="C142">
            <v>113.43060302734375</v>
          </cell>
        </row>
        <row r="143">
          <cell r="B143">
            <v>3.1673744320869446E-2</v>
          </cell>
          <cell r="C143">
            <v>114.58244323730469</v>
          </cell>
        </row>
        <row r="144">
          <cell r="B144">
            <v>3.1976226717233658E-2</v>
          </cell>
          <cell r="C144">
            <v>115.67669677734375</v>
          </cell>
        </row>
        <row r="145">
          <cell r="B145">
            <v>3.2263580709695816E-2</v>
          </cell>
          <cell r="C145">
            <v>116.71623992919922</v>
          </cell>
        </row>
        <row r="146">
          <cell r="B146">
            <v>3.2536569982767105E-2</v>
          </cell>
          <cell r="C146">
            <v>117.70380401611328</v>
          </cell>
        </row>
        <row r="147">
          <cell r="B147">
            <v>3.2795913517475128E-2</v>
          </cell>
          <cell r="C147">
            <v>118.64198303222656</v>
          </cell>
        </row>
        <row r="148">
          <cell r="B148">
            <v>3.3042285591363907E-2</v>
          </cell>
          <cell r="C148">
            <v>119.53325653076172</v>
          </cell>
        </row>
        <row r="149">
          <cell r="B149">
            <v>3.3276338130235672E-2</v>
          </cell>
          <cell r="C149">
            <v>120.37997436523437</v>
          </cell>
        </row>
        <row r="150">
          <cell r="B150">
            <v>3.3498689532279968E-2</v>
          </cell>
          <cell r="C150">
            <v>121.18434906005859</v>
          </cell>
        </row>
        <row r="151">
          <cell r="B151">
            <v>3.3709924668073654E-2</v>
          </cell>
          <cell r="C151">
            <v>121.94850158691406</v>
          </cell>
        </row>
        <row r="152">
          <cell r="B152">
            <v>3.3498689532279968E-2</v>
          </cell>
          <cell r="C152">
            <v>121.18434906005859</v>
          </cell>
        </row>
        <row r="153">
          <cell r="B153">
            <v>3.3287458121776581E-2</v>
          </cell>
          <cell r="C153">
            <v>120.42018890380859</v>
          </cell>
        </row>
        <row r="154">
          <cell r="B154">
            <v>3.3076222985982895E-2</v>
          </cell>
          <cell r="C154">
            <v>119.65603637695312</v>
          </cell>
        </row>
        <row r="155">
          <cell r="B155">
            <v>3.3287458121776581E-2</v>
          </cell>
          <cell r="C155">
            <v>120.42018890380859</v>
          </cell>
        </row>
        <row r="156">
          <cell r="B156">
            <v>3.3509250730276108E-2</v>
          </cell>
          <cell r="C156">
            <v>121.22255706787109</v>
          </cell>
        </row>
        <row r="157">
          <cell r="B157">
            <v>3.3742137253284454E-2</v>
          </cell>
          <cell r="C157">
            <v>122.06504058837891</v>
          </cell>
        </row>
        <row r="158">
          <cell r="B158">
            <v>3.3975023776292801E-2</v>
          </cell>
          <cell r="C158">
            <v>122.90752410888672</v>
          </cell>
        </row>
        <row r="159">
          <cell r="B159">
            <v>3.4219551831483841E-2</v>
          </cell>
          <cell r="C159">
            <v>123.79212951660156</v>
          </cell>
        </row>
        <row r="160">
          <cell r="B160">
            <v>3.4476310014724731E-2</v>
          </cell>
          <cell r="C160">
            <v>124.72096252441406</v>
          </cell>
        </row>
        <row r="161">
          <cell r="B161">
            <v>3.4745901823043823E-2</v>
          </cell>
          <cell r="C161">
            <v>125.69624328613281</v>
          </cell>
        </row>
        <row r="162">
          <cell r="B162">
            <v>3.5028975456953049E-2</v>
          </cell>
          <cell r="C162">
            <v>126.72029113769531</v>
          </cell>
        </row>
        <row r="163">
          <cell r="B163">
            <v>3.5297896713018417E-2</v>
          </cell>
          <cell r="C163">
            <v>127.69313049316406</v>
          </cell>
        </row>
        <row r="164">
          <cell r="B164">
            <v>3.5553369671106339E-2</v>
          </cell>
          <cell r="C164">
            <v>128.61732482910156</v>
          </cell>
        </row>
        <row r="165">
          <cell r="B165">
            <v>3.5796072334051132E-2</v>
          </cell>
          <cell r="C165">
            <v>129.49531555175781</v>
          </cell>
        </row>
        <row r="166">
          <cell r="B166">
            <v>3.6026638001203537E-2</v>
          </cell>
          <cell r="C166">
            <v>130.32940673828125</v>
          </cell>
        </row>
        <row r="167">
          <cell r="B167">
            <v>3.6245673894882202E-2</v>
          </cell>
          <cell r="C167">
            <v>131.12179565429688</v>
          </cell>
        </row>
        <row r="168">
          <cell r="B168">
            <v>3.6453761160373688E-2</v>
          </cell>
          <cell r="C168">
            <v>131.87455749511719</v>
          </cell>
        </row>
        <row r="169">
          <cell r="B169">
            <v>3.6651439964771271E-2</v>
          </cell>
          <cell r="C169">
            <v>132.58969116210937</v>
          </cell>
        </row>
        <row r="170">
          <cell r="B170">
            <v>3.6651439964771271E-2</v>
          </cell>
          <cell r="C170">
            <v>132.58969116210937</v>
          </cell>
        </row>
        <row r="171">
          <cell r="B171">
            <v>3.6651525646448135E-2</v>
          </cell>
          <cell r="C171">
            <v>132.58999633789063</v>
          </cell>
        </row>
        <row r="172">
          <cell r="B172">
            <v>3.6651525646448135E-2</v>
          </cell>
          <cell r="C172">
            <v>132.58999633789063</v>
          </cell>
        </row>
        <row r="173">
          <cell r="B173">
            <v>3.9415802806615829E-2</v>
          </cell>
          <cell r="C173">
            <v>142.58999633789063</v>
          </cell>
        </row>
        <row r="174">
          <cell r="B174">
            <v>4.2318291962146759E-2</v>
          </cell>
          <cell r="C174">
            <v>153.08999633789062</v>
          </cell>
        </row>
        <row r="175">
          <cell r="B175">
            <v>4.5365907251834869E-2</v>
          </cell>
          <cell r="C175">
            <v>164.11500549316406</v>
          </cell>
        </row>
        <row r="176">
          <cell r="B176">
            <v>4.8413518816232681E-2</v>
          </cell>
          <cell r="C176">
            <v>175.13999938964844</v>
          </cell>
        </row>
        <row r="177">
          <cell r="B177">
            <v>5.1461134105920792E-2</v>
          </cell>
          <cell r="C177">
            <v>186.16499328613281</v>
          </cell>
        </row>
        <row r="178">
          <cell r="B178">
            <v>5.4661128669977188E-2</v>
          </cell>
          <cell r="C178">
            <v>197.74125671386719</v>
          </cell>
        </row>
        <row r="179">
          <cell r="B179">
            <v>5.7861119508743286E-2</v>
          </cell>
          <cell r="C179">
            <v>209.3175048828125</v>
          </cell>
        </row>
        <row r="180">
          <cell r="B180">
            <v>6.1061114072799683E-2</v>
          </cell>
          <cell r="C180">
            <v>220.89375305175781</v>
          </cell>
        </row>
        <row r="181">
          <cell r="B181">
            <v>6.4261108636856079E-2</v>
          </cell>
          <cell r="C181">
            <v>232.47000122070312</v>
          </cell>
        </row>
        <row r="182">
          <cell r="B182">
            <v>6.7621104419231415E-2</v>
          </cell>
          <cell r="C182">
            <v>244.62506103515625</v>
          </cell>
        </row>
        <row r="183">
          <cell r="B183">
            <v>7.098110020160675E-2</v>
          </cell>
          <cell r="C183">
            <v>256.78012084960937</v>
          </cell>
        </row>
        <row r="184">
          <cell r="B184">
            <v>7.4341088533401489E-2</v>
          </cell>
          <cell r="C184">
            <v>268.9351806640625</v>
          </cell>
        </row>
        <row r="185">
          <cell r="B185">
            <v>7.786908745765686E-2</v>
          </cell>
          <cell r="C185">
            <v>281.697998046875</v>
          </cell>
        </row>
        <row r="186">
          <cell r="B186">
            <v>8.1397078931331635E-2</v>
          </cell>
          <cell r="C186">
            <v>294.4608154296875</v>
          </cell>
        </row>
        <row r="187">
          <cell r="B187">
            <v>8.4925070405006409E-2</v>
          </cell>
          <cell r="C187">
            <v>307.2236328125</v>
          </cell>
        </row>
        <row r="188">
          <cell r="B188">
            <v>8.8629469275474548E-2</v>
          </cell>
          <cell r="C188">
            <v>320.62460327148437</v>
          </cell>
        </row>
        <row r="189">
          <cell r="B189">
            <v>9.2333860695362091E-2</v>
          </cell>
          <cell r="C189">
            <v>334.02554321289063</v>
          </cell>
        </row>
        <row r="190">
          <cell r="B190">
            <v>9.6038252115249634E-2</v>
          </cell>
          <cell r="C190">
            <v>347.426513671875</v>
          </cell>
        </row>
        <row r="191">
          <cell r="B191">
            <v>9.9927864968776703E-2</v>
          </cell>
          <cell r="C191">
            <v>361.49749755859375</v>
          </cell>
        </row>
        <row r="192">
          <cell r="B192">
            <v>9.6038252115249634E-2</v>
          </cell>
          <cell r="C192">
            <v>347.426513671875</v>
          </cell>
        </row>
        <row r="193">
          <cell r="B193">
            <v>9.2148639261722565E-2</v>
          </cell>
          <cell r="C193">
            <v>333.35549926757812</v>
          </cell>
        </row>
        <row r="194">
          <cell r="B194">
            <v>8.8259026408195496E-2</v>
          </cell>
          <cell r="C194">
            <v>319.28448486328125</v>
          </cell>
        </row>
        <row r="195">
          <cell r="B195">
            <v>8.4369413554668427E-2</v>
          </cell>
          <cell r="C195">
            <v>305.2135009765625</v>
          </cell>
        </row>
        <row r="196">
          <cell r="B196">
            <v>8.0479800701141357E-2</v>
          </cell>
          <cell r="C196">
            <v>291.14248657226563</v>
          </cell>
        </row>
        <row r="197">
          <cell r="B197">
            <v>7.6590187847614288E-2</v>
          </cell>
          <cell r="C197">
            <v>277.07147216796875</v>
          </cell>
        </row>
        <row r="198">
          <cell r="B198">
            <v>7.2700574994087219E-2</v>
          </cell>
          <cell r="C198">
            <v>263.00048828125</v>
          </cell>
        </row>
        <row r="199">
          <cell r="B199">
            <v>6.881096214056015E-2</v>
          </cell>
          <cell r="C199">
            <v>248.92947387695312</v>
          </cell>
        </row>
        <row r="200">
          <cell r="B200">
            <v>6.4921349287033081E-2</v>
          </cell>
          <cell r="C200">
            <v>234.85847473144531</v>
          </cell>
        </row>
        <row r="201">
          <cell r="B201">
            <v>6.1031736433506012E-2</v>
          </cell>
          <cell r="C201">
            <v>220.78746032714844</v>
          </cell>
        </row>
        <row r="202">
          <cell r="B202">
            <v>5.7142123579978943E-2</v>
          </cell>
          <cell r="C202">
            <v>206.71646118164062</v>
          </cell>
        </row>
        <row r="203">
          <cell r="B203">
            <v>5.3252510726451874E-2</v>
          </cell>
          <cell r="C203">
            <v>192.64546203613281</v>
          </cell>
        </row>
        <row r="204">
          <cell r="B204">
            <v>4.9557376652956009E-2</v>
          </cell>
          <cell r="C204">
            <v>179.27799987792969</v>
          </cell>
        </row>
        <row r="205">
          <cell r="B205">
            <v>4.5862246304750443E-2</v>
          </cell>
          <cell r="C205">
            <v>165.91055297851563</v>
          </cell>
        </row>
        <row r="206">
          <cell r="B206">
            <v>4.2167112231254578E-2</v>
          </cell>
          <cell r="C206">
            <v>152.5430908203125</v>
          </cell>
        </row>
        <row r="207">
          <cell r="B207">
            <v>3.8471978157758713E-2</v>
          </cell>
          <cell r="C207">
            <v>139.17564392089844</v>
          </cell>
        </row>
        <row r="208">
          <cell r="B208">
            <v>3.4776847809553146E-2</v>
          </cell>
          <cell r="C208">
            <v>125.80818939208984</v>
          </cell>
        </row>
        <row r="209">
          <cell r="B209">
            <v>3.1081715598702431E-2</v>
          </cell>
          <cell r="C209">
            <v>112.44073486328125</v>
          </cell>
        </row>
        <row r="210">
          <cell r="B210">
            <v>2.7571339160203934E-2</v>
          </cell>
          <cell r="C210">
            <v>99.741653442382812</v>
          </cell>
        </row>
        <row r="211">
          <cell r="B211">
            <v>2.4060962721705437E-2</v>
          </cell>
          <cell r="C211">
            <v>87.042572021484375</v>
          </cell>
        </row>
        <row r="212">
          <cell r="B212">
            <v>2.0550588145852089E-2</v>
          </cell>
          <cell r="C212">
            <v>74.343490600585938</v>
          </cell>
        </row>
        <row r="213">
          <cell r="B213">
            <v>1.7040211707353592E-2</v>
          </cell>
          <cell r="C213">
            <v>61.6444091796875</v>
          </cell>
        </row>
        <row r="214">
          <cell r="B214">
            <v>1.352983620017767E-2</v>
          </cell>
          <cell r="C214">
            <v>48.945327758789063</v>
          </cell>
        </row>
        <row r="215">
          <cell r="B215">
            <v>1.0194978676736355E-2</v>
          </cell>
          <cell r="C215">
            <v>36.881198883056641</v>
          </cell>
        </row>
        <row r="216">
          <cell r="B216">
            <v>6.8601220846176147E-3</v>
          </cell>
          <cell r="C216">
            <v>24.817071914672852</v>
          </cell>
        </row>
        <row r="217">
          <cell r="B217">
            <v>3.5252650268375874E-3</v>
          </cell>
          <cell r="C217">
            <v>12.752944946289063</v>
          </cell>
        </row>
        <row r="218">
          <cell r="B218">
            <v>1.9040811457671225E-4</v>
          </cell>
          <cell r="C218">
            <v>0.68881744146347046</v>
          </cell>
        </row>
        <row r="219">
          <cell r="B219">
            <v>-3.1444488558918238E-3</v>
          </cell>
          <cell r="C219">
            <v>-11.375309944152832</v>
          </cell>
        </row>
        <row r="220">
          <cell r="B220">
            <v>-6.4793056808412075E-3</v>
          </cell>
          <cell r="C220">
            <v>-23.439437866210937</v>
          </cell>
        </row>
        <row r="221">
          <cell r="B221">
            <v>-9.8141627386212349E-3</v>
          </cell>
          <cell r="C221">
            <v>-35.503562927246094</v>
          </cell>
        </row>
        <row r="222">
          <cell r="B222">
            <v>-1.314902026206255E-2</v>
          </cell>
          <cell r="C222">
            <v>-47.567691802978516</v>
          </cell>
        </row>
        <row r="223">
          <cell r="B223">
            <v>-1.6317134723067284E-2</v>
          </cell>
          <cell r="C223">
            <v>-59.028614044189453</v>
          </cell>
        </row>
        <row r="224">
          <cell r="B224">
            <v>-1.9485248252749443E-2</v>
          </cell>
          <cell r="C224">
            <v>-70.489532470703125</v>
          </cell>
        </row>
        <row r="225">
          <cell r="B225">
            <v>-2.2653361782431602E-2</v>
          </cell>
          <cell r="C225">
            <v>-81.950454711914063</v>
          </cell>
        </row>
        <row r="226">
          <cell r="B226">
            <v>-2.5821477174758911E-2</v>
          </cell>
          <cell r="C226">
            <v>-93.411376953125</v>
          </cell>
        </row>
        <row r="227">
          <cell r="B227">
            <v>-2.8989590704441071E-2</v>
          </cell>
          <cell r="C227">
            <v>-104.87229919433594</v>
          </cell>
        </row>
        <row r="228">
          <cell r="B228">
            <v>-3.215770423412323E-2</v>
          </cell>
          <cell r="C228">
            <v>-116.33321380615234</v>
          </cell>
        </row>
        <row r="229">
          <cell r="B229">
            <v>-3.5325817763805389E-2</v>
          </cell>
          <cell r="C229">
            <v>-127.79413604736328</v>
          </cell>
        </row>
        <row r="230">
          <cell r="B230">
            <v>-3.8493931293487549E-2</v>
          </cell>
          <cell r="C230">
            <v>-139.25506591796875</v>
          </cell>
        </row>
        <row r="231">
          <cell r="B231">
            <v>-4.1662048548460007E-2</v>
          </cell>
          <cell r="C231">
            <v>-150.71597290039062</v>
          </cell>
        </row>
        <row r="232">
          <cell r="B232">
            <v>-4.4830162078142166E-2</v>
          </cell>
          <cell r="C232">
            <v>-162.17689514160156</v>
          </cell>
        </row>
        <row r="233">
          <cell r="B233">
            <v>-4.7998275607824326E-2</v>
          </cell>
          <cell r="C233">
            <v>-173.6378173828125</v>
          </cell>
        </row>
        <row r="234">
          <cell r="B234">
            <v>-5.1007982343435287E-2</v>
          </cell>
          <cell r="C234">
            <v>-184.52569580078125</v>
          </cell>
        </row>
        <row r="235">
          <cell r="B235">
            <v>-4.7998275607824326E-2</v>
          </cell>
          <cell r="C235">
            <v>-173.6378173828125</v>
          </cell>
        </row>
        <row r="236">
          <cell r="B236">
            <v>-4.4988568872213364E-2</v>
          </cell>
          <cell r="C236">
            <v>-162.74993896484375</v>
          </cell>
        </row>
        <row r="237">
          <cell r="B237">
            <v>-4.1978858411312103E-2</v>
          </cell>
          <cell r="C237">
            <v>-151.86207580566406</v>
          </cell>
        </row>
        <row r="238">
          <cell r="B238">
            <v>-3.8969151675701141E-2</v>
          </cell>
          <cell r="C238">
            <v>-140.97419738769531</v>
          </cell>
        </row>
        <row r="239">
          <cell r="B239">
            <v>-3.5959441214799881E-2</v>
          </cell>
          <cell r="C239">
            <v>-130.08631896972656</v>
          </cell>
        </row>
        <row r="240">
          <cell r="B240">
            <v>-3.2949734479188919E-2</v>
          </cell>
          <cell r="C240">
            <v>-119.19844818115234</v>
          </cell>
        </row>
        <row r="241">
          <cell r="B241">
            <v>-2.9940024018287659E-2</v>
          </cell>
          <cell r="C241">
            <v>-108.31056976318359</v>
          </cell>
        </row>
        <row r="242">
          <cell r="B242">
            <v>-2.6930317282676697E-2</v>
          </cell>
          <cell r="C242">
            <v>-97.422698974609375</v>
          </cell>
        </row>
        <row r="243">
          <cell r="B243">
            <v>-2.3920608684420586E-2</v>
          </cell>
          <cell r="C243">
            <v>-86.534820556640625</v>
          </cell>
        </row>
        <row r="244">
          <cell r="B244">
            <v>-2.0910900086164474E-2</v>
          </cell>
          <cell r="C244">
            <v>-75.646949768066406</v>
          </cell>
        </row>
        <row r="245">
          <cell r="B245">
            <v>-1.7901191487908363E-2</v>
          </cell>
          <cell r="C245">
            <v>-64.759071350097656</v>
          </cell>
        </row>
        <row r="246">
          <cell r="B246">
            <v>-1.4891482889652252E-2</v>
          </cell>
          <cell r="C246">
            <v>-53.871196746826172</v>
          </cell>
        </row>
        <row r="247">
          <cell r="B247">
            <v>-1.1881774291396141E-2</v>
          </cell>
          <cell r="C247">
            <v>-42.983322143554688</v>
          </cell>
        </row>
        <row r="248">
          <cell r="B248">
            <v>-8.8720656931400299E-3</v>
          </cell>
          <cell r="C248">
            <v>-32.095447540283203</v>
          </cell>
        </row>
        <row r="249">
          <cell r="B249">
            <v>-5.8623575605452061E-3</v>
          </cell>
          <cell r="C249">
            <v>-21.207572937011719</v>
          </cell>
        </row>
        <row r="250">
          <cell r="B250">
            <v>-2.8526489622890949E-3</v>
          </cell>
          <cell r="C250">
            <v>-10.319698333740234</v>
          </cell>
        </row>
        <row r="251">
          <cell r="B251">
            <v>1.5705953410360962E-4</v>
          </cell>
          <cell r="C251">
            <v>0.56817615032196045</v>
          </cell>
        </row>
        <row r="252">
          <cell r="B252">
            <v>3.1667680013924837E-3</v>
          </cell>
          <cell r="C252">
            <v>11.456050872802734</v>
          </cell>
        </row>
        <row r="253">
          <cell r="B253">
            <v>6.1764763668179512E-3</v>
          </cell>
          <cell r="C253">
            <v>22.343925476074219</v>
          </cell>
        </row>
        <row r="254">
          <cell r="B254">
            <v>9.1861849650740623E-3</v>
          </cell>
          <cell r="C254">
            <v>33.231800079345703</v>
          </cell>
        </row>
        <row r="255">
          <cell r="B255">
            <v>1.2195893563330173E-2</v>
          </cell>
          <cell r="C255">
            <v>44.119674682617188</v>
          </cell>
        </row>
        <row r="256">
          <cell r="B256">
            <v>1.5205602161586285E-2</v>
          </cell>
          <cell r="C256">
            <v>55.007549285888672</v>
          </cell>
        </row>
        <row r="257">
          <cell r="B257">
            <v>1.8215309828519821E-2</v>
          </cell>
          <cell r="C257">
            <v>65.895423889160156</v>
          </cell>
        </row>
        <row r="258">
          <cell r="B258">
            <v>2.1225018426775932E-2</v>
          </cell>
          <cell r="C258">
            <v>76.783302307128906</v>
          </cell>
        </row>
        <row r="259">
          <cell r="B259">
            <v>2.4234727025032043E-2</v>
          </cell>
          <cell r="C259">
            <v>87.671173095703125</v>
          </cell>
        </row>
        <row r="260">
          <cell r="B260">
            <v>2.7244435623288155E-2</v>
          </cell>
          <cell r="C260">
            <v>98.559051513671875</v>
          </cell>
        </row>
        <row r="261">
          <cell r="B261">
            <v>3.0254144221544266E-2</v>
          </cell>
          <cell r="C261">
            <v>109.44692230224609</v>
          </cell>
        </row>
        <row r="262">
          <cell r="B262">
            <v>3.3263850957155228E-2</v>
          </cell>
          <cell r="C262">
            <v>120.33480072021484</v>
          </cell>
        </row>
        <row r="263">
          <cell r="B263">
            <v>3.6273561418056488E-2</v>
          </cell>
          <cell r="C263">
            <v>131.22267150878906</v>
          </cell>
        </row>
        <row r="264">
          <cell r="B264">
            <v>3.9132785052061081E-2</v>
          </cell>
          <cell r="C264">
            <v>141.566162109375</v>
          </cell>
        </row>
        <row r="265">
          <cell r="B265">
            <v>4.1849046945571899E-2</v>
          </cell>
          <cell r="C265">
            <v>151.3924560546875</v>
          </cell>
        </row>
        <row r="266">
          <cell r="B266">
            <v>4.4565308839082718E-2</v>
          </cell>
          <cell r="C266">
            <v>161.21876525878906</v>
          </cell>
        </row>
        <row r="267">
          <cell r="B267">
            <v>4.7281570732593536E-2</v>
          </cell>
          <cell r="C267">
            <v>171.04507446289062</v>
          </cell>
        </row>
        <row r="268">
          <cell r="B268">
            <v>4.9997832626104355E-2</v>
          </cell>
          <cell r="C268">
            <v>180.87138366699219</v>
          </cell>
        </row>
        <row r="269">
          <cell r="B269">
            <v>5.2578281611204147E-2</v>
          </cell>
          <cell r="C269">
            <v>190.20637512207031</v>
          </cell>
        </row>
        <row r="270">
          <cell r="B270">
            <v>5.515873059630394E-2</v>
          </cell>
          <cell r="C270">
            <v>199.54136657714844</v>
          </cell>
        </row>
        <row r="271">
          <cell r="B271">
            <v>5.7739175856113434E-2</v>
          </cell>
          <cell r="C271">
            <v>208.87635803222656</v>
          </cell>
        </row>
        <row r="272">
          <cell r="B272">
            <v>6.0319624841213226E-2</v>
          </cell>
          <cell r="C272">
            <v>218.21134948730469</v>
          </cell>
        </row>
        <row r="273">
          <cell r="B273">
            <v>6.2900073826313019E-2</v>
          </cell>
          <cell r="C273">
            <v>227.54634094238281</v>
          </cell>
        </row>
        <row r="274">
          <cell r="B274">
            <v>6.5480522811412811E-2</v>
          </cell>
          <cell r="C274">
            <v>236.88133239746094</v>
          </cell>
        </row>
        <row r="275">
          <cell r="B275">
            <v>6.8060971796512604E-2</v>
          </cell>
          <cell r="C275">
            <v>246.21632385253906</v>
          </cell>
        </row>
        <row r="276">
          <cell r="B276">
            <v>7.0641420781612396E-2</v>
          </cell>
          <cell r="C276">
            <v>255.55131530761719</v>
          </cell>
        </row>
        <row r="277">
          <cell r="B277">
            <v>7.3221869766712189E-2</v>
          </cell>
          <cell r="C277">
            <v>264.88632202148437</v>
          </cell>
        </row>
        <row r="278">
          <cell r="B278">
            <v>7.5802318751811981E-2</v>
          </cell>
          <cell r="C278">
            <v>274.2213134765625</v>
          </cell>
        </row>
        <row r="279">
          <cell r="B279">
            <v>7.8253746032714844E-2</v>
          </cell>
          <cell r="C279">
            <v>283.08953857421875</v>
          </cell>
        </row>
        <row r="280">
          <cell r="B280">
            <v>8.0705173313617706E-2</v>
          </cell>
          <cell r="C280">
            <v>291.95779418945312</v>
          </cell>
        </row>
        <row r="281">
          <cell r="B281">
            <v>8.3156600594520569E-2</v>
          </cell>
          <cell r="C281">
            <v>300.82601928710937</v>
          </cell>
        </row>
        <row r="282">
          <cell r="B282">
            <v>8.5608027875423431E-2</v>
          </cell>
          <cell r="C282">
            <v>309.69427490234375</v>
          </cell>
        </row>
        <row r="283">
          <cell r="B283">
            <v>8.7936878204345703E-2</v>
          </cell>
          <cell r="C283">
            <v>318.11911010742188</v>
          </cell>
        </row>
        <row r="284">
          <cell r="B284">
            <v>8.5724465548992157E-2</v>
          </cell>
          <cell r="C284">
            <v>310.11550903320312</v>
          </cell>
        </row>
        <row r="285">
          <cell r="B285">
            <v>8.3622679114341736E-2</v>
          </cell>
          <cell r="C285">
            <v>302.51211547851562</v>
          </cell>
        </row>
        <row r="286">
          <cell r="B286">
            <v>8.1520885229110718E-2</v>
          </cell>
          <cell r="C286">
            <v>294.90869140625</v>
          </cell>
        </row>
        <row r="287">
          <cell r="B287">
            <v>7.952418178319931E-2</v>
          </cell>
          <cell r="C287">
            <v>287.68545532226562</v>
          </cell>
        </row>
        <row r="288">
          <cell r="B288">
            <v>7.7527478337287903E-2</v>
          </cell>
          <cell r="C288">
            <v>280.46221923828125</v>
          </cell>
        </row>
        <row r="289">
          <cell r="B289">
            <v>7.5530774891376495E-2</v>
          </cell>
          <cell r="C289">
            <v>273.23898315429687</v>
          </cell>
        </row>
        <row r="290">
          <cell r="B290">
            <v>7.3633909225463867E-2</v>
          </cell>
          <cell r="C290">
            <v>266.37689208984375</v>
          </cell>
        </row>
        <row r="291">
          <cell r="B291">
            <v>7.1831889450550079E-2</v>
          </cell>
          <cell r="C291">
            <v>259.85794067382812</v>
          </cell>
        </row>
        <row r="292">
          <cell r="B292">
            <v>7.0029862225055695E-2</v>
          </cell>
          <cell r="C292">
            <v>253.33895874023437</v>
          </cell>
        </row>
        <row r="293">
          <cell r="B293">
            <v>6.8227842450141907E-2</v>
          </cell>
          <cell r="C293">
            <v>246.81997680664062</v>
          </cell>
        </row>
        <row r="294">
          <cell r="B294">
            <v>6.6515915095806122E-2</v>
          </cell>
          <cell r="C294">
            <v>240.626953125</v>
          </cell>
        </row>
        <row r="295">
          <cell r="B295">
            <v>6.4889587461948395E-2</v>
          </cell>
          <cell r="C295">
            <v>234.74359130859375</v>
          </cell>
        </row>
        <row r="296">
          <cell r="B296">
            <v>6.3263267278671265E-2</v>
          </cell>
          <cell r="C296">
            <v>228.86021423339844</v>
          </cell>
        </row>
        <row r="297">
          <cell r="B297">
            <v>6.1718255281448364E-2</v>
          </cell>
          <cell r="C297">
            <v>223.27101135253906</v>
          </cell>
        </row>
        <row r="298">
          <cell r="B298">
            <v>6.0173243284225464E-2</v>
          </cell>
          <cell r="C298">
            <v>217.68180847167969</v>
          </cell>
        </row>
        <row r="299">
          <cell r="B299">
            <v>5.8628235012292862E-2</v>
          </cell>
          <cell r="C299">
            <v>212.09259033203125</v>
          </cell>
        </row>
        <row r="300">
          <cell r="B300">
            <v>5.7083223015069962E-2</v>
          </cell>
          <cell r="C300">
            <v>206.50338745117187</v>
          </cell>
        </row>
        <row r="301">
          <cell r="B301">
            <v>5.8628235012292862E-2</v>
          </cell>
          <cell r="C301">
            <v>212.09259033203125</v>
          </cell>
        </row>
        <row r="302">
          <cell r="B302">
            <v>6.0095995664596558E-2</v>
          </cell>
          <cell r="C302">
            <v>217.40234375</v>
          </cell>
        </row>
        <row r="303">
          <cell r="B303">
            <v>6.1563752591609955E-2</v>
          </cell>
          <cell r="C303">
            <v>222.71208190917969</v>
          </cell>
        </row>
        <row r="304">
          <cell r="B304">
            <v>6.2958128750324249E-2</v>
          </cell>
          <cell r="C304">
            <v>227.75634765625</v>
          </cell>
        </row>
        <row r="305">
          <cell r="B305">
            <v>6.4282774925231934E-2</v>
          </cell>
          <cell r="C305">
            <v>232.54838562011719</v>
          </cell>
        </row>
        <row r="306">
          <cell r="B306">
            <v>6.5607428550720215E-2</v>
          </cell>
          <cell r="C306">
            <v>237.34042358398437</v>
          </cell>
        </row>
        <row r="307">
          <cell r="B307">
            <v>6.6932082176208496E-2</v>
          </cell>
          <cell r="C307">
            <v>242.13247680664062</v>
          </cell>
        </row>
        <row r="308">
          <cell r="B308">
            <v>6.8190507590770721E-2</v>
          </cell>
          <cell r="C308">
            <v>246.68492126464844</v>
          </cell>
        </row>
        <row r="309">
          <cell r="B309">
            <v>6.944892555475235E-2</v>
          </cell>
          <cell r="C309">
            <v>251.23736572265625</v>
          </cell>
        </row>
        <row r="310">
          <cell r="B310">
            <v>7.0707343518733978E-2</v>
          </cell>
          <cell r="C310">
            <v>255.789794921875</v>
          </cell>
        </row>
        <row r="311">
          <cell r="B311">
            <v>7.1902841329574585E-2</v>
          </cell>
          <cell r="C311">
            <v>260.1146240234375</v>
          </cell>
        </row>
        <row r="312">
          <cell r="B312">
            <v>7.3098346590995789E-2</v>
          </cell>
          <cell r="C312">
            <v>264.439453125</v>
          </cell>
        </row>
        <row r="313">
          <cell r="B313">
            <v>7.4293844401836395E-2</v>
          </cell>
          <cell r="C313">
            <v>268.76425170898437</v>
          </cell>
        </row>
        <row r="314">
          <cell r="B314">
            <v>7.5429566204547882E-2</v>
          </cell>
          <cell r="C314">
            <v>272.87283325195312</v>
          </cell>
        </row>
        <row r="315">
          <cell r="B315">
            <v>7.4350632727146149E-2</v>
          </cell>
          <cell r="C315">
            <v>268.96969604492188</v>
          </cell>
        </row>
        <row r="316">
          <cell r="B316">
            <v>7.3325641453266144E-2</v>
          </cell>
          <cell r="C316">
            <v>265.26168823242187</v>
          </cell>
        </row>
        <row r="317">
          <cell r="B317">
            <v>7.2300650179386139E-2</v>
          </cell>
          <cell r="C317">
            <v>261.5537109375</v>
          </cell>
        </row>
        <row r="318">
          <cell r="B318">
            <v>7.1275658905506134E-2</v>
          </cell>
          <cell r="C318">
            <v>257.845703125</v>
          </cell>
        </row>
        <row r="319">
          <cell r="B319">
            <v>7.0250667631626129E-2</v>
          </cell>
          <cell r="C319">
            <v>254.13772583007812</v>
          </cell>
        </row>
        <row r="320">
          <cell r="B320">
            <v>6.9276921451091766E-2</v>
          </cell>
          <cell r="C320">
            <v>250.61512756347656</v>
          </cell>
        </row>
        <row r="321">
          <cell r="B321">
            <v>6.8303182721138E-2</v>
          </cell>
          <cell r="C321">
            <v>247.092529296875</v>
          </cell>
        </row>
        <row r="322">
          <cell r="B322">
            <v>6.7378126084804535E-2</v>
          </cell>
          <cell r="C322">
            <v>243.74607849121094</v>
          </cell>
        </row>
        <row r="323">
          <cell r="B323">
            <v>6.6453069448471069E-2</v>
          </cell>
          <cell r="C323">
            <v>240.39961242675781</v>
          </cell>
        </row>
        <row r="324">
          <cell r="B324">
            <v>6.5528020262718201E-2</v>
          </cell>
          <cell r="C324">
            <v>237.05314636230469</v>
          </cell>
        </row>
        <row r="325">
          <cell r="B325">
            <v>6.4602963626384735E-2</v>
          </cell>
          <cell r="C325">
            <v>233.70668029785156</v>
          </cell>
        </row>
        <row r="326">
          <cell r="B326">
            <v>6.367790699005127E-2</v>
          </cell>
          <cell r="C326">
            <v>230.36021423339844</v>
          </cell>
        </row>
        <row r="327">
          <cell r="B327">
            <v>6.2752850353717804E-2</v>
          </cell>
          <cell r="C327">
            <v>227.01374816894531</v>
          </cell>
        </row>
        <row r="328">
          <cell r="B328">
            <v>6.187405064702034E-2</v>
          </cell>
          <cell r="C328">
            <v>223.83460998535156</v>
          </cell>
        </row>
        <row r="329">
          <cell r="B329">
            <v>6.1039190739393234E-2</v>
          </cell>
          <cell r="C329">
            <v>220.81443786621094</v>
          </cell>
        </row>
        <row r="330">
          <cell r="B330">
            <v>6.020432710647583E-2</v>
          </cell>
          <cell r="C330">
            <v>217.79425048828125</v>
          </cell>
        </row>
        <row r="331">
          <cell r="B331">
            <v>5.941120907664299E-2</v>
          </cell>
          <cell r="C331">
            <v>214.92507934570312</v>
          </cell>
        </row>
        <row r="332">
          <cell r="B332">
            <v>5.8657746762037277E-2</v>
          </cell>
          <cell r="C332">
            <v>212.19935607910156</v>
          </cell>
        </row>
        <row r="333">
          <cell r="B333">
            <v>5.794195830821991E-2</v>
          </cell>
          <cell r="C333">
            <v>209.60992431640625</v>
          </cell>
        </row>
        <row r="334">
          <cell r="B334">
            <v>5.7261958718299866E-2</v>
          </cell>
          <cell r="C334">
            <v>207.14997863769531</v>
          </cell>
        </row>
        <row r="335">
          <cell r="B335">
            <v>5.6615956127643585E-2</v>
          </cell>
          <cell r="C335">
            <v>204.81301879882812</v>
          </cell>
        </row>
        <row r="336">
          <cell r="B336">
            <v>5.5969957262277603E-2</v>
          </cell>
          <cell r="C336">
            <v>202.47605895996094</v>
          </cell>
        </row>
        <row r="337">
          <cell r="B337">
            <v>5.5323958396911621E-2</v>
          </cell>
          <cell r="C337">
            <v>200.13909912109375</v>
          </cell>
        </row>
        <row r="338">
          <cell r="B338">
            <v>5.4710257798433304E-2</v>
          </cell>
          <cell r="C338">
            <v>197.91897583007812</v>
          </cell>
        </row>
        <row r="339">
          <cell r="B339">
            <v>5.529327318072319E-2</v>
          </cell>
          <cell r="C339">
            <v>200.02809143066406</v>
          </cell>
        </row>
        <row r="340">
          <cell r="B340">
            <v>5.4739408195018768E-2</v>
          </cell>
          <cell r="C340">
            <v>198.02442932128906</v>
          </cell>
        </row>
        <row r="341">
          <cell r="B341">
            <v>5.4185543209314346E-2</v>
          </cell>
          <cell r="C341">
            <v>196.02078247070313</v>
          </cell>
        </row>
        <row r="342">
          <cell r="B342">
            <v>5.365937203168869E-2</v>
          </cell>
          <cell r="C342">
            <v>194.11732482910156</v>
          </cell>
        </row>
        <row r="343">
          <cell r="B343">
            <v>5.3133200854063034E-2</v>
          </cell>
          <cell r="C343">
            <v>192.21385192871094</v>
          </cell>
        </row>
        <row r="344">
          <cell r="B344">
            <v>5.2607029676437378E-2</v>
          </cell>
          <cell r="C344">
            <v>190.31037902832031</v>
          </cell>
        </row>
        <row r="345">
          <cell r="B345">
            <v>5.2054550498723984E-2</v>
          </cell>
          <cell r="C345">
            <v>188.31173706054687</v>
          </cell>
        </row>
        <row r="346">
          <cell r="B346">
            <v>5.150207132101059E-2</v>
          </cell>
          <cell r="C346">
            <v>186.31309509277344</v>
          </cell>
        </row>
        <row r="347">
          <cell r="B347">
            <v>5.0949592143297195E-2</v>
          </cell>
          <cell r="C347">
            <v>184.314453125</v>
          </cell>
        </row>
        <row r="348">
          <cell r="B348">
            <v>5.0397112965583801E-2</v>
          </cell>
          <cell r="C348">
            <v>182.31581115722656</v>
          </cell>
        </row>
        <row r="349">
          <cell r="B349">
            <v>4.9844630062580109E-2</v>
          </cell>
          <cell r="C349">
            <v>180.31716918945312</v>
          </cell>
        </row>
        <row r="350">
          <cell r="B350">
            <v>4.9292150884866714E-2</v>
          </cell>
          <cell r="C350">
            <v>178.31852722167969</v>
          </cell>
        </row>
        <row r="351">
          <cell r="B351">
            <v>4.873967170715332E-2</v>
          </cell>
          <cell r="C351">
            <v>176.31988525390625</v>
          </cell>
        </row>
        <row r="352">
          <cell r="B352">
            <v>4.8187192529439926E-2</v>
          </cell>
          <cell r="C352">
            <v>174.32124328613281</v>
          </cell>
        </row>
        <row r="353">
          <cell r="B353">
            <v>4.7634713351726532E-2</v>
          </cell>
          <cell r="C353">
            <v>172.32260131835937</v>
          </cell>
        </row>
        <row r="354">
          <cell r="B354">
            <v>4.7109857201576233E-2</v>
          </cell>
          <cell r="C354">
            <v>170.42388916015625</v>
          </cell>
        </row>
        <row r="355">
          <cell r="B355">
            <v>4.6585001051425934E-2</v>
          </cell>
          <cell r="C355">
            <v>168.52517700195312</v>
          </cell>
        </row>
        <row r="356">
          <cell r="B356">
            <v>4.6086389571428299E-2</v>
          </cell>
          <cell r="C356">
            <v>166.72140502929687</v>
          </cell>
        </row>
        <row r="357">
          <cell r="B357">
            <v>4.5587774366140366E-2</v>
          </cell>
          <cell r="C357">
            <v>164.91763305664062</v>
          </cell>
        </row>
        <row r="358">
          <cell r="B358">
            <v>4.5114092528820038E-2</v>
          </cell>
          <cell r="C358">
            <v>163.20405578613281</v>
          </cell>
        </row>
        <row r="359">
          <cell r="B359">
            <v>4.464041069149971E-2</v>
          </cell>
          <cell r="C359">
            <v>161.49046325683594</v>
          </cell>
        </row>
        <row r="360">
          <cell r="B360">
            <v>4.4190414249897003E-2</v>
          </cell>
          <cell r="C360">
            <v>159.86256408691406</v>
          </cell>
        </row>
        <row r="361">
          <cell r="B361">
            <v>4.3762914836406708E-2</v>
          </cell>
          <cell r="C361">
            <v>158.3160400390625</v>
          </cell>
        </row>
        <row r="362">
          <cell r="B362">
            <v>4.3356791138648987E-2</v>
          </cell>
          <cell r="C362">
            <v>156.84686279296875</v>
          </cell>
        </row>
        <row r="363">
          <cell r="B363">
            <v>4.2970973998308182E-2</v>
          </cell>
          <cell r="C363">
            <v>155.45114135742187</v>
          </cell>
        </row>
        <row r="364">
          <cell r="B364">
            <v>4.2604446411132813E-2</v>
          </cell>
          <cell r="C364">
            <v>154.12519836425781</v>
          </cell>
        </row>
        <row r="365">
          <cell r="B365">
            <v>4.2237922549247742E-2</v>
          </cell>
          <cell r="C365">
            <v>152.79925537109375</v>
          </cell>
        </row>
        <row r="366">
          <cell r="B366">
            <v>4.1871394962072372E-2</v>
          </cell>
          <cell r="C366">
            <v>151.47331237792969</v>
          </cell>
        </row>
        <row r="367">
          <cell r="B367">
            <v>4.1523195803165436E-2</v>
          </cell>
          <cell r="C367">
            <v>150.21366882324219</v>
          </cell>
        </row>
        <row r="368">
          <cell r="B368">
            <v>4.1174996644258499E-2</v>
          </cell>
          <cell r="C368">
            <v>148.95402526855469</v>
          </cell>
        </row>
        <row r="369">
          <cell r="B369">
            <v>4.0826793760061264E-2</v>
          </cell>
          <cell r="C369">
            <v>147.69438171386719</v>
          </cell>
        </row>
        <row r="370">
          <cell r="B370">
            <v>4.0496006608009338E-2</v>
          </cell>
          <cell r="C370">
            <v>146.49772644042969</v>
          </cell>
        </row>
        <row r="371">
          <cell r="B371">
            <v>4.0181756019592285E-2</v>
          </cell>
          <cell r="C371">
            <v>145.36090087890625</v>
          </cell>
        </row>
        <row r="372">
          <cell r="B372">
            <v>3.9883218705654144E-2</v>
          </cell>
          <cell r="C372">
            <v>144.28091430664062</v>
          </cell>
        </row>
        <row r="373">
          <cell r="B373">
            <v>3.9599604904651642E-2</v>
          </cell>
          <cell r="C373">
            <v>143.25492858886719</v>
          </cell>
        </row>
        <row r="374">
          <cell r="B374">
            <v>3.9330177009105682E-2</v>
          </cell>
          <cell r="C374">
            <v>142.28024291992187</v>
          </cell>
        </row>
        <row r="375">
          <cell r="B375">
            <v>3.9074216037988663E-2</v>
          </cell>
          <cell r="C375">
            <v>141.35427856445312</v>
          </cell>
        </row>
        <row r="376">
          <cell r="B376">
            <v>3.8831055164337158E-2</v>
          </cell>
          <cell r="C376">
            <v>140.47462463378906</v>
          </cell>
        </row>
        <row r="377">
          <cell r="B377">
            <v>3.8600053638219833E-2</v>
          </cell>
          <cell r="C377">
            <v>139.63896179199219</v>
          </cell>
        </row>
        <row r="378">
          <cell r="B378">
            <v>3.836904838681221E-2</v>
          </cell>
          <cell r="C378">
            <v>138.80328369140625</v>
          </cell>
        </row>
        <row r="379">
          <cell r="B379">
            <v>3.8149595260620117E-2</v>
          </cell>
          <cell r="C379">
            <v>138.0093994140625</v>
          </cell>
        </row>
        <row r="380">
          <cell r="B380">
            <v>3.7941116839647293E-2</v>
          </cell>
          <cell r="C380">
            <v>137.25520324707031</v>
          </cell>
        </row>
        <row r="381">
          <cell r="B381">
            <v>3.7743061780929565E-2</v>
          </cell>
          <cell r="C381">
            <v>136.53871154785156</v>
          </cell>
        </row>
        <row r="382">
          <cell r="B382">
            <v>3.755490854382515E-2</v>
          </cell>
          <cell r="C382">
            <v>135.85804748535156</v>
          </cell>
        </row>
        <row r="383">
          <cell r="B383">
            <v>3.7366751581430435E-2</v>
          </cell>
          <cell r="C383">
            <v>135.17738342285156</v>
          </cell>
        </row>
        <row r="384">
          <cell r="B384">
            <v>3.7188008427619934E-2</v>
          </cell>
          <cell r="C384">
            <v>134.53076171875</v>
          </cell>
        </row>
        <row r="385">
          <cell r="B385">
            <v>3.7018198519945145E-2</v>
          </cell>
          <cell r="C385">
            <v>133.91647338867187</v>
          </cell>
        </row>
        <row r="386">
          <cell r="B386">
            <v>3.6856882274150848E-2</v>
          </cell>
          <cell r="C386">
            <v>133.3328857421875</v>
          </cell>
        </row>
        <row r="387">
          <cell r="B387">
            <v>3.6695562303066254E-2</v>
          </cell>
          <cell r="C387">
            <v>132.74929809570312</v>
          </cell>
        </row>
        <row r="388">
          <cell r="B388">
            <v>3.6534246057271957E-2</v>
          </cell>
          <cell r="C388">
            <v>132.16572570800781</v>
          </cell>
        </row>
        <row r="389">
          <cell r="B389">
            <v>3.6372926086187363E-2</v>
          </cell>
          <cell r="C389">
            <v>131.58213806152344</v>
          </cell>
        </row>
        <row r="390">
          <cell r="B390">
            <v>3.6219675093889236E-2</v>
          </cell>
          <cell r="C390">
            <v>131.02774047851563</v>
          </cell>
        </row>
        <row r="391">
          <cell r="B391">
            <v>3.606642410159111E-2</v>
          </cell>
          <cell r="C391">
            <v>130.47334289550781</v>
          </cell>
        </row>
        <row r="392">
          <cell r="B392">
            <v>3.5913169384002686E-2</v>
          </cell>
          <cell r="C392">
            <v>129.91893005371094</v>
          </cell>
        </row>
        <row r="393">
          <cell r="B393">
            <v>3.6074087023735046E-2</v>
          </cell>
          <cell r="C393">
            <v>130.50105285644531</v>
          </cell>
        </row>
        <row r="394">
          <cell r="B394">
            <v>3.6235000938177109E-2</v>
          </cell>
          <cell r="C394">
            <v>131.08317565917969</v>
          </cell>
        </row>
        <row r="395">
          <cell r="B395">
            <v>3.6403961479663849E-2</v>
          </cell>
          <cell r="C395">
            <v>131.69441223144531</v>
          </cell>
        </row>
        <row r="396">
          <cell r="B396">
            <v>3.6572922021150589E-2</v>
          </cell>
          <cell r="C396">
            <v>132.30563354492188</v>
          </cell>
        </row>
        <row r="397">
          <cell r="B397">
            <v>3.6741882562637329E-2</v>
          </cell>
          <cell r="C397">
            <v>132.9168701171875</v>
          </cell>
        </row>
        <row r="398">
          <cell r="B398">
            <v>3.6919292062520981E-2</v>
          </cell>
          <cell r="C398">
            <v>133.55865478515625</v>
          </cell>
        </row>
        <row r="399">
          <cell r="B399">
            <v>3.7105567753314972E-2</v>
          </cell>
          <cell r="C399">
            <v>134.23252868652344</v>
          </cell>
        </row>
        <row r="400">
          <cell r="B400">
            <v>3.7301160395145416E-2</v>
          </cell>
          <cell r="C400">
            <v>134.94010925292969</v>
          </cell>
        </row>
        <row r="401">
          <cell r="B401">
            <v>3.7496753036975861E-2</v>
          </cell>
          <cell r="C401">
            <v>135.64767456054687</v>
          </cell>
        </row>
        <row r="402">
          <cell r="B402">
            <v>3.7692349404096603E-2</v>
          </cell>
          <cell r="C402">
            <v>136.35525512695312</v>
          </cell>
        </row>
        <row r="403">
          <cell r="B403">
            <v>3.7887942045927048E-2</v>
          </cell>
          <cell r="C403">
            <v>137.06283569335937</v>
          </cell>
        </row>
        <row r="404">
          <cell r="B404">
            <v>3.8093313574790955E-2</v>
          </cell>
          <cell r="C404">
            <v>137.8057861328125</v>
          </cell>
        </row>
        <row r="405">
          <cell r="B405">
            <v>3.8308955729007721E-2</v>
          </cell>
          <cell r="C405">
            <v>138.58587646484375</v>
          </cell>
        </row>
        <row r="406">
          <cell r="B406">
            <v>3.8535378873348236E-2</v>
          </cell>
          <cell r="C406">
            <v>139.40498352050781</v>
          </cell>
        </row>
        <row r="407">
          <cell r="B407">
            <v>3.8773123174905777E-2</v>
          </cell>
          <cell r="C407">
            <v>140.26504516601562</v>
          </cell>
        </row>
        <row r="408">
          <cell r="B408">
            <v>3.9022751152515411E-2</v>
          </cell>
          <cell r="C408">
            <v>141.16810607910156</v>
          </cell>
        </row>
        <row r="409">
          <cell r="B409">
            <v>3.928486630320549E-2</v>
          </cell>
          <cell r="C409">
            <v>142.1163330078125</v>
          </cell>
        </row>
        <row r="410">
          <cell r="B410">
            <v>3.9560083299875259E-2</v>
          </cell>
          <cell r="C410">
            <v>143.11195373535156</v>
          </cell>
        </row>
        <row r="411">
          <cell r="B411">
            <v>3.9849065244197845E-2</v>
          </cell>
          <cell r="C411">
            <v>144.15736389160156</v>
          </cell>
        </row>
        <row r="412">
          <cell r="B412">
            <v>4.0152493864297867E-2</v>
          </cell>
          <cell r="C412">
            <v>145.25503540039062</v>
          </cell>
        </row>
        <row r="413">
          <cell r="B413">
            <v>4.0471091866493225E-2</v>
          </cell>
          <cell r="C413">
            <v>146.40760803222656</v>
          </cell>
        </row>
        <row r="414">
          <cell r="B414">
            <v>4.0805622935295105E-2</v>
          </cell>
          <cell r="C414">
            <v>147.6177978515625</v>
          </cell>
        </row>
        <row r="415">
          <cell r="B415">
            <v>4.1156880557537079E-2</v>
          </cell>
          <cell r="C415">
            <v>148.88848876953125</v>
          </cell>
        </row>
        <row r="416">
          <cell r="B416">
            <v>4.1525699198246002E-2</v>
          </cell>
          <cell r="C416">
            <v>150.22273254394531</v>
          </cell>
        </row>
        <row r="417">
          <cell r="B417">
            <v>4.191296175122261E-2</v>
          </cell>
          <cell r="C417">
            <v>151.62367248535156</v>
          </cell>
        </row>
        <row r="418">
          <cell r="B418">
            <v>4.2319584637880325E-2</v>
          </cell>
          <cell r="C418">
            <v>153.09466552734375</v>
          </cell>
        </row>
        <row r="419">
          <cell r="B419">
            <v>4.2746536433696747E-2</v>
          </cell>
          <cell r="C419">
            <v>154.63922119140625</v>
          </cell>
        </row>
        <row r="420">
          <cell r="B420">
            <v>4.3194841593503952E-2</v>
          </cell>
          <cell r="C420">
            <v>156.260986328125</v>
          </cell>
        </row>
        <row r="421">
          <cell r="B421">
            <v>4.3665558099746704E-2</v>
          </cell>
          <cell r="C421">
            <v>157.96385192871094</v>
          </cell>
        </row>
        <row r="422">
          <cell r="B422">
            <v>4.4159810990095139E-2</v>
          </cell>
          <cell r="C422">
            <v>159.75184631347656</v>
          </cell>
        </row>
        <row r="423">
          <cell r="B423">
            <v>4.4678777456283569E-2</v>
          </cell>
          <cell r="C423">
            <v>161.62925720214844</v>
          </cell>
        </row>
        <row r="424">
          <cell r="B424">
            <v>4.5223690569400787E-2</v>
          </cell>
          <cell r="C424">
            <v>163.60052490234375</v>
          </cell>
        </row>
        <row r="425">
          <cell r="B425">
            <v>4.4651530683040619E-2</v>
          </cell>
          <cell r="C425">
            <v>161.53068542480469</v>
          </cell>
        </row>
        <row r="426">
          <cell r="B426">
            <v>4.4050764292478561E-2</v>
          </cell>
          <cell r="C426">
            <v>159.35736083984375</v>
          </cell>
        </row>
        <row r="427">
          <cell r="B427">
            <v>4.4681571424007416E-2</v>
          </cell>
          <cell r="C427">
            <v>161.63935852050781</v>
          </cell>
        </row>
        <row r="428">
          <cell r="B428">
            <v>4.5343916863203049E-2</v>
          </cell>
          <cell r="C428">
            <v>164.03544616699219</v>
          </cell>
        </row>
        <row r="429">
          <cell r="B429">
            <v>4.6039380133152008E-2</v>
          </cell>
          <cell r="C429">
            <v>166.55136108398437</v>
          </cell>
        </row>
        <row r="430">
          <cell r="B430">
            <v>4.6769618988037109E-2</v>
          </cell>
          <cell r="C430">
            <v>169.19305419921875</v>
          </cell>
        </row>
        <row r="431">
          <cell r="B431">
            <v>4.7536365687847137E-2</v>
          </cell>
          <cell r="C431">
            <v>171.96682739257812</v>
          </cell>
        </row>
        <row r="432">
          <cell r="B432">
            <v>4.8341453075408936E-2</v>
          </cell>
          <cell r="C432">
            <v>174.87930297851563</v>
          </cell>
        </row>
        <row r="433">
          <cell r="B433">
            <v>4.9186795949935913E-2</v>
          </cell>
          <cell r="C433">
            <v>177.93739318847656</v>
          </cell>
        </row>
        <row r="434">
          <cell r="B434">
            <v>5.0074402242898941E-2</v>
          </cell>
          <cell r="C434">
            <v>181.14839172363281</v>
          </cell>
        </row>
        <row r="435">
          <cell r="B435">
            <v>5.1006391644477844E-2</v>
          </cell>
          <cell r="C435">
            <v>184.51992797851563</v>
          </cell>
        </row>
        <row r="436">
          <cell r="B436">
            <v>5.1984980702400208E-2</v>
          </cell>
          <cell r="C436">
            <v>188.06005859375</v>
          </cell>
        </row>
        <row r="437">
          <cell r="B437">
            <v>5.301249772310257E-2</v>
          </cell>
          <cell r="C437">
            <v>191.77719116210937</v>
          </cell>
        </row>
        <row r="438">
          <cell r="B438">
            <v>5.409139022231102E-2</v>
          </cell>
          <cell r="C438">
            <v>195.68017578125</v>
          </cell>
        </row>
        <row r="439">
          <cell r="B439">
            <v>5.5224228650331497E-2</v>
          </cell>
          <cell r="C439">
            <v>199.77830505371094</v>
          </cell>
        </row>
        <row r="440">
          <cell r="B440">
            <v>5.6413706392049789E-2</v>
          </cell>
          <cell r="C440">
            <v>204.08135986328125</v>
          </cell>
        </row>
        <row r="441">
          <cell r="B441">
            <v>5.7662658393383026E-2</v>
          </cell>
          <cell r="C441">
            <v>208.59954833984375</v>
          </cell>
        </row>
        <row r="442">
          <cell r="B442">
            <v>5.8974061161279678E-2</v>
          </cell>
          <cell r="C442">
            <v>213.34365844726562</v>
          </cell>
        </row>
        <row r="443">
          <cell r="B443">
            <v>6.0351032763719559E-2</v>
          </cell>
          <cell r="C443">
            <v>218.32496643066406</v>
          </cell>
        </row>
        <row r="444">
          <cell r="B444">
            <v>6.1796851456165314E-2</v>
          </cell>
          <cell r="C444">
            <v>223.55534362792969</v>
          </cell>
        </row>
        <row r="445">
          <cell r="B445">
            <v>6.3314966857433319E-2</v>
          </cell>
          <cell r="C445">
            <v>229.0472412109375</v>
          </cell>
        </row>
        <row r="446">
          <cell r="B446">
            <v>6.4908981323242188E-2</v>
          </cell>
          <cell r="C446">
            <v>234.813720703125</v>
          </cell>
        </row>
        <row r="447">
          <cell r="B447">
            <v>6.658269464969635E-2</v>
          </cell>
          <cell r="C447">
            <v>240.86854553222656</v>
          </cell>
        </row>
        <row r="448">
          <cell r="B448">
            <v>6.825641542673111E-2</v>
          </cell>
          <cell r="C448">
            <v>246.92335510253906</v>
          </cell>
        </row>
        <row r="449">
          <cell r="B449">
            <v>7.0013821125030518E-2</v>
          </cell>
          <cell r="C449">
            <v>253.28089904785156</v>
          </cell>
        </row>
        <row r="450">
          <cell r="B450">
            <v>7.1859091520309448E-2</v>
          </cell>
          <cell r="C450">
            <v>259.95632934570312</v>
          </cell>
        </row>
        <row r="451">
          <cell r="B451">
            <v>7.3796629905700684E-2</v>
          </cell>
          <cell r="C451">
            <v>266.96554565429687</v>
          </cell>
        </row>
        <row r="452">
          <cell r="B452">
            <v>7.1859091520309448E-2</v>
          </cell>
          <cell r="C452">
            <v>259.95632934570312</v>
          </cell>
        </row>
        <row r="453">
          <cell r="B453">
            <v>7.0018433034420013E-2</v>
          </cell>
          <cell r="C453">
            <v>253.29759216308594</v>
          </cell>
        </row>
        <row r="454">
          <cell r="B454">
            <v>6.8177767097949982E-2</v>
          </cell>
          <cell r="C454">
            <v>246.63885498046875</v>
          </cell>
        </row>
        <row r="455">
          <cell r="B455">
            <v>6.6337108612060547E-2</v>
          </cell>
          <cell r="C455">
            <v>239.9801025390625</v>
          </cell>
        </row>
        <row r="456">
          <cell r="B456">
            <v>6.4496450126171112E-2</v>
          </cell>
          <cell r="C456">
            <v>233.32136535644531</v>
          </cell>
        </row>
        <row r="457">
          <cell r="B457">
            <v>6.2655791640281677E-2</v>
          </cell>
          <cell r="C457">
            <v>226.66262817382812</v>
          </cell>
        </row>
        <row r="458">
          <cell r="B458">
            <v>6.0815129429101944E-2</v>
          </cell>
          <cell r="C458">
            <v>220.00387573242187</v>
          </cell>
        </row>
        <row r="459">
          <cell r="B459">
            <v>5.9066504240036011E-2</v>
          </cell>
          <cell r="C459">
            <v>213.67807006835937</v>
          </cell>
        </row>
        <row r="460">
          <cell r="B460">
            <v>5.740530788898468E-2</v>
          </cell>
          <cell r="C460">
            <v>207.66854858398437</v>
          </cell>
        </row>
        <row r="461">
          <cell r="B461">
            <v>5.574411153793335E-2</v>
          </cell>
          <cell r="C461">
            <v>201.65904235839844</v>
          </cell>
        </row>
        <row r="462">
          <cell r="B462">
            <v>5.4082915186882019E-2</v>
          </cell>
          <cell r="C462">
            <v>195.64952087402344</v>
          </cell>
        </row>
        <row r="463">
          <cell r="B463">
            <v>5.2504781633615494E-2</v>
          </cell>
          <cell r="C463">
            <v>189.94047546386719</v>
          </cell>
        </row>
        <row r="464">
          <cell r="B464">
            <v>5.092664435505867E-2</v>
          </cell>
          <cell r="C464">
            <v>184.2314453125</v>
          </cell>
        </row>
        <row r="465">
          <cell r="B465">
            <v>4.9427416175603867E-2</v>
          </cell>
          <cell r="C465">
            <v>178.807861328125</v>
          </cell>
        </row>
        <row r="466">
          <cell r="B466">
            <v>4.7928184270858765E-2</v>
          </cell>
          <cell r="C466">
            <v>173.38426208496094</v>
          </cell>
        </row>
        <row r="467">
          <cell r="B467">
            <v>4.6503916382789612E-2</v>
          </cell>
          <cell r="C467">
            <v>168.23185729980469</v>
          </cell>
        </row>
        <row r="468">
          <cell r="B468">
            <v>4.5079652220010757E-2</v>
          </cell>
          <cell r="C468">
            <v>163.07945251464844</v>
          </cell>
        </row>
        <row r="469">
          <cell r="B469">
            <v>4.3726596981287003E-2</v>
          </cell>
          <cell r="C469">
            <v>158.18466186523437</v>
          </cell>
        </row>
        <row r="470">
          <cell r="B470">
            <v>4.2373541742563248E-2</v>
          </cell>
          <cell r="C470">
            <v>153.28987121582031</v>
          </cell>
        </row>
        <row r="471">
          <cell r="B471">
            <v>4.1020486503839493E-2</v>
          </cell>
          <cell r="C471">
            <v>148.39508056640625</v>
          </cell>
        </row>
        <row r="472">
          <cell r="B472">
            <v>3.9735086262226105E-2</v>
          </cell>
          <cell r="C472">
            <v>143.74504089355469</v>
          </cell>
        </row>
        <row r="473">
          <cell r="B473">
            <v>3.8513954728841782E-2</v>
          </cell>
          <cell r="C473">
            <v>139.32748413085937</v>
          </cell>
        </row>
        <row r="474">
          <cell r="B474">
            <v>3.7353880703449249E-2</v>
          </cell>
          <cell r="C474">
            <v>135.13081359863281</v>
          </cell>
        </row>
        <row r="475">
          <cell r="B475">
            <v>3.6251809448003769E-2</v>
          </cell>
          <cell r="C475">
            <v>131.14398193359375</v>
          </cell>
        </row>
        <row r="476">
          <cell r="B476">
            <v>3.5204838961362839E-2</v>
          </cell>
          <cell r="C476">
            <v>127.35649108886719</v>
          </cell>
        </row>
        <row r="477">
          <cell r="B477">
            <v>3.4210219979286194E-2</v>
          </cell>
          <cell r="C477">
            <v>123.75836944580078</v>
          </cell>
        </row>
        <row r="478">
          <cell r="B478">
            <v>3.3265333622694016E-2</v>
          </cell>
          <cell r="C478">
            <v>120.34015655517578</v>
          </cell>
        </row>
        <row r="479">
          <cell r="B479">
            <v>3.2320443540811539E-2</v>
          </cell>
          <cell r="C479">
            <v>116.92194366455078</v>
          </cell>
        </row>
        <row r="480">
          <cell r="B480">
            <v>3.137555718421936E-2</v>
          </cell>
          <cell r="C480">
            <v>113.50373077392578</v>
          </cell>
        </row>
        <row r="481">
          <cell r="B481">
            <v>3.2320443540811539E-2</v>
          </cell>
          <cell r="C481">
            <v>116.92194366455078</v>
          </cell>
        </row>
        <row r="482">
          <cell r="B482">
            <v>3.3218089491128922E-2</v>
          </cell>
          <cell r="C482">
            <v>120.16924285888672</v>
          </cell>
        </row>
        <row r="483">
          <cell r="B483">
            <v>3.4070849418640137E-2</v>
          </cell>
          <cell r="C483">
            <v>123.25418090820312</v>
          </cell>
        </row>
        <row r="484">
          <cell r="B484">
            <v>3.4880973398685455E-2</v>
          </cell>
          <cell r="C484">
            <v>126.18487548828125</v>
          </cell>
        </row>
        <row r="485">
          <cell r="B485">
            <v>3.5650592297315598E-2</v>
          </cell>
          <cell r="C485">
            <v>128.96902465820313</v>
          </cell>
        </row>
        <row r="486">
          <cell r="B486">
            <v>3.6420207470655441E-2</v>
          </cell>
          <cell r="C486">
            <v>131.75318908691406</v>
          </cell>
        </row>
        <row r="487">
          <cell r="B487">
            <v>3.7189826369285583E-2</v>
          </cell>
          <cell r="C487">
            <v>134.53733825683594</v>
          </cell>
        </row>
        <row r="488">
          <cell r="B488">
            <v>3.7959445267915726E-2</v>
          </cell>
          <cell r="C488">
            <v>137.32150268554688</v>
          </cell>
        </row>
        <row r="489">
          <cell r="B489">
            <v>3.8729060441255569E-2</v>
          </cell>
          <cell r="C489">
            <v>140.10565185546875</v>
          </cell>
        </row>
        <row r="490">
          <cell r="B490">
            <v>3.9498679339885712E-2</v>
          </cell>
          <cell r="C490">
            <v>142.88981628417969</v>
          </cell>
        </row>
        <row r="491">
          <cell r="B491">
            <v>4.0306776762008667E-2</v>
          </cell>
          <cell r="C491">
            <v>145.81317138671875</v>
          </cell>
        </row>
        <row r="492">
          <cell r="B492">
            <v>4.1114874184131622E-2</v>
          </cell>
          <cell r="C492">
            <v>148.73654174804687</v>
          </cell>
        </row>
        <row r="493">
          <cell r="B493">
            <v>4.1922971606254578E-2</v>
          </cell>
          <cell r="C493">
            <v>151.65989685058594</v>
          </cell>
        </row>
        <row r="494">
          <cell r="B494">
            <v>4.2690668255090714E-2</v>
          </cell>
          <cell r="C494">
            <v>154.43710327148437</v>
          </cell>
        </row>
        <row r="495">
          <cell r="B495">
            <v>4.3458361178636551E-2</v>
          </cell>
          <cell r="C495">
            <v>157.21429443359375</v>
          </cell>
        </row>
        <row r="496">
          <cell r="B496">
            <v>4.4226054102182388E-2</v>
          </cell>
          <cell r="C496">
            <v>159.99148559570312</v>
          </cell>
        </row>
        <row r="497">
          <cell r="B497">
            <v>4.4993747025728226E-2</v>
          </cell>
          <cell r="C497">
            <v>162.76869201660156</v>
          </cell>
        </row>
        <row r="498">
          <cell r="B498">
            <v>4.5761439949274063E-2</v>
          </cell>
          <cell r="C498">
            <v>165.54588317871094</v>
          </cell>
        </row>
        <row r="499">
          <cell r="B499">
            <v>4.6529132872819901E-2</v>
          </cell>
          <cell r="C499">
            <v>168.32307434082031</v>
          </cell>
        </row>
        <row r="500">
          <cell r="B500">
            <v>4.7296825796365738E-2</v>
          </cell>
          <cell r="C500">
            <v>171.10026550292969</v>
          </cell>
        </row>
        <row r="501">
          <cell r="B501">
            <v>4.8064518719911575E-2</v>
          </cell>
          <cell r="C501">
            <v>173.87747192382812</v>
          </cell>
        </row>
      </sheetData>
      <sheetData sheetId="16">
        <row r="4">
          <cell r="BB4">
            <v>-3.75</v>
          </cell>
          <cell r="BC4">
            <v>-3.4649999999999999</v>
          </cell>
          <cell r="BD4">
            <v>-3.1799999999999997</v>
          </cell>
          <cell r="BE4">
            <v>-2.8949999999999996</v>
          </cell>
          <cell r="BF4">
            <v>-2.6099999999999994</v>
          </cell>
          <cell r="BG4">
            <v>-2.3249999999999993</v>
          </cell>
          <cell r="BH4">
            <v>-2.0399999999999991</v>
          </cell>
          <cell r="BI4">
            <v>-1.754999999999999</v>
          </cell>
          <cell r="BJ4">
            <v>-1.4699999999999989</v>
          </cell>
          <cell r="BK4">
            <v>-1.1849999999999987</v>
          </cell>
          <cell r="BL4">
            <v>-0.89999999999999869</v>
          </cell>
          <cell r="BO4">
            <v>0.9</v>
          </cell>
          <cell r="BP4">
            <v>0.90156413337047359</v>
          </cell>
          <cell r="BQ4">
            <v>0.90580963823318739</v>
          </cell>
          <cell r="BR4">
            <v>0.91206617171508153</v>
          </cell>
          <cell r="BS4">
            <v>0.91966339094309579</v>
          </cell>
          <cell r="BT4">
            <v>0.92793095304417017</v>
          </cell>
          <cell r="BU4">
            <v>0.93619851514524444</v>
          </cell>
          <cell r="BV4">
            <v>0.9437957343732587</v>
          </cell>
          <cell r="BW4">
            <v>0.95005226785515284</v>
          </cell>
          <cell r="BX4">
            <v>0.95429777271786664</v>
          </cell>
          <cell r="BY4">
            <v>0.95586190608834021</v>
          </cell>
        </row>
        <row r="5">
          <cell r="BB5">
            <v>-0.9</v>
          </cell>
          <cell r="BC5">
            <v>-0.55491777509842843</v>
          </cell>
          <cell r="BD5">
            <v>-0.20983560326327083</v>
          </cell>
          <cell r="BE5">
            <v>0.135246462439059</v>
          </cell>
          <cell r="BF5">
            <v>0.48032836894214709</v>
          </cell>
          <cell r="BG5">
            <v>0.82541006317957955</v>
          </cell>
          <cell r="BH5">
            <v>1.1704914920849425</v>
          </cell>
          <cell r="BI5">
            <v>1.5155726025918219</v>
          </cell>
          <cell r="BJ5">
            <v>1.860653341633804</v>
          </cell>
          <cell r="BK5">
            <v>2.2057336561444747</v>
          </cell>
          <cell r="BL5">
            <v>2.5508134930574209</v>
          </cell>
          <cell r="BO5">
            <v>0.95586190608834021</v>
          </cell>
          <cell r="BP5">
            <v>0.96689025771153614</v>
          </cell>
          <cell r="BQ5">
            <v>0.97680200882720158</v>
          </cell>
          <cell r="BR5">
            <v>0.98448055892780606</v>
          </cell>
          <cell r="BS5">
            <v>0.98880930750581908</v>
          </cell>
          <cell r="BT5">
            <v>0.98867165405371049</v>
          </cell>
          <cell r="BU5">
            <v>0.98295099806394926</v>
          </cell>
          <cell r="BV5">
            <v>0.97053073902900544</v>
          </cell>
          <cell r="BW5">
            <v>0.95029427644134834</v>
          </cell>
          <cell r="BX5">
            <v>0.92112500979344758</v>
          </cell>
          <cell r="BY5">
            <v>0.88190633857777256</v>
          </cell>
        </row>
        <row r="6">
          <cell r="BB6">
            <v>-0.9</v>
          </cell>
          <cell r="BC6">
            <v>-0.41823174009967479</v>
          </cell>
          <cell r="BD6">
            <v>6.2330692443898564E-2</v>
          </cell>
          <cell r="BE6">
            <v>0.54198875446990791</v>
          </cell>
          <cell r="BF6">
            <v>1.0210439028175413</v>
          </cell>
          <cell r="BG6">
            <v>1.4997975943259867</v>
          </cell>
          <cell r="BH6">
            <v>1.9785512858344321</v>
          </cell>
          <cell r="BI6">
            <v>2.4576064341820656</v>
          </cell>
          <cell r="BJ6">
            <v>2.9372644962080749</v>
          </cell>
          <cell r="BK6">
            <v>3.4178269287516478</v>
          </cell>
          <cell r="BL6">
            <v>3.8995951886519733</v>
          </cell>
          <cell r="BO6">
            <v>0.95586190608834021</v>
          </cell>
          <cell r="BP6">
            <v>0.65319168022718588</v>
          </cell>
          <cell r="BQ6">
            <v>0.34859213059522864</v>
          </cell>
          <cell r="BR6">
            <v>4.2545588135169024E-2</v>
          </cell>
          <cell r="BS6">
            <v>-0.26446561621029213</v>
          </cell>
          <cell r="BT6">
            <v>-0.57195915149845411</v>
          </cell>
          <cell r="BU6">
            <v>-0.87945268678661614</v>
          </cell>
          <cell r="BV6">
            <v>-1.1864638911320771</v>
          </cell>
          <cell r="BW6">
            <v>-1.4925104335921369</v>
          </cell>
          <cell r="BX6">
            <v>-1.7971099832240942</v>
          </cell>
          <cell r="BY6">
            <v>-2.0997802090852487</v>
          </cell>
        </row>
        <row r="7">
          <cell r="BB7">
            <v>8.6998776342615347</v>
          </cell>
          <cell r="BC7">
            <v>8.1081429489269468</v>
          </cell>
          <cell r="BD7">
            <v>7.5908792241081127</v>
          </cell>
          <cell r="BE7">
            <v>7.129468719676094</v>
          </cell>
          <cell r="BF7">
            <v>6.705293695501954</v>
          </cell>
          <cell r="BG7">
            <v>6.2997364114567516</v>
          </cell>
          <cell r="BH7">
            <v>5.8941791274115491</v>
          </cell>
          <cell r="BI7">
            <v>5.4700041032374092</v>
          </cell>
          <cell r="BJ7">
            <v>5.0085935988053905</v>
          </cell>
          <cell r="BK7">
            <v>4.4913298739865573</v>
          </cell>
          <cell r="BL7">
            <v>3.8995951886519689</v>
          </cell>
          <cell r="BO7">
            <v>4.3524356349947695</v>
          </cell>
          <cell r="BP7">
            <v>3.8859443558245732</v>
          </cell>
          <cell r="BQ7">
            <v>3.3002995398291781</v>
          </cell>
          <cell r="BR7">
            <v>2.6252895712148794</v>
          </cell>
          <cell r="BS7">
            <v>1.8907028341879712</v>
          </cell>
          <cell r="BT7">
            <v>1.1263277129547582</v>
          </cell>
          <cell r="BU7">
            <v>0.36195259172155569</v>
          </cell>
          <cell r="BV7">
            <v>-0.37263414530535666</v>
          </cell>
          <cell r="BW7">
            <v>-1.0476441139196595</v>
          </cell>
          <cell r="BX7">
            <v>-1.6332889299150575</v>
          </cell>
          <cell r="BY7">
            <v>-2.0997802090852487</v>
          </cell>
          <cell r="CB7">
            <v>-9.6121780796064158</v>
          </cell>
          <cell r="CC7">
            <v>18.012178174973847</v>
          </cell>
          <cell r="CF7">
            <v>-6.8143881842007907</v>
          </cell>
          <cell r="CG7">
            <v>15.590544888734133</v>
          </cell>
        </row>
        <row r="8">
          <cell r="BB8">
            <v>3.9000171670139738</v>
          </cell>
          <cell r="BC8">
            <v>4.0371920795169878</v>
          </cell>
          <cell r="BD8">
            <v>4.1743675135185816</v>
          </cell>
          <cell r="BE8">
            <v>4.3115435367908033</v>
          </cell>
          <cell r="BF8">
            <v>4.448720217105703</v>
          </cell>
          <cell r="BG8">
            <v>4.5858976222353292</v>
          </cell>
          <cell r="BH8">
            <v>4.7230758199517293</v>
          </cell>
          <cell r="BI8">
            <v>4.8602548780269537</v>
          </cell>
          <cell r="BJ8">
            <v>4.9974348642330497</v>
          </cell>
          <cell r="BK8">
            <v>5.1346158463420668</v>
          </cell>
          <cell r="BL8">
            <v>5.2717978921260542</v>
          </cell>
          <cell r="BO8">
            <v>0.71199137074838759</v>
          </cell>
          <cell r="BP8">
            <v>0.70622449443178548</v>
          </cell>
          <cell r="BQ8">
            <v>0.70481962303002677</v>
          </cell>
          <cell r="BR8">
            <v>0.70834362675319484</v>
          </cell>
          <cell r="BS8">
            <v>0.71736337581137066</v>
          </cell>
          <cell r="BT8">
            <v>0.73244574041463606</v>
          </cell>
          <cell r="BU8">
            <v>0.7541575907730711</v>
          </cell>
          <cell r="BV8">
            <v>0.78306579709675994</v>
          </cell>
          <cell r="BW8">
            <v>0.81973722959578277</v>
          </cell>
          <cell r="BX8">
            <v>0.86473875848022108</v>
          </cell>
          <cell r="BY8">
            <v>0.9186372539601565</v>
          </cell>
          <cell r="CB8">
            <v>24.912178270341279</v>
          </cell>
          <cell r="CC8">
            <v>18.012178174973847</v>
          </cell>
          <cell r="CF8">
            <v>22.114265818371251</v>
          </cell>
          <cell r="CG8">
            <v>15.590544888734133</v>
          </cell>
        </row>
        <row r="9">
          <cell r="BB9">
            <v>3.3</v>
          </cell>
          <cell r="BC9">
            <v>3.3039464379678809</v>
          </cell>
          <cell r="BD9">
            <v>3.3079768702927868</v>
          </cell>
          <cell r="BE9">
            <v>3.3121752913317408</v>
          </cell>
          <cell r="BF9">
            <v>3.3166256954417679</v>
          </cell>
          <cell r="BG9">
            <v>3.3214120769798923</v>
          </cell>
          <cell r="BH9">
            <v>3.3266184303031383</v>
          </cell>
          <cell r="BI9">
            <v>3.3323287497685303</v>
          </cell>
          <cell r="BJ9">
            <v>3.3386270297330927</v>
          </cell>
          <cell r="BK9">
            <v>3.3455972645538492</v>
          </cell>
          <cell r="BL9">
            <v>3.3533234485878247</v>
          </cell>
          <cell r="BO9">
            <v>3.6</v>
          </cell>
          <cell r="BP9">
            <v>3.512478759902844</v>
          </cell>
          <cell r="BQ9">
            <v>3.4249657825515523</v>
          </cell>
          <cell r="BR9">
            <v>3.3374693306919894</v>
          </cell>
          <cell r="BS9">
            <v>3.2499976670700206</v>
          </cell>
          <cell r="BT9">
            <v>3.1625590544315094</v>
          </cell>
          <cell r="BU9">
            <v>3.0751617555223216</v>
          </cell>
          <cell r="BV9">
            <v>2.9878140330883203</v>
          </cell>
          <cell r="BW9">
            <v>2.9005241498753715</v>
          </cell>
          <cell r="BX9">
            <v>2.8133003686293385</v>
          </cell>
          <cell r="BY9">
            <v>2.7261509520960865</v>
          </cell>
          <cell r="CB9">
            <v>24.912178270341279</v>
          </cell>
          <cell r="CC9">
            <v>-16.512178174973847</v>
          </cell>
          <cell r="CF9">
            <v>22.114265818371251</v>
          </cell>
          <cell r="CG9">
            <v>-13.338109113837909</v>
          </cell>
        </row>
        <row r="10">
          <cell r="BB10">
            <v>4.5</v>
          </cell>
          <cell r="BC10">
            <v>4.4859910410662014</v>
          </cell>
          <cell r="BD10">
            <v>4.4720648918888166</v>
          </cell>
          <cell r="BE10">
            <v>4.4583043622242569</v>
          </cell>
          <cell r="BF10">
            <v>4.4447922618289351</v>
          </cell>
          <cell r="BG10">
            <v>4.431611400459265</v>
          </cell>
          <cell r="BH10">
            <v>4.4188445878716589</v>
          </cell>
          <cell r="BI10">
            <v>4.4065746338225305</v>
          </cell>
          <cell r="BJ10">
            <v>4.3948843480682909</v>
          </cell>
          <cell r="BK10">
            <v>4.3838565403653531</v>
          </cell>
          <cell r="BL10">
            <v>4.3735740204701319</v>
          </cell>
          <cell r="BO10">
            <v>3.6</v>
          </cell>
          <cell r="BP10">
            <v>3.5149893302514235</v>
          </cell>
          <cell r="BQ10">
            <v>3.4299695584045882</v>
          </cell>
          <cell r="BR10">
            <v>3.3449315823612373</v>
          </cell>
          <cell r="BS10">
            <v>3.2598663000231123</v>
          </cell>
          <cell r="BT10">
            <v>3.1747646092919557</v>
          </cell>
          <cell r="BU10">
            <v>3.0896174080695098</v>
          </cell>
          <cell r="BV10">
            <v>3.0044155942575159</v>
          </cell>
          <cell r="BW10">
            <v>2.9191500657577163</v>
          </cell>
          <cell r="BX10">
            <v>2.8338117204718536</v>
          </cell>
          <cell r="BY10">
            <v>2.7483914563016691</v>
          </cell>
          <cell r="CB10">
            <v>-9.6121780796064158</v>
          </cell>
          <cell r="CC10">
            <v>-16.512178174973847</v>
          </cell>
          <cell r="CF10">
            <v>-6.8143881842007907</v>
          </cell>
          <cell r="CG10">
            <v>-13.338109113837909</v>
          </cell>
        </row>
        <row r="11">
          <cell r="BB11">
            <v>2.5508134930574209</v>
          </cell>
          <cell r="BC11">
            <v>2.6857340054747252</v>
          </cell>
          <cell r="BD11">
            <v>2.8206546599947555</v>
          </cell>
          <cell r="BE11">
            <v>2.9555753912438525</v>
          </cell>
          <cell r="BF11">
            <v>3.0904961338483559</v>
          </cell>
          <cell r="BG11">
            <v>3.2254168224346063</v>
          </cell>
          <cell r="BH11">
            <v>3.3603373916289443</v>
          </cell>
          <cell r="BI11">
            <v>3.4952577760577093</v>
          </cell>
          <cell r="BJ11">
            <v>3.6301779103472422</v>
          </cell>
          <cell r="BK11">
            <v>3.765097729123883</v>
          </cell>
          <cell r="BL11">
            <v>3.9000171670139721</v>
          </cell>
          <cell r="BO11">
            <v>0.88190633857777279</v>
          </cell>
          <cell r="BP11">
            <v>0.86372178847950132</v>
          </cell>
          <cell r="BQ11">
            <v>0.84436819824464926</v>
          </cell>
          <cell r="BR11">
            <v>0.82438337903404524</v>
          </cell>
          <cell r="BS11">
            <v>0.80430514200851844</v>
          </cell>
          <cell r="BT11">
            <v>0.78467129832889715</v>
          </cell>
          <cell r="BU11">
            <v>0.76601965915601122</v>
          </cell>
          <cell r="BV11">
            <v>0.7488880356506884</v>
          </cell>
          <cell r="BW11">
            <v>0.73381423897375742</v>
          </cell>
          <cell r="BX11">
            <v>0.72133608028604757</v>
          </cell>
          <cell r="BY11">
            <v>0.71199137074838781</v>
          </cell>
        </row>
        <row r="12">
          <cell r="BB12">
            <v>5.2717978921260542</v>
          </cell>
          <cell r="BC12">
            <v>5.6146139252056262</v>
          </cell>
          <cell r="BD12">
            <v>5.9574274133801373</v>
          </cell>
          <cell r="BE12">
            <v>6.3002386394168175</v>
          </cell>
          <cell r="BF12">
            <v>6.6430478860828952</v>
          </cell>
          <cell r="BG12">
            <v>6.9858554361455996</v>
          </cell>
          <cell r="BH12">
            <v>7.3286615723721598</v>
          </cell>
          <cell r="BI12">
            <v>7.6714665775298041</v>
          </cell>
          <cell r="BJ12">
            <v>8.0142707343857609</v>
          </cell>
          <cell r="BK12">
            <v>8.3570743257072611</v>
          </cell>
          <cell r="BL12">
            <v>8.6998776342615312</v>
          </cell>
          <cell r="BO12">
            <v>0.91863725396015683</v>
          </cell>
          <cell r="BP12">
            <v>1.0935551463674138</v>
          </cell>
          <cell r="BQ12">
            <v>1.3216715479418923</v>
          </cell>
          <cell r="BR12">
            <v>1.5970755132205698</v>
          </cell>
          <cell r="BS12">
            <v>1.9138560967404201</v>
          </cell>
          <cell r="BT12">
            <v>2.2661023530384181</v>
          </cell>
          <cell r="BU12">
            <v>2.6479033366515399</v>
          </cell>
          <cell r="BV12">
            <v>3.0533481021167619</v>
          </cell>
          <cell r="BW12">
            <v>3.4765257039710544</v>
          </cell>
          <cell r="BX12">
            <v>3.9115251967513966</v>
          </cell>
          <cell r="BY12">
            <v>4.3524356349947695</v>
          </cell>
        </row>
        <row r="13">
          <cell r="BB13">
            <v>3.3533234485878256</v>
          </cell>
          <cell r="BC13">
            <v>3.403161302749965</v>
          </cell>
          <cell r="BD13">
            <v>3.4544979378399585</v>
          </cell>
          <cell r="BE13">
            <v>3.5071704209968844</v>
          </cell>
          <cell r="BF13">
            <v>3.5610158193598194</v>
          </cell>
          <cell r="BG13">
            <v>3.6158712000678421</v>
          </cell>
          <cell r="BH13">
            <v>3.671573630260029</v>
          </cell>
          <cell r="BI13">
            <v>3.7279601770754582</v>
          </cell>
          <cell r="BJ13">
            <v>3.784867907653207</v>
          </cell>
          <cell r="BK13">
            <v>3.8421338891323535</v>
          </cell>
          <cell r="BL13">
            <v>3.8995951886519746</v>
          </cell>
          <cell r="BO13">
            <v>2.726150952096086</v>
          </cell>
          <cell r="BP13">
            <v>2.2430477473835069</v>
          </cell>
          <cell r="BQ13">
            <v>1.7601041709859557</v>
          </cell>
          <cell r="BR13">
            <v>1.2773028696681672</v>
          </cell>
          <cell r="BS13">
            <v>0.79462649019487674</v>
          </cell>
          <cell r="BT13">
            <v>0.31205767933081924</v>
          </cell>
          <cell r="BU13">
            <v>-0.17042091615927032</v>
          </cell>
          <cell r="BV13">
            <v>-0.65282664951065683</v>
          </cell>
          <cell r="BW13">
            <v>-1.1351768739586054</v>
          </cell>
          <cell r="BX13">
            <v>-1.617488942738381</v>
          </cell>
          <cell r="BY13">
            <v>-2.0997802090852487</v>
          </cell>
        </row>
        <row r="14">
          <cell r="BB14">
            <v>4.3735740204701354</v>
          </cell>
          <cell r="BC14">
            <v>4.321107894365718</v>
          </cell>
          <cell r="BD14">
            <v>4.2702559865856093</v>
          </cell>
          <cell r="BE14">
            <v>4.2208353188350776</v>
          </cell>
          <cell r="BF14">
            <v>4.1726629128193888</v>
          </cell>
          <cell r="BG14">
            <v>4.1255557902438129</v>
          </cell>
          <cell r="BH14">
            <v>4.0793309728136151</v>
          </cell>
          <cell r="BI14">
            <v>4.0338054822340643</v>
          </cell>
          <cell r="BJ14">
            <v>3.9887963402104289</v>
          </cell>
          <cell r="BK14">
            <v>3.9441205684479756</v>
          </cell>
          <cell r="BL14">
            <v>3.899595188651972</v>
          </cell>
          <cell r="BO14">
            <v>2.7483914563016709</v>
          </cell>
          <cell r="BP14">
            <v>2.2641036267493284</v>
          </cell>
          <cell r="BQ14">
            <v>1.779647205147207</v>
          </cell>
          <cell r="BR14">
            <v>1.2950413020984444</v>
          </cell>
          <cell r="BS14">
            <v>0.81030502820617867</v>
          </cell>
          <cell r="BT14">
            <v>0.32545749407354807</v>
          </cell>
          <cell r="BU14">
            <v>-0.15948218969630951</v>
          </cell>
          <cell r="BV14">
            <v>-0.64449491250025603</v>
          </cell>
          <cell r="BW14">
            <v>-1.1295615637351533</v>
          </cell>
          <cell r="BX14">
            <v>-1.6146630327978635</v>
          </cell>
          <cell r="BY14">
            <v>-2.0997802090852487</v>
          </cell>
        </row>
        <row r="15">
          <cell r="BB15">
            <v>3.3533234485878256</v>
          </cell>
          <cell r="BC15">
            <v>3.2700084885170302</v>
          </cell>
          <cell r="BD15">
            <v>3.188554268910925</v>
          </cell>
          <cell r="BE15">
            <v>3.1085183424717302</v>
          </cell>
          <cell r="BF15">
            <v>3.0294582619016666</v>
          </cell>
          <cell r="BG15">
            <v>2.9509315799029561</v>
          </cell>
          <cell r="BH15">
            <v>2.8724958491778185</v>
          </cell>
          <cell r="BI15">
            <v>2.7937086224284755</v>
          </cell>
          <cell r="BJ15">
            <v>2.7141274523571473</v>
          </cell>
          <cell r="BK15">
            <v>2.6333098916660549</v>
          </cell>
          <cell r="BL15">
            <v>2.5508134930574196</v>
          </cell>
          <cell r="BO15">
            <v>2.726150952096086</v>
          </cell>
          <cell r="BP15">
            <v>2.5431246354181956</v>
          </cell>
          <cell r="BQ15">
            <v>2.3592492278467203</v>
          </cell>
          <cell r="BR15">
            <v>2.1747266264105929</v>
          </cell>
          <cell r="BS15">
            <v>1.9897587281387459</v>
          </cell>
          <cell r="BT15">
            <v>1.8045474300601116</v>
          </cell>
          <cell r="BU15">
            <v>1.619294629203623</v>
          </cell>
          <cell r="BV15">
            <v>1.4342022225982123</v>
          </cell>
          <cell r="BW15">
            <v>1.2494721072728121</v>
          </cell>
          <cell r="BX15">
            <v>1.0653061802563546</v>
          </cell>
          <cell r="BY15">
            <v>0.88190633857777267</v>
          </cell>
        </row>
        <row r="16">
          <cell r="BB16">
            <v>4.3735740204701354</v>
          </cell>
          <cell r="BC16">
            <v>4.4602151932750109</v>
          </cell>
          <cell r="BD16">
            <v>4.5487689505669096</v>
          </cell>
          <cell r="BE16">
            <v>4.6387831743599239</v>
          </cell>
          <cell r="BF16">
            <v>4.7298057466681467</v>
          </cell>
          <cell r="BG16">
            <v>4.8213845495056704</v>
          </cell>
          <cell r="BH16">
            <v>4.9130674648865886</v>
          </cell>
          <cell r="BI16">
            <v>5.0044023748249931</v>
          </cell>
          <cell r="BJ16">
            <v>5.0949371613349763</v>
          </cell>
          <cell r="BK16">
            <v>5.1842197064306319</v>
          </cell>
          <cell r="BL16">
            <v>5.2717978921260524</v>
          </cell>
          <cell r="BO16">
            <v>2.7483914563016709</v>
          </cell>
          <cell r="BP16">
            <v>2.5639232667930711</v>
          </cell>
          <cell r="BQ16">
            <v>2.3803525481975516</v>
          </cell>
          <cell r="BR16">
            <v>2.1974671463622437</v>
          </cell>
          <cell r="BS16">
            <v>2.0150549071342807</v>
          </cell>
          <cell r="BT16">
            <v>1.8329036763607947</v>
          </cell>
          <cell r="BU16">
            <v>1.6508012998889181</v>
          </cell>
          <cell r="BV16">
            <v>1.4685356235657836</v>
          </cell>
          <cell r="BW16">
            <v>1.2858944932385235</v>
          </cell>
          <cell r="BX16">
            <v>1.1026657547542704</v>
          </cell>
          <cell r="BY16">
            <v>0.9186372539601565</v>
          </cell>
        </row>
        <row r="17">
          <cell r="BB17">
            <v>-6.45</v>
          </cell>
          <cell r="BC17">
            <v>-6.3900000000000006</v>
          </cell>
          <cell r="BD17">
            <v>-6.33</v>
          </cell>
          <cell r="BE17">
            <v>-6.27</v>
          </cell>
          <cell r="BF17">
            <v>-6.2099999999999991</v>
          </cell>
          <cell r="BG17">
            <v>-6.1499999999999986</v>
          </cell>
          <cell r="BH17">
            <v>-6.0899999999999981</v>
          </cell>
          <cell r="BI17">
            <v>-6.0299999999999976</v>
          </cell>
          <cell r="BJ17">
            <v>-5.9699999999999971</v>
          </cell>
          <cell r="BK17">
            <v>-5.9099999999999966</v>
          </cell>
          <cell r="BL17">
            <v>-5.8499999999999961</v>
          </cell>
          <cell r="BO17">
            <v>0.9</v>
          </cell>
          <cell r="BP17">
            <v>0.9</v>
          </cell>
          <cell r="BQ17">
            <v>0.9</v>
          </cell>
          <cell r="BR17">
            <v>0.9</v>
          </cell>
          <cell r="BS17">
            <v>0.9</v>
          </cell>
          <cell r="BT17">
            <v>0.9</v>
          </cell>
          <cell r="BU17">
            <v>0.9</v>
          </cell>
          <cell r="BV17">
            <v>0.9</v>
          </cell>
          <cell r="BW17">
            <v>0.9</v>
          </cell>
          <cell r="BX17">
            <v>0.9</v>
          </cell>
          <cell r="BY17">
            <v>0.9</v>
          </cell>
        </row>
        <row r="18">
          <cell r="BB18">
            <v>-5.85</v>
          </cell>
          <cell r="BC18">
            <v>-5.6999999999999993</v>
          </cell>
          <cell r="BD18">
            <v>-5.5499999999999989</v>
          </cell>
          <cell r="BE18">
            <v>-5.3999999999999986</v>
          </cell>
          <cell r="BF18">
            <v>-5.2499999999999982</v>
          </cell>
          <cell r="BG18">
            <v>-5.0999999999999979</v>
          </cell>
          <cell r="BH18">
            <v>-4.9499999999999975</v>
          </cell>
          <cell r="BI18">
            <v>-4.7999999999999972</v>
          </cell>
          <cell r="BJ18">
            <v>-4.6499999999999968</v>
          </cell>
          <cell r="BK18">
            <v>-4.4999999999999964</v>
          </cell>
          <cell r="BL18">
            <v>-4.3499999999999961</v>
          </cell>
          <cell r="BO18">
            <v>0.9</v>
          </cell>
          <cell r="BP18">
            <v>0.9</v>
          </cell>
          <cell r="BQ18">
            <v>0.9</v>
          </cell>
          <cell r="BR18">
            <v>0.9</v>
          </cell>
          <cell r="BS18">
            <v>0.9</v>
          </cell>
          <cell r="BT18">
            <v>0.9</v>
          </cell>
          <cell r="BU18">
            <v>0.9</v>
          </cell>
          <cell r="BV18">
            <v>0.9</v>
          </cell>
          <cell r="BW18">
            <v>0.9</v>
          </cell>
          <cell r="BX18">
            <v>0.9</v>
          </cell>
          <cell r="BY18">
            <v>0.9</v>
          </cell>
        </row>
        <row r="19">
          <cell r="BB19">
            <v>-4.3499999999999996</v>
          </cell>
          <cell r="BC19">
            <v>-4.29</v>
          </cell>
          <cell r="BD19">
            <v>-4.2300000000000004</v>
          </cell>
          <cell r="BE19">
            <v>-4.1700000000000008</v>
          </cell>
          <cell r="BF19">
            <v>-4.1100000000000012</v>
          </cell>
          <cell r="BG19">
            <v>-4.0500000000000016</v>
          </cell>
          <cell r="BH19">
            <v>-3.9900000000000015</v>
          </cell>
          <cell r="BI19">
            <v>-3.9300000000000015</v>
          </cell>
          <cell r="BJ19">
            <v>-3.8700000000000014</v>
          </cell>
          <cell r="BK19">
            <v>-3.8100000000000014</v>
          </cell>
          <cell r="BL19">
            <v>-3.7500000000000013</v>
          </cell>
          <cell r="BO19">
            <v>0.9</v>
          </cell>
          <cell r="BP19">
            <v>0.9</v>
          </cell>
          <cell r="BQ19">
            <v>0.9</v>
          </cell>
          <cell r="BR19">
            <v>0.9</v>
          </cell>
          <cell r="BS19">
            <v>0.9</v>
          </cell>
          <cell r="BT19">
            <v>0.9</v>
          </cell>
          <cell r="BU19">
            <v>0.9</v>
          </cell>
          <cell r="BV19">
            <v>0.9</v>
          </cell>
          <cell r="BW19">
            <v>0.9</v>
          </cell>
          <cell r="BX19">
            <v>0.9</v>
          </cell>
          <cell r="BY19">
            <v>0.9</v>
          </cell>
        </row>
        <row r="20">
          <cell r="BB20">
            <v>-5.55</v>
          </cell>
          <cell r="BC20">
            <v>-5.58</v>
          </cell>
          <cell r="BD20">
            <v>-5.61</v>
          </cell>
          <cell r="BE20">
            <v>-5.6400000000000006</v>
          </cell>
          <cell r="BF20">
            <v>-5.6700000000000008</v>
          </cell>
          <cell r="BG20">
            <v>-5.7000000000000011</v>
          </cell>
          <cell r="BH20">
            <v>-5.7300000000000013</v>
          </cell>
          <cell r="BI20">
            <v>-5.7600000000000016</v>
          </cell>
          <cell r="BJ20">
            <v>-5.7900000000000018</v>
          </cell>
          <cell r="BK20">
            <v>-5.8200000000000021</v>
          </cell>
          <cell r="BL20">
            <v>-5.8500000000000023</v>
          </cell>
          <cell r="BO20">
            <v>2.85</v>
          </cell>
          <cell r="BP20">
            <v>2.6550000000000002</v>
          </cell>
          <cell r="BQ20">
            <v>2.4600000000000004</v>
          </cell>
          <cell r="BR20">
            <v>2.2650000000000006</v>
          </cell>
          <cell r="BS20">
            <v>2.0700000000000007</v>
          </cell>
          <cell r="BT20">
            <v>1.8750000000000007</v>
          </cell>
          <cell r="BU20">
            <v>1.6800000000000006</v>
          </cell>
          <cell r="BV20">
            <v>1.4850000000000005</v>
          </cell>
          <cell r="BW20">
            <v>1.2900000000000005</v>
          </cell>
          <cell r="BX20">
            <v>1.0950000000000004</v>
          </cell>
          <cell r="BY20">
            <v>0.90000000000000036</v>
          </cell>
        </row>
        <row r="21">
          <cell r="BB21">
            <v>-4.6500000000000004</v>
          </cell>
          <cell r="BC21">
            <v>-4.62</v>
          </cell>
          <cell r="BD21">
            <v>-4.59</v>
          </cell>
          <cell r="BE21">
            <v>-4.5599999999999996</v>
          </cell>
          <cell r="BF21">
            <v>-4.5299999999999994</v>
          </cell>
          <cell r="BG21">
            <v>-4.4999999999999991</v>
          </cell>
          <cell r="BH21">
            <v>-4.4699999999999989</v>
          </cell>
          <cell r="BI21">
            <v>-4.4399999999999986</v>
          </cell>
          <cell r="BJ21">
            <v>-4.4099999999999984</v>
          </cell>
          <cell r="BK21">
            <v>-4.3799999999999981</v>
          </cell>
          <cell r="BL21">
            <v>-4.3499999999999979</v>
          </cell>
          <cell r="BO21">
            <v>2.85</v>
          </cell>
          <cell r="BP21">
            <v>2.6550000000000002</v>
          </cell>
          <cell r="BQ21">
            <v>2.4600000000000004</v>
          </cell>
          <cell r="BR21">
            <v>2.2650000000000006</v>
          </cell>
          <cell r="BS21">
            <v>2.0700000000000007</v>
          </cell>
          <cell r="BT21">
            <v>1.8750000000000007</v>
          </cell>
          <cell r="BU21">
            <v>1.6800000000000006</v>
          </cell>
          <cell r="BV21">
            <v>1.4850000000000005</v>
          </cell>
          <cell r="BW21">
            <v>1.2900000000000005</v>
          </cell>
          <cell r="BX21">
            <v>1.0950000000000004</v>
          </cell>
          <cell r="BY21">
            <v>0.90000000000000036</v>
          </cell>
        </row>
        <row r="22">
          <cell r="BB22">
            <v>8.6998776342615347</v>
          </cell>
          <cell r="BC22">
            <v>9.0448776342615353</v>
          </cell>
          <cell r="BD22">
            <v>9.389877634261536</v>
          </cell>
          <cell r="BE22">
            <v>9.7348776342615366</v>
          </cell>
          <cell r="BF22">
            <v>10.079877634261537</v>
          </cell>
          <cell r="BG22">
            <v>10.424877634261538</v>
          </cell>
          <cell r="BH22">
            <v>10.769877634261539</v>
          </cell>
          <cell r="BI22">
            <v>11.114877634261539</v>
          </cell>
          <cell r="BJ22">
            <v>11.45987763426154</v>
          </cell>
          <cell r="BK22">
            <v>11.80487763426154</v>
          </cell>
          <cell r="BL22">
            <v>12.149877634261541</v>
          </cell>
          <cell r="BO22">
            <v>4.3524356349947695</v>
          </cell>
          <cell r="BP22">
            <v>4.2557629172523805</v>
          </cell>
          <cell r="BQ22">
            <v>3.9933655405230497</v>
          </cell>
          <cell r="BR22">
            <v>3.6066746695534939</v>
          </cell>
          <cell r="BS22">
            <v>3.1371214690904723</v>
          </cell>
          <cell r="BT22">
            <v>2.6261371038807235</v>
          </cell>
          <cell r="BU22">
            <v>2.1151527386709641</v>
          </cell>
          <cell r="BV22">
            <v>1.6455995382079396</v>
          </cell>
          <cell r="BW22">
            <v>1.2589086672383933</v>
          </cell>
          <cell r="BX22">
            <v>0.99651129050905785</v>
          </cell>
          <cell r="BY22">
            <v>0.89983857276667101</v>
          </cell>
        </row>
        <row r="23">
          <cell r="BB23">
            <v>3.3533234485878256</v>
          </cell>
          <cell r="BC23">
            <v>3.4553613335728781</v>
          </cell>
          <cell r="BD23">
            <v>3.5573904585520486</v>
          </cell>
          <cell r="BE23">
            <v>3.6594130395444751</v>
          </cell>
          <cell r="BF23">
            <v>3.7614312925692936</v>
          </cell>
          <cell r="BG23">
            <v>3.8634474336456419</v>
          </cell>
          <cell r="BH23">
            <v>3.9654636787926578</v>
          </cell>
          <cell r="BI23">
            <v>4.0674822440294776</v>
          </cell>
          <cell r="BJ23">
            <v>4.1695053453752386</v>
          </cell>
          <cell r="BK23">
            <v>4.2715351988490777</v>
          </cell>
          <cell r="BL23">
            <v>4.3735740204701337</v>
          </cell>
          <cell r="BO23">
            <v>2.726150952096086</v>
          </cell>
          <cell r="BP23">
            <v>2.7275303406058069</v>
          </cell>
          <cell r="BQ23">
            <v>2.7294865423758199</v>
          </cell>
          <cell r="BR23">
            <v>2.7318736409260844</v>
          </cell>
          <cell r="BS23">
            <v>2.7345457197765617</v>
          </cell>
          <cell r="BT23">
            <v>2.737356862447212</v>
          </cell>
          <cell r="BU23">
            <v>2.7401611524579956</v>
          </cell>
          <cell r="BV23">
            <v>2.7428126733288729</v>
          </cell>
          <cell r="BW23">
            <v>2.7451655085798046</v>
          </cell>
          <cell r="BX23">
            <v>2.7470737417307514</v>
          </cell>
          <cell r="BY23">
            <v>2.7483914563016727</v>
          </cell>
        </row>
        <row r="24">
          <cell r="BB24">
            <v>12.149877634261536</v>
          </cell>
          <cell r="BC24">
            <v>12.494959335780639</v>
          </cell>
          <cell r="BD24">
            <v>12.840041037266962</v>
          </cell>
          <cell r="BE24">
            <v>13.185122738687735</v>
          </cell>
          <cell r="BF24">
            <v>13.530204440010175</v>
          </cell>
          <cell r="BG24">
            <v>13.875286141201508</v>
          </cell>
          <cell r="BH24">
            <v>14.220367842228958</v>
          </cell>
          <cell r="BI24">
            <v>14.565449543059746</v>
          </cell>
          <cell r="BJ24">
            <v>14.910531243661096</v>
          </cell>
          <cell r="BK24">
            <v>15.25561294400023</v>
          </cell>
          <cell r="BL24">
            <v>15.600694644044372</v>
          </cell>
          <cell r="BO24">
            <v>0.89983857276667101</v>
          </cell>
          <cell r="BP24">
            <v>0.89985413706054029</v>
          </cell>
          <cell r="BQ24">
            <v>0.89986901167774602</v>
          </cell>
          <cell r="BR24">
            <v>0.89988250694162475</v>
          </cell>
          <cell r="BS24">
            <v>0.89989393317551303</v>
          </cell>
          <cell r="BT24">
            <v>0.8999026007027473</v>
          </cell>
          <cell r="BU24">
            <v>0.89990781984666413</v>
          </cell>
          <cell r="BV24">
            <v>0.89990890093060005</v>
          </cell>
          <cell r="BW24">
            <v>0.89990515427789153</v>
          </cell>
          <cell r="BX24">
            <v>0.8998958902118751</v>
          </cell>
          <cell r="BY24">
            <v>0.89988041905588723</v>
          </cell>
        </row>
        <row r="25">
          <cell r="BB25">
            <v>12.149877634261536</v>
          </cell>
          <cell r="BC25">
            <v>12.629882247217983</v>
          </cell>
          <cell r="BD25">
            <v>13.109891992066036</v>
          </cell>
          <cell r="BE25">
            <v>13.58990558583279</v>
          </cell>
          <cell r="BF25">
            <v>14.069921745545349</v>
          </cell>
          <cell r="BG25">
            <v>14.549939188230807</v>
          </cell>
          <cell r="BH25">
            <v>15.029956630916265</v>
          </cell>
          <cell r="BI25">
            <v>15.509972790628824</v>
          </cell>
          <cell r="BJ25">
            <v>15.989986384395579</v>
          </cell>
          <cell r="BK25">
            <v>16.469996129243629</v>
          </cell>
          <cell r="BL25">
            <v>16.950000742200078</v>
          </cell>
          <cell r="BO25">
            <v>0.89983857276667101</v>
          </cell>
          <cell r="BP25">
            <v>0.59984241293773233</v>
          </cell>
          <cell r="BQ25">
            <v>0.29985446413707167</v>
          </cell>
          <cell r="BR25">
            <v>-1.2732639238040663E-4</v>
          </cell>
          <cell r="BS25">
            <v>-0.30010501140769341</v>
          </cell>
          <cell r="BT25">
            <v>-0.60008064366593694</v>
          </cell>
          <cell r="BU25">
            <v>-0.90005627592418047</v>
          </cell>
          <cell r="BV25">
            <v>-1.2000339609394934</v>
          </cell>
          <cell r="BW25">
            <v>-1.5000157514689454</v>
          </cell>
          <cell r="BX25">
            <v>-1.8000037002696061</v>
          </cell>
          <cell r="BY25">
            <v>-2.0999998600985452</v>
          </cell>
        </row>
        <row r="26">
          <cell r="BB26">
            <v>21.749877634170446</v>
          </cell>
          <cell r="BC26">
            <v>21.269882262882859</v>
          </cell>
          <cell r="BD26">
            <v>20.789892012988975</v>
          </cell>
          <cell r="BE26">
            <v>20.309905604140365</v>
          </cell>
          <cell r="BF26">
            <v>19.829921755988604</v>
          </cell>
          <cell r="BG26">
            <v>19.349939188185267</v>
          </cell>
          <cell r="BH26">
            <v>18.869956620381931</v>
          </cell>
          <cell r="BI26">
            <v>18.38997277223017</v>
          </cell>
          <cell r="BJ26">
            <v>17.909986363381559</v>
          </cell>
          <cell r="BK26">
            <v>17.429996113487672</v>
          </cell>
          <cell r="BL26">
            <v>16.950000742200086</v>
          </cell>
          <cell r="BO26">
            <v>0.90016122028250023</v>
          </cell>
          <cell r="BP26">
            <v>0.6001574035867151</v>
          </cell>
          <cell r="BQ26">
            <v>0.30014539266271706</v>
          </cell>
          <cell r="BR26">
            <v>1.2723606755933494E-4</v>
          </cell>
          <cell r="BS26">
            <v>-0.2998950176417049</v>
          </cell>
          <cell r="BT26">
            <v>-0.59991931990802227</v>
          </cell>
          <cell r="BU26">
            <v>-0.89994362217433976</v>
          </cell>
          <cell r="BV26">
            <v>-1.1999658758836038</v>
          </cell>
          <cell r="BW26">
            <v>-1.4999840324787617</v>
          </cell>
          <cell r="BX26">
            <v>-1.7999960434027598</v>
          </cell>
          <cell r="BY26">
            <v>-2.0999998600985452</v>
          </cell>
        </row>
        <row r="27">
          <cell r="BB27">
            <v>16.9498786494683</v>
          </cell>
          <cell r="BC27">
            <v>17.087054148712333</v>
          </cell>
          <cell r="BD27">
            <v>17.224229647968972</v>
          </cell>
          <cell r="BE27">
            <v>17.361405147251396</v>
          </cell>
          <cell r="BF27">
            <v>17.498580646572783</v>
          </cell>
          <cell r="BG27">
            <v>17.635756145946321</v>
          </cell>
          <cell r="BH27">
            <v>17.772931645385189</v>
          </cell>
          <cell r="BI27">
            <v>17.910107144902565</v>
          </cell>
          <cell r="BJ27">
            <v>18.047282644511636</v>
          </cell>
          <cell r="BK27">
            <v>18.18445814422558</v>
          </cell>
          <cell r="BL27">
            <v>18.321633644057584</v>
          </cell>
          <cell r="BO27">
            <v>0.89999979789398332</v>
          </cell>
          <cell r="BP27">
            <v>0.89997707472302801</v>
          </cell>
          <cell r="BQ27">
            <v>0.8999544569651311</v>
          </cell>
          <cell r="BR27">
            <v>0.89993205487722638</v>
          </cell>
          <cell r="BS27">
            <v>0.89990997871624778</v>
          </cell>
          <cell r="BT27">
            <v>0.89988833873912921</v>
          </cell>
          <cell r="BU27">
            <v>0.89986724520280448</v>
          </cell>
          <cell r="BV27">
            <v>0.8998468083642075</v>
          </cell>
          <cell r="BW27">
            <v>0.89982713848027218</v>
          </cell>
          <cell r="BX27">
            <v>0.89980834580793223</v>
          </cell>
          <cell r="BY27">
            <v>0.89979054060412178</v>
          </cell>
        </row>
        <row r="28">
          <cell r="BB28">
            <v>16.350000000000001</v>
          </cell>
          <cell r="BC28">
            <v>16.358562438822148</v>
          </cell>
          <cell r="BD28">
            <v>16.367124908153912</v>
          </cell>
          <cell r="BE28">
            <v>16.375687438504915</v>
          </cell>
          <cell r="BF28">
            <v>16.38425006038478</v>
          </cell>
          <cell r="BG28">
            <v>16.392812804303126</v>
          </cell>
          <cell r="BH28">
            <v>16.40137570076957</v>
          </cell>
          <cell r="BI28">
            <v>16.409938780293732</v>
          </cell>
          <cell r="BJ28">
            <v>16.418502073385234</v>
          </cell>
          <cell r="BK28">
            <v>16.427065610553694</v>
          </cell>
          <cell r="BL28">
            <v>16.435629422308736</v>
          </cell>
          <cell r="BO28">
            <v>3.6</v>
          </cell>
          <cell r="BP28">
            <v>3.5129328480501969</v>
          </cell>
          <cell r="BQ28">
            <v>3.4258656991017049</v>
          </cell>
          <cell r="BR28">
            <v>3.3387985561558366</v>
          </cell>
          <cell r="BS28">
            <v>3.2517314222139024</v>
          </cell>
          <cell r="BT28">
            <v>3.1646643002772148</v>
          </cell>
          <cell r="BU28">
            <v>3.0775971933470854</v>
          </cell>
          <cell r="BV28">
            <v>2.9905301044248249</v>
          </cell>
          <cell r="BW28">
            <v>2.9034630365117455</v>
          </cell>
          <cell r="BX28">
            <v>2.8163959926091588</v>
          </cell>
          <cell r="BY28">
            <v>2.7293289757183761</v>
          </cell>
        </row>
        <row r="29">
          <cell r="BB29">
            <v>17.549999</v>
          </cell>
          <cell r="BC29">
            <v>17.540596824617861</v>
          </cell>
          <cell r="BD29">
            <v>17.531194680211048</v>
          </cell>
          <cell r="BE29">
            <v>17.521792597754892</v>
          </cell>
          <cell r="BF29">
            <v>17.51239060822472</v>
          </cell>
          <cell r="BG29">
            <v>17.502988742595861</v>
          </cell>
          <cell r="BH29">
            <v>17.493587031843642</v>
          </cell>
          <cell r="BI29">
            <v>17.484185506943394</v>
          </cell>
          <cell r="BJ29">
            <v>17.474784198870442</v>
          </cell>
          <cell r="BK29">
            <v>17.465383138600117</v>
          </cell>
          <cell r="BL29">
            <v>17.455982357107743</v>
          </cell>
          <cell r="BO29">
            <v>3.6</v>
          </cell>
          <cell r="BP29">
            <v>3.5144829830721034</v>
          </cell>
          <cell r="BQ29">
            <v>3.4289659627395652</v>
          </cell>
          <cell r="BR29">
            <v>3.343448935597745</v>
          </cell>
          <cell r="BS29">
            <v>3.2579318982420027</v>
          </cell>
          <cell r="BT29">
            <v>3.1724148472676967</v>
          </cell>
          <cell r="BU29">
            <v>3.0868977792701862</v>
          </cell>
          <cell r="BV29">
            <v>3.0013806908448308</v>
          </cell>
          <cell r="BW29">
            <v>2.9158635785869893</v>
          </cell>
          <cell r="BX29">
            <v>2.8303464390920205</v>
          </cell>
          <cell r="BY29">
            <v>2.7448292689552845</v>
          </cell>
        </row>
        <row r="30">
          <cell r="BB30">
            <v>15.600694644044374</v>
          </cell>
          <cell r="BC30">
            <v>15.735613044220601</v>
          </cell>
          <cell r="BD30">
            <v>15.870531444512221</v>
          </cell>
          <cell r="BE30">
            <v>16.005449844906472</v>
          </cell>
          <cell r="BF30">
            <v>16.140368245390597</v>
          </cell>
          <cell r="BG30">
            <v>16.275286645951844</v>
          </cell>
          <cell r="BH30">
            <v>16.410205046577449</v>
          </cell>
          <cell r="BI30">
            <v>16.545123447254653</v>
          </cell>
          <cell r="BJ30">
            <v>16.680041847970703</v>
          </cell>
          <cell r="BK30">
            <v>16.814960248712836</v>
          </cell>
          <cell r="BL30">
            <v>16.9498786494683</v>
          </cell>
          <cell r="BO30">
            <v>0.89988041905588745</v>
          </cell>
          <cell r="BP30">
            <v>0.89989536928672087</v>
          </cell>
          <cell r="BQ30">
            <v>0.89990937022303463</v>
          </cell>
          <cell r="BR30">
            <v>0.89992252682135487</v>
          </cell>
          <cell r="BS30">
            <v>0.89993494403820795</v>
          </cell>
          <cell r="BT30">
            <v>0.89994672683012011</v>
          </cell>
          <cell r="BU30">
            <v>0.89995798015361739</v>
          </cell>
          <cell r="BV30">
            <v>0.89996880896522624</v>
          </cell>
          <cell r="BW30">
            <v>0.8999793182214727</v>
          </cell>
          <cell r="BX30">
            <v>0.89998961287888302</v>
          </cell>
          <cell r="BY30">
            <v>0.89999979789398354</v>
          </cell>
        </row>
        <row r="31">
          <cell r="BB31">
            <v>18.32163364405757</v>
          </cell>
          <cell r="BC31">
            <v>18.66445804400362</v>
          </cell>
          <cell r="BD31">
            <v>19.007282443654486</v>
          </cell>
          <cell r="BE31">
            <v>19.350106843042958</v>
          </cell>
          <cell r="BF31">
            <v>19.692931242201841</v>
          </cell>
          <cell r="BG31">
            <v>20.035755641163931</v>
          </cell>
          <cell r="BH31">
            <v>20.378580039962031</v>
          </cell>
          <cell r="BI31">
            <v>20.721404438628934</v>
          </cell>
          <cell r="BJ31">
            <v>21.06422883719744</v>
          </cell>
          <cell r="BK31">
            <v>21.407053235700349</v>
          </cell>
          <cell r="BL31">
            <v>21.74987763417046</v>
          </cell>
          <cell r="BO31">
            <v>0.899790540604122</v>
          </cell>
          <cell r="BP31">
            <v>0.89980806837480787</v>
          </cell>
          <cell r="BQ31">
            <v>0.89983176673406817</v>
          </cell>
          <cell r="BR31">
            <v>0.8998609500609499</v>
          </cell>
          <cell r="BS31">
            <v>0.89989493273450061</v>
          </cell>
          <cell r="BT31">
            <v>0.8999330291337676</v>
          </cell>
          <cell r="BU31">
            <v>0.89997455363779799</v>
          </cell>
          <cell r="BV31">
            <v>0.90001882062563909</v>
          </cell>
          <cell r="BW31">
            <v>0.90006514447633845</v>
          </cell>
          <cell r="BX31">
            <v>0.90011283956894306</v>
          </cell>
          <cell r="BY31">
            <v>0.90016122028250045</v>
          </cell>
        </row>
        <row r="32">
          <cell r="BB32">
            <v>16.435629422308725</v>
          </cell>
          <cell r="BC32">
            <v>16.487059879914984</v>
          </cell>
          <cell r="BD32">
            <v>16.538492442960816</v>
          </cell>
          <cell r="BE32">
            <v>16.589926878104958</v>
          </cell>
          <cell r="BF32">
            <v>16.641362952006137</v>
          </cell>
          <cell r="BG32">
            <v>16.692800431323089</v>
          </cell>
          <cell r="BH32">
            <v>16.744239082714543</v>
          </cell>
          <cell r="BI32">
            <v>16.795678672839237</v>
          </cell>
          <cell r="BJ32">
            <v>16.8471189683559</v>
          </cell>
          <cell r="BK32">
            <v>16.898559735923268</v>
          </cell>
          <cell r="BL32">
            <v>16.950000742200068</v>
          </cell>
          <cell r="BO32">
            <v>2.7293289757183756</v>
          </cell>
          <cell r="BP32">
            <v>2.246395381277249</v>
          </cell>
          <cell r="BQ32">
            <v>1.7634620110773158</v>
          </cell>
          <cell r="BR32">
            <v>1.2805288402664154</v>
          </cell>
          <cell r="BS32">
            <v>0.79759584399238603</v>
          </cell>
          <cell r="BT32">
            <v>0.31466299740306619</v>
          </cell>
          <cell r="BU32">
            <v>-0.16826972435370577</v>
          </cell>
          <cell r="BV32">
            <v>-0.6512023461300912</v>
          </cell>
          <cell r="BW32">
            <v>-1.134134892778252</v>
          </cell>
          <cell r="BX32">
            <v>-1.6170673891503493</v>
          </cell>
          <cell r="BY32">
            <v>-2.0999998600985452</v>
          </cell>
        </row>
        <row r="33">
          <cell r="BB33">
            <v>17.455982357107761</v>
          </cell>
          <cell r="BC33">
            <v>17.405377456130886</v>
          </cell>
          <cell r="BD33">
            <v>17.354774685687108</v>
          </cell>
          <cell r="BE33">
            <v>17.304173808450351</v>
          </cell>
          <cell r="BF33">
            <v>17.253574587094551</v>
          </cell>
          <cell r="BG33">
            <v>17.202976784293639</v>
          </cell>
          <cell r="BH33">
            <v>17.152380162721553</v>
          </cell>
          <cell r="BI33">
            <v>17.101784485052221</v>
          </cell>
          <cell r="BJ33">
            <v>17.051189513959578</v>
          </cell>
          <cell r="BK33">
            <v>17.000595012117557</v>
          </cell>
          <cell r="BL33">
            <v>16.950000742200093</v>
          </cell>
          <cell r="BO33">
            <v>2.7448292689552862</v>
          </cell>
          <cell r="BP33">
            <v>2.2603470599333328</v>
          </cell>
          <cell r="BQ33">
            <v>1.7758646283948682</v>
          </cell>
          <cell r="BR33">
            <v>1.2913819991266311</v>
          </cell>
          <cell r="BS33">
            <v>0.80689919691536083</v>
          </cell>
          <cell r="BT33">
            <v>0.32241624654779705</v>
          </cell>
          <cell r="BU33">
            <v>-0.16206682718932081</v>
          </cell>
          <cell r="BV33">
            <v>-0.6465499995092534</v>
          </cell>
          <cell r="BW33">
            <v>-1.1310332456252612</v>
          </cell>
          <cell r="BX33">
            <v>-1.6155165407506049</v>
          </cell>
          <cell r="BY33">
            <v>-2.0999998600985452</v>
          </cell>
        </row>
        <row r="34">
          <cell r="BB34">
            <v>16.435629422308725</v>
          </cell>
          <cell r="BC34">
            <v>16.352141501091985</v>
          </cell>
          <cell r="BD34">
            <v>16.268649438079809</v>
          </cell>
          <cell r="BE34">
            <v>16.185154323394677</v>
          </cell>
          <cell r="BF34">
            <v>16.101657247159068</v>
          </cell>
          <cell r="BG34">
            <v>16.018159299495469</v>
          </cell>
          <cell r="BH34">
            <v>15.934661570526355</v>
          </cell>
          <cell r="BI34">
            <v>15.851165150374207</v>
          </cell>
          <cell r="BJ34">
            <v>15.767671129161508</v>
          </cell>
          <cell r="BK34">
            <v>15.684180597010737</v>
          </cell>
          <cell r="BL34">
            <v>15.600694644044372</v>
          </cell>
          <cell r="BO34">
            <v>2.7293289757183756</v>
          </cell>
          <cell r="BP34">
            <v>2.5463815844665461</v>
          </cell>
          <cell r="BQ34">
            <v>2.3634360831939238</v>
          </cell>
          <cell r="BR34">
            <v>2.1804919744571039</v>
          </cell>
          <cell r="BS34">
            <v>1.9975487608126827</v>
          </cell>
          <cell r="BT34">
            <v>1.8146059448172556</v>
          </cell>
          <cell r="BU34">
            <v>1.6316630290274186</v>
          </cell>
          <cell r="BV34">
            <v>1.4487195159997674</v>
          </cell>
          <cell r="BW34">
            <v>1.265774908290898</v>
          </cell>
          <cell r="BX34">
            <v>1.082828708457406</v>
          </cell>
          <cell r="BY34">
            <v>0.89988041905588734</v>
          </cell>
        </row>
        <row r="35">
          <cell r="BB35">
            <v>17.455982357107761</v>
          </cell>
          <cell r="BC35">
            <v>17.542553006076147</v>
          </cell>
          <cell r="BD35">
            <v>17.629119529660731</v>
          </cell>
          <cell r="BE35">
            <v>17.715683014857653</v>
          </cell>
          <cell r="BF35">
            <v>17.802244548663058</v>
          </cell>
          <cell r="BG35">
            <v>17.888805218073085</v>
          </cell>
          <cell r="BH35">
            <v>17.975366110083879</v>
          </cell>
          <cell r="BI35">
            <v>18.061928311691581</v>
          </cell>
          <cell r="BJ35">
            <v>18.148492909892333</v>
          </cell>
          <cell r="BK35">
            <v>18.235060991682282</v>
          </cell>
          <cell r="BL35">
            <v>18.321633644057567</v>
          </cell>
          <cell r="BO35">
            <v>2.7448292689552862</v>
          </cell>
          <cell r="BP35">
            <v>2.5603279864814574</v>
          </cell>
          <cell r="BQ35">
            <v>2.375824768191463</v>
          </cell>
          <cell r="BR35">
            <v>2.1913201241529237</v>
          </cell>
          <cell r="BS35">
            <v>2.0068145644334612</v>
          </cell>
          <cell r="BT35">
            <v>1.822308599100698</v>
          </cell>
          <cell r="BU35">
            <v>1.6378027382222551</v>
          </cell>
          <cell r="BV35">
            <v>1.4532974918657542</v>
          </cell>
          <cell r="BW35">
            <v>1.2687933700988172</v>
          </cell>
          <cell r="BX35">
            <v>1.0842908829890658</v>
          </cell>
          <cell r="BY35">
            <v>0.89979054060412167</v>
          </cell>
        </row>
        <row r="36">
          <cell r="BB36">
            <v>16.435629422308725</v>
          </cell>
          <cell r="BC36">
            <v>16.53766473380459</v>
          </cell>
          <cell r="BD36">
            <v>16.639700033255313</v>
          </cell>
          <cell r="BE36">
            <v>16.74173532367649</v>
          </cell>
          <cell r="BF36">
            <v>16.843770608083727</v>
          </cell>
          <cell r="BG36">
            <v>16.945805889492611</v>
          </cell>
          <cell r="BH36">
            <v>17.047841170918748</v>
          </cell>
          <cell r="BI36">
            <v>17.149876455377733</v>
          </cell>
          <cell r="BJ36">
            <v>17.251911745885167</v>
          </cell>
          <cell r="BK36">
            <v>17.353947045456646</v>
          </cell>
          <cell r="BL36">
            <v>17.455982357107768</v>
          </cell>
          <cell r="BO36">
            <v>2.7293289757183756</v>
          </cell>
          <cell r="BP36">
            <v>2.7308778187591707</v>
          </cell>
          <cell r="BQ36">
            <v>2.7324274549270244</v>
          </cell>
          <cell r="BR36">
            <v>2.733977685656197</v>
          </cell>
          <cell r="BS36">
            <v>2.7355283123809508</v>
          </cell>
          <cell r="BT36">
            <v>2.737079136535546</v>
          </cell>
          <cell r="BU36">
            <v>2.738629959554244</v>
          </cell>
          <cell r="BV36">
            <v>2.7401805828713059</v>
          </cell>
          <cell r="BW36">
            <v>2.7417308079209932</v>
          </cell>
          <cell r="BX36">
            <v>2.7432804361375669</v>
          </cell>
          <cell r="BY36">
            <v>2.744829268955288</v>
          </cell>
        </row>
        <row r="37">
          <cell r="BB37">
            <v>7.6500000953674316</v>
          </cell>
          <cell r="BC37">
            <v>7.6500000953674316</v>
          </cell>
          <cell r="BD37">
            <v>7.6500000953674316</v>
          </cell>
          <cell r="BE37">
            <v>7.6500000953674316</v>
          </cell>
          <cell r="BF37">
            <v>7.6500000953674316</v>
          </cell>
          <cell r="BG37">
            <v>7.6500000953674316</v>
          </cell>
          <cell r="BH37">
            <v>7.6500000953674316</v>
          </cell>
          <cell r="BI37">
            <v>7.6500000953674316</v>
          </cell>
          <cell r="BJ37">
            <v>7.6500000953674316</v>
          </cell>
          <cell r="BK37">
            <v>7.6500000953674316</v>
          </cell>
          <cell r="BL37">
            <v>7.6500000953674316</v>
          </cell>
          <cell r="BO37">
            <v>0.75</v>
          </cell>
          <cell r="BP37">
            <v>0.75</v>
          </cell>
          <cell r="BQ37">
            <v>0.75</v>
          </cell>
          <cell r="BR37">
            <v>0.75</v>
          </cell>
          <cell r="BS37">
            <v>0.75</v>
          </cell>
          <cell r="BT37">
            <v>0.75</v>
          </cell>
          <cell r="BU37">
            <v>0.75</v>
          </cell>
          <cell r="BV37">
            <v>0.75</v>
          </cell>
          <cell r="BW37">
            <v>0.75</v>
          </cell>
          <cell r="BX37">
            <v>0.75</v>
          </cell>
          <cell r="BY37">
            <v>0.75</v>
          </cell>
        </row>
        <row r="38">
          <cell r="BB38">
            <v>7.6500000953674316</v>
          </cell>
          <cell r="BC38">
            <v>7.6500000953674316</v>
          </cell>
          <cell r="BD38">
            <v>7.6500000953674316</v>
          </cell>
          <cell r="BE38">
            <v>7.6500000953674316</v>
          </cell>
          <cell r="BF38">
            <v>7.6500000953674316</v>
          </cell>
          <cell r="BG38">
            <v>7.6500000953674316</v>
          </cell>
          <cell r="BH38">
            <v>7.6500000953674316</v>
          </cell>
          <cell r="BI38">
            <v>7.6500000953674316</v>
          </cell>
          <cell r="BJ38">
            <v>7.6500000953674316</v>
          </cell>
          <cell r="BK38">
            <v>7.6500000953674316</v>
          </cell>
          <cell r="BL38">
            <v>7.6500000953674316</v>
          </cell>
          <cell r="BO38">
            <v>0.75</v>
          </cell>
          <cell r="BP38">
            <v>0.75</v>
          </cell>
          <cell r="BQ38">
            <v>0.75</v>
          </cell>
          <cell r="BR38">
            <v>0.75</v>
          </cell>
          <cell r="BS38">
            <v>0.75</v>
          </cell>
          <cell r="BT38">
            <v>0.75</v>
          </cell>
          <cell r="BU38">
            <v>0.75</v>
          </cell>
          <cell r="BV38">
            <v>0.75</v>
          </cell>
          <cell r="BW38">
            <v>0.75</v>
          </cell>
          <cell r="BX38">
            <v>0.75</v>
          </cell>
          <cell r="BY38">
            <v>0.75</v>
          </cell>
        </row>
        <row r="39">
          <cell r="BB39">
            <v>7.6500000953674316</v>
          </cell>
          <cell r="BC39">
            <v>7.6500000953674316</v>
          </cell>
          <cell r="BD39">
            <v>7.6500000953674316</v>
          </cell>
          <cell r="BE39">
            <v>7.6500000953674316</v>
          </cell>
          <cell r="BF39">
            <v>7.6500000953674316</v>
          </cell>
          <cell r="BG39">
            <v>7.6500000953674316</v>
          </cell>
          <cell r="BH39">
            <v>7.6500000953674316</v>
          </cell>
          <cell r="BI39">
            <v>7.6500000953674316</v>
          </cell>
          <cell r="BJ39">
            <v>7.6500000953674316</v>
          </cell>
          <cell r="BK39">
            <v>7.6500000953674316</v>
          </cell>
          <cell r="BL39">
            <v>7.6500000953674316</v>
          </cell>
          <cell r="BO39">
            <v>0.75</v>
          </cell>
          <cell r="BP39">
            <v>0.75</v>
          </cell>
          <cell r="BQ39">
            <v>0.75</v>
          </cell>
          <cell r="BR39">
            <v>0.75</v>
          </cell>
          <cell r="BS39">
            <v>0.75</v>
          </cell>
          <cell r="BT39">
            <v>0.75</v>
          </cell>
          <cell r="BU39">
            <v>0.75</v>
          </cell>
          <cell r="BV39">
            <v>0.75</v>
          </cell>
          <cell r="BW39">
            <v>0.75</v>
          </cell>
          <cell r="BX39">
            <v>0.75</v>
          </cell>
          <cell r="BY39">
            <v>0.75</v>
          </cell>
        </row>
        <row r="40">
          <cell r="BB40">
            <v>7.6500000953674316</v>
          </cell>
          <cell r="BC40">
            <v>7.6500000953674316</v>
          </cell>
          <cell r="BD40">
            <v>7.6500000953674316</v>
          </cell>
          <cell r="BE40">
            <v>7.6500000953674316</v>
          </cell>
          <cell r="BF40">
            <v>7.6500000953674316</v>
          </cell>
          <cell r="BG40">
            <v>7.6500000953674316</v>
          </cell>
          <cell r="BH40">
            <v>7.6500000953674316</v>
          </cell>
          <cell r="BI40">
            <v>7.6500000953674316</v>
          </cell>
          <cell r="BJ40">
            <v>7.6500000953674316</v>
          </cell>
          <cell r="BK40">
            <v>7.6500000953674316</v>
          </cell>
          <cell r="BL40">
            <v>7.6500000953674316</v>
          </cell>
          <cell r="BO40">
            <v>0.75</v>
          </cell>
          <cell r="BP40">
            <v>0.75</v>
          </cell>
          <cell r="BQ40">
            <v>0.75</v>
          </cell>
          <cell r="BR40">
            <v>0.75</v>
          </cell>
          <cell r="BS40">
            <v>0.75</v>
          </cell>
          <cell r="BT40">
            <v>0.75</v>
          </cell>
          <cell r="BU40">
            <v>0.75</v>
          </cell>
          <cell r="BV40">
            <v>0.75</v>
          </cell>
          <cell r="BW40">
            <v>0.75</v>
          </cell>
          <cell r="BX40">
            <v>0.75</v>
          </cell>
          <cell r="BY40">
            <v>0.75</v>
          </cell>
        </row>
        <row r="41">
          <cell r="BB41">
            <v>7.6500000953674316</v>
          </cell>
          <cell r="BC41">
            <v>7.6500000953674316</v>
          </cell>
          <cell r="BD41">
            <v>7.6500000953674316</v>
          </cell>
          <cell r="BE41">
            <v>7.6500000953674316</v>
          </cell>
          <cell r="BF41">
            <v>7.6500000953674316</v>
          </cell>
          <cell r="BG41">
            <v>7.6500000953674316</v>
          </cell>
          <cell r="BH41">
            <v>7.6500000953674316</v>
          </cell>
          <cell r="BI41">
            <v>7.6500000953674316</v>
          </cell>
          <cell r="BJ41">
            <v>7.6500000953674316</v>
          </cell>
          <cell r="BK41">
            <v>7.6500000953674316</v>
          </cell>
          <cell r="BL41">
            <v>7.6500000953674316</v>
          </cell>
          <cell r="BO41">
            <v>0.75</v>
          </cell>
          <cell r="BP41">
            <v>0.75</v>
          </cell>
          <cell r="BQ41">
            <v>0.75</v>
          </cell>
          <cell r="BR41">
            <v>0.75</v>
          </cell>
          <cell r="BS41">
            <v>0.75</v>
          </cell>
          <cell r="BT41">
            <v>0.75</v>
          </cell>
          <cell r="BU41">
            <v>0.75</v>
          </cell>
          <cell r="BV41">
            <v>0.75</v>
          </cell>
          <cell r="BW41">
            <v>0.75</v>
          </cell>
          <cell r="BX41">
            <v>0.75</v>
          </cell>
          <cell r="BY41">
            <v>0.75</v>
          </cell>
        </row>
        <row r="42">
          <cell r="BB42">
            <v>7.6500000953674316</v>
          </cell>
          <cell r="BC42">
            <v>7.6500000953674316</v>
          </cell>
          <cell r="BD42">
            <v>7.6500000953674316</v>
          </cell>
          <cell r="BE42">
            <v>7.6500000953674316</v>
          </cell>
          <cell r="BF42">
            <v>7.6500000953674316</v>
          </cell>
          <cell r="BG42">
            <v>7.6500000953674316</v>
          </cell>
          <cell r="BH42">
            <v>7.6500000953674316</v>
          </cell>
          <cell r="BI42">
            <v>7.6500000953674316</v>
          </cell>
          <cell r="BJ42">
            <v>7.6500000953674316</v>
          </cell>
          <cell r="BK42">
            <v>7.6500000953674316</v>
          </cell>
          <cell r="BL42">
            <v>7.6500000953674316</v>
          </cell>
          <cell r="BO42">
            <v>0.75</v>
          </cell>
          <cell r="BP42">
            <v>0.75</v>
          </cell>
          <cell r="BQ42">
            <v>0.75</v>
          </cell>
          <cell r="BR42">
            <v>0.75</v>
          </cell>
          <cell r="BS42">
            <v>0.75</v>
          </cell>
          <cell r="BT42">
            <v>0.75</v>
          </cell>
          <cell r="BU42">
            <v>0.75</v>
          </cell>
          <cell r="BV42">
            <v>0.75</v>
          </cell>
          <cell r="BW42">
            <v>0.75</v>
          </cell>
          <cell r="BX42">
            <v>0.75</v>
          </cell>
          <cell r="BY42">
            <v>0.75</v>
          </cell>
        </row>
        <row r="43">
          <cell r="BB43">
            <v>7.6500000953674316</v>
          </cell>
          <cell r="BC43">
            <v>7.6500000953674316</v>
          </cell>
          <cell r="BD43">
            <v>7.6500000953674316</v>
          </cell>
          <cell r="BE43">
            <v>7.6500000953674316</v>
          </cell>
          <cell r="BF43">
            <v>7.6500000953674316</v>
          </cell>
          <cell r="BG43">
            <v>7.6500000953674316</v>
          </cell>
          <cell r="BH43">
            <v>7.6500000953674316</v>
          </cell>
          <cell r="BI43">
            <v>7.6500000953674316</v>
          </cell>
          <cell r="BJ43">
            <v>7.6500000953674316</v>
          </cell>
          <cell r="BK43">
            <v>7.6500000953674316</v>
          </cell>
          <cell r="BL43">
            <v>7.6500000953674316</v>
          </cell>
          <cell r="BO43">
            <v>0.75</v>
          </cell>
          <cell r="BP43">
            <v>0.75</v>
          </cell>
          <cell r="BQ43">
            <v>0.75</v>
          </cell>
          <cell r="BR43">
            <v>0.75</v>
          </cell>
          <cell r="BS43">
            <v>0.75</v>
          </cell>
          <cell r="BT43">
            <v>0.75</v>
          </cell>
          <cell r="BU43">
            <v>0.75</v>
          </cell>
          <cell r="BV43">
            <v>0.75</v>
          </cell>
          <cell r="BW43">
            <v>0.75</v>
          </cell>
          <cell r="BX43">
            <v>0.75</v>
          </cell>
          <cell r="BY43">
            <v>0.75</v>
          </cell>
        </row>
      </sheetData>
      <sheetData sheetId="17">
        <row r="3">
          <cell r="AB3">
            <v>-3.75</v>
          </cell>
          <cell r="AC3">
            <v>-3.4649999999999999</v>
          </cell>
          <cell r="AD3">
            <v>-3.1799999999999997</v>
          </cell>
          <cell r="AE3">
            <v>-2.8949999999999996</v>
          </cell>
          <cell r="AF3">
            <v>-2.6099999999999994</v>
          </cell>
          <cell r="AG3">
            <v>-2.3249999999999993</v>
          </cell>
          <cell r="AH3">
            <v>-2.0399999999999991</v>
          </cell>
          <cell r="AI3">
            <v>-1.754999999999999</v>
          </cell>
          <cell r="AJ3">
            <v>-1.4699999999999989</v>
          </cell>
          <cell r="AK3">
            <v>-1.1849999999999987</v>
          </cell>
          <cell r="AL3">
            <v>-0.89999999999999869</v>
          </cell>
          <cell r="AM3">
            <v>-0.89999999999999869</v>
          </cell>
          <cell r="AN3">
            <v>-3.75</v>
          </cell>
          <cell r="AO3">
            <v>-3.75</v>
          </cell>
          <cell r="AR3">
            <v>0.77721786707580132</v>
          </cell>
          <cell r="AS3">
            <v>0.80177429366064112</v>
          </cell>
          <cell r="AT3">
            <v>0.82633072024548082</v>
          </cell>
          <cell r="AU3">
            <v>0.85088714683032052</v>
          </cell>
          <cell r="AV3">
            <v>0.87544357341516033</v>
          </cell>
          <cell r="AW3">
            <v>0.9</v>
          </cell>
          <cell r="AX3">
            <v>0.92455642658483972</v>
          </cell>
          <cell r="AY3">
            <v>0.94911285316967953</v>
          </cell>
          <cell r="AZ3">
            <v>0.97366927975451922</v>
          </cell>
          <cell r="BA3">
            <v>0.99822570633935892</v>
          </cell>
          <cell r="BB3">
            <v>1.0227821329241986</v>
          </cell>
          <cell r="BC3">
            <v>0.9</v>
          </cell>
          <cell r="BD3">
            <v>0.9</v>
          </cell>
          <cell r="BE3">
            <v>0.77721786707580132</v>
          </cell>
        </row>
        <row r="4">
          <cell r="AB4">
            <v>-0.9</v>
          </cell>
          <cell r="AC4">
            <v>-0.55491697402976836</v>
          </cell>
          <cell r="AD4">
            <v>-0.20983394805953673</v>
          </cell>
          <cell r="AE4">
            <v>0.1352490779106949</v>
          </cell>
          <cell r="AF4">
            <v>0.48033210388092651</v>
          </cell>
          <cell r="AG4">
            <v>0.82541512985115817</v>
          </cell>
          <cell r="AH4">
            <v>1.1704981558213896</v>
          </cell>
          <cell r="AI4">
            <v>1.5155811817916212</v>
          </cell>
          <cell r="AJ4">
            <v>1.8606642077618529</v>
          </cell>
          <cell r="AK4">
            <v>2.2057472337320845</v>
          </cell>
          <cell r="AL4">
            <v>2.550830259702316</v>
          </cell>
          <cell r="AM4">
            <v>2.5508169999999999</v>
          </cell>
          <cell r="AN4">
            <v>-0.9</v>
          </cell>
          <cell r="AO4">
            <v>-0.9</v>
          </cell>
          <cell r="AR4">
            <v>0.9</v>
          </cell>
          <cell r="AS4">
            <v>0.92788409156581975</v>
          </cell>
          <cell r="AT4">
            <v>0.95576818313163936</v>
          </cell>
          <cell r="AU4">
            <v>0.98365227469745908</v>
          </cell>
          <cell r="AV4">
            <v>1.0115363662632788</v>
          </cell>
          <cell r="AW4">
            <v>1.0394204578290984</v>
          </cell>
          <cell r="AX4">
            <v>1.067304549394918</v>
          </cell>
          <cell r="AY4">
            <v>1.0951886409607376</v>
          </cell>
          <cell r="AZ4">
            <v>1.1230727325265575</v>
          </cell>
          <cell r="BA4">
            <v>1.1509568240923771</v>
          </cell>
          <cell r="BB4">
            <v>1.1788409156581965</v>
          </cell>
          <cell r="BC4">
            <v>0.89983599999999975</v>
          </cell>
          <cell r="BD4">
            <v>0.9</v>
          </cell>
          <cell r="BE4">
            <v>0.9</v>
          </cell>
        </row>
        <row r="5">
          <cell r="AB5">
            <v>-0.88600217592779928</v>
          </cell>
          <cell r="AC5">
            <v>-0.40880174074223941</v>
          </cell>
          <cell r="AD5">
            <v>6.8398694443320474E-2</v>
          </cell>
          <cell r="AE5">
            <v>0.54559912962888035</v>
          </cell>
          <cell r="AF5">
            <v>1.0227995648144401</v>
          </cell>
          <cell r="AG5">
            <v>1.5</v>
          </cell>
          <cell r="AH5">
            <v>1.9772004351855599</v>
          </cell>
          <cell r="AI5">
            <v>2.4544008703711198</v>
          </cell>
          <cell r="AJ5">
            <v>2.9316013055566796</v>
          </cell>
          <cell r="AK5">
            <v>3.4088017407422395</v>
          </cell>
          <cell r="AL5">
            <v>3.8860021759277994</v>
          </cell>
          <cell r="AM5">
            <v>3.9</v>
          </cell>
          <cell r="AN5">
            <v>-0.9</v>
          </cell>
          <cell r="AO5">
            <v>-0.88600217592779928</v>
          </cell>
          <cell r="AR5">
            <v>0.92239651851552118</v>
          </cell>
          <cell r="AS5">
            <v>0.6179172148124169</v>
          </cell>
          <cell r="AT5">
            <v>0.31343791110931263</v>
          </cell>
          <cell r="AU5">
            <v>8.9586074062083364E-3</v>
          </cell>
          <cell r="AV5">
            <v>-0.29552069629689592</v>
          </cell>
          <cell r="AW5">
            <v>-0.6000000000000002</v>
          </cell>
          <cell r="AX5">
            <v>-0.90447930370310448</v>
          </cell>
          <cell r="AY5">
            <v>-1.2089586074062086</v>
          </cell>
          <cell r="AZ5">
            <v>-1.5134379111093128</v>
          </cell>
          <cell r="BA5">
            <v>-1.8179172148124172</v>
          </cell>
          <cell r="BB5">
            <v>-2.1223965185155218</v>
          </cell>
          <cell r="BC5">
            <v>-2.1000000000000005</v>
          </cell>
          <cell r="BD5">
            <v>0.9</v>
          </cell>
          <cell r="BE5">
            <v>0.92239651851552118</v>
          </cell>
        </row>
        <row r="6">
          <cell r="AB6">
            <v>7.8355052628800195</v>
          </cell>
          <cell r="AC6">
            <v>7.5284042103040143</v>
          </cell>
          <cell r="AD6">
            <v>7.22130315772801</v>
          </cell>
          <cell r="AE6">
            <v>6.9142021051520057</v>
          </cell>
          <cell r="AF6">
            <v>6.6071010525760014</v>
          </cell>
          <cell r="AG6">
            <v>6.2999999999999972</v>
          </cell>
          <cell r="AH6">
            <v>5.9928989474239929</v>
          </cell>
          <cell r="AI6">
            <v>5.6857978948479886</v>
          </cell>
          <cell r="AJ6">
            <v>5.3786968422719834</v>
          </cell>
          <cell r="AK6">
            <v>5.0715957896959791</v>
          </cell>
          <cell r="AL6">
            <v>4.7644947371199748</v>
          </cell>
          <cell r="AM6">
            <v>3.8999999999999955</v>
          </cell>
          <cell r="AN6">
            <v>8.6999999999999993</v>
          </cell>
          <cell r="AO6">
            <v>7.8355052628800195</v>
          </cell>
          <cell r="AR6">
            <v>2.2831915793919682</v>
          </cell>
          <cell r="AS6">
            <v>1.7065532635135745</v>
          </cell>
          <cell r="AT6">
            <v>1.1299149476351806</v>
          </cell>
          <cell r="AU6">
            <v>0.55327663175678699</v>
          </cell>
          <cell r="AV6">
            <v>-2.3361684121606607E-2</v>
          </cell>
          <cell r="AW6">
            <v>-0.6000000000000002</v>
          </cell>
          <cell r="AX6">
            <v>-1.1766383158783937</v>
          </cell>
          <cell r="AY6">
            <v>-1.7532766317567874</v>
          </cell>
          <cell r="AZ6">
            <v>-2.3299149476351806</v>
          </cell>
          <cell r="BA6">
            <v>-2.9065532635135742</v>
          </cell>
          <cell r="BB6">
            <v>-3.4831915793919679</v>
          </cell>
          <cell r="BC6">
            <v>-2.1000000000000005</v>
          </cell>
          <cell r="BD6">
            <v>0.9</v>
          </cell>
          <cell r="BE6">
            <v>2.2831915793919682</v>
          </cell>
          <cell r="BH6">
            <v>-7.3709337785974167</v>
          </cell>
          <cell r="BI6">
            <v>15.920933778597426</v>
          </cell>
        </row>
        <row r="7">
          <cell r="AB7">
            <v>3.8999282538956868</v>
          </cell>
          <cell r="AC7">
            <v>4.037093137351377</v>
          </cell>
          <cell r="AD7">
            <v>4.1742580208070672</v>
          </cell>
          <cell r="AE7">
            <v>4.3114229042627583</v>
          </cell>
          <cell r="AF7">
            <v>4.4485877877184485</v>
          </cell>
          <cell r="AG7">
            <v>4.5857526711741388</v>
          </cell>
          <cell r="AH7">
            <v>4.722917554629829</v>
          </cell>
          <cell r="AI7">
            <v>4.8600824380855192</v>
          </cell>
          <cell r="AJ7">
            <v>4.9972473215412094</v>
          </cell>
          <cell r="AK7">
            <v>5.1344122049968997</v>
          </cell>
          <cell r="AL7">
            <v>5.2715770884525899</v>
          </cell>
          <cell r="AM7">
            <v>5.2717559999999999</v>
          </cell>
          <cell r="AN7">
            <v>3.9</v>
          </cell>
          <cell r="AO7">
            <v>3.8999282538956868</v>
          </cell>
          <cell r="AR7">
            <v>0.29988933494848324</v>
          </cell>
          <cell r="AS7">
            <v>0.21023583765572706</v>
          </cell>
          <cell r="AT7">
            <v>0.12058234036297144</v>
          </cell>
          <cell r="AU7">
            <v>3.0928843070215706E-2</v>
          </cell>
          <cell r="AV7">
            <v>-5.8724654222540029E-2</v>
          </cell>
          <cell r="AW7">
            <v>-0.14837815151529588</v>
          </cell>
          <cell r="AX7">
            <v>-0.2380316488080515</v>
          </cell>
          <cell r="AY7">
            <v>-0.32768514610080712</v>
          </cell>
          <cell r="AZ7">
            <v>-0.41733864339356297</v>
          </cell>
          <cell r="BA7">
            <v>-0.50699214068631904</v>
          </cell>
          <cell r="BB7">
            <v>-0.59664563797907444</v>
          </cell>
          <cell r="BC7">
            <v>0.89983599999999975</v>
          </cell>
          <cell r="BD7">
            <v>0.9</v>
          </cell>
          <cell r="BE7">
            <v>0.29988933494848324</v>
          </cell>
          <cell r="BH7">
            <v>22.67093377859743</v>
          </cell>
          <cell r="BI7">
            <v>15.920933778597426</v>
          </cell>
        </row>
        <row r="8">
          <cell r="AB8">
            <v>3.3</v>
          </cell>
          <cell r="AC8">
            <v>3.2759122847696274</v>
          </cell>
          <cell r="AD8">
            <v>3.2518245695392549</v>
          </cell>
          <cell r="AE8">
            <v>3.2277368543088825</v>
          </cell>
          <cell r="AF8">
            <v>3.20364913907851</v>
          </cell>
          <cell r="AG8">
            <v>3.1795614238481371</v>
          </cell>
          <cell r="AH8">
            <v>3.1554737086177647</v>
          </cell>
          <cell r="AI8">
            <v>3.1313859933873922</v>
          </cell>
          <cell r="AJ8">
            <v>3.1072982781570198</v>
          </cell>
          <cell r="AK8">
            <v>3.0832105629266469</v>
          </cell>
          <cell r="AL8">
            <v>3.0591228476962748</v>
          </cell>
          <cell r="AM8">
            <v>3.3856499999999992</v>
          </cell>
          <cell r="AN8">
            <v>3.3</v>
          </cell>
          <cell r="AO8">
            <v>3.3</v>
          </cell>
          <cell r="AR8">
            <v>3.6</v>
          </cell>
          <cell r="AS8">
            <v>3.5097209665032505</v>
          </cell>
          <cell r="AT8">
            <v>3.4194419330065013</v>
          </cell>
          <cell r="AU8">
            <v>3.3291628995097517</v>
          </cell>
          <cell r="AV8">
            <v>3.2388838660130022</v>
          </cell>
          <cell r="AW8">
            <v>3.1486048325162526</v>
          </cell>
          <cell r="AX8">
            <v>3.0583257990195034</v>
          </cell>
          <cell r="AY8">
            <v>2.9680467655227538</v>
          </cell>
          <cell r="AZ8">
            <v>2.8777677320260042</v>
          </cell>
          <cell r="BA8">
            <v>2.7874886985292551</v>
          </cell>
          <cell r="BB8">
            <v>2.6972096650325055</v>
          </cell>
          <cell r="BC8">
            <v>2.7293310000000006</v>
          </cell>
          <cell r="BD8">
            <v>3.6</v>
          </cell>
          <cell r="BE8">
            <v>3.6</v>
          </cell>
          <cell r="BH8">
            <v>22.67093377859743</v>
          </cell>
          <cell r="BI8">
            <v>-14.120933778597422</v>
          </cell>
        </row>
        <row r="9">
          <cell r="AB9">
            <v>4.5</v>
          </cell>
          <cell r="AC9">
            <v>4.4573101338869039</v>
          </cell>
          <cell r="AD9">
            <v>4.4146202677738078</v>
          </cell>
          <cell r="AE9">
            <v>4.3719304016607117</v>
          </cell>
          <cell r="AF9">
            <v>4.3292405355476156</v>
          </cell>
          <cell r="AG9">
            <v>4.2865506694345195</v>
          </cell>
          <cell r="AH9">
            <v>4.2438608033214233</v>
          </cell>
          <cell r="AI9">
            <v>4.2011709372083264</v>
          </cell>
          <cell r="AJ9">
            <v>4.1584810710952302</v>
          </cell>
          <cell r="AK9">
            <v>4.1157912049821341</v>
          </cell>
          <cell r="AL9">
            <v>4.073101338869038</v>
          </cell>
          <cell r="AM9">
            <v>4.4060029999999966</v>
          </cell>
          <cell r="AN9">
            <v>4.5</v>
          </cell>
          <cell r="AO9">
            <v>4.5</v>
          </cell>
          <cell r="AR9">
            <v>3.6</v>
          </cell>
          <cell r="AS9">
            <v>3.5181418142893111</v>
          </cell>
          <cell r="AT9">
            <v>3.4362836285786216</v>
          </cell>
          <cell r="AU9">
            <v>3.3544254428679317</v>
          </cell>
          <cell r="AV9">
            <v>3.2725672571572422</v>
          </cell>
          <cell r="AW9">
            <v>3.1907090714465527</v>
          </cell>
          <cell r="AX9">
            <v>3.1088508857358632</v>
          </cell>
          <cell r="AY9">
            <v>3.0269927000251733</v>
          </cell>
          <cell r="AZ9">
            <v>2.9451345143144838</v>
          </cell>
          <cell r="BA9">
            <v>2.8632763286037943</v>
          </cell>
          <cell r="BB9">
            <v>2.7814181428931049</v>
          </cell>
          <cell r="BC9">
            <v>2.7448269999999981</v>
          </cell>
          <cell r="BD9">
            <v>3.6</v>
          </cell>
          <cell r="BE9">
            <v>3.6</v>
          </cell>
          <cell r="BH9">
            <v>-7.3709337785974167</v>
          </cell>
          <cell r="BI9">
            <v>-14.120933778597422</v>
          </cell>
        </row>
        <row r="10">
          <cell r="AB10">
            <v>2.5507830855451914</v>
          </cell>
          <cell r="AC10">
            <v>2.6857120716385476</v>
          </cell>
          <cell r="AD10">
            <v>2.8206410577319039</v>
          </cell>
          <cell r="AE10">
            <v>2.9555700438252597</v>
          </cell>
          <cell r="AF10">
            <v>3.0904990299186159</v>
          </cell>
          <cell r="AG10">
            <v>3.2254280160119717</v>
          </cell>
          <cell r="AH10">
            <v>3.360357002105328</v>
          </cell>
          <cell r="AI10">
            <v>3.4952859881986842</v>
          </cell>
          <cell r="AJ10">
            <v>3.63021497429204</v>
          </cell>
          <cell r="AK10">
            <v>3.7651439603853962</v>
          </cell>
          <cell r="AL10">
            <v>3.900072946478752</v>
          </cell>
          <cell r="AM10">
            <v>3.8999999999999981</v>
          </cell>
          <cell r="AN10">
            <v>2.5508169999999999</v>
          </cell>
          <cell r="AO10">
            <v>2.5507830855451914</v>
          </cell>
          <cell r="AR10">
            <v>1.1788409139120457</v>
          </cell>
          <cell r="AS10">
            <v>1.0909457560301605</v>
          </cell>
          <cell r="AT10">
            <v>1.0030505981482754</v>
          </cell>
          <cell r="AU10">
            <v>0.91515544026639006</v>
          </cell>
          <cell r="AV10">
            <v>0.827260282384505</v>
          </cell>
          <cell r="AW10">
            <v>0.73936512450261982</v>
          </cell>
          <cell r="AX10">
            <v>0.65146996662073486</v>
          </cell>
          <cell r="AY10">
            <v>0.56357480873884969</v>
          </cell>
          <cell r="AZ10">
            <v>0.47567965085696434</v>
          </cell>
          <cell r="BA10">
            <v>0.38778449297507955</v>
          </cell>
          <cell r="BB10">
            <v>0.29988933509319404</v>
          </cell>
          <cell r="BC10">
            <v>0.90000000000000024</v>
          </cell>
          <cell r="BD10">
            <v>0.89983599999999997</v>
          </cell>
          <cell r="BE10">
            <v>1.1788409139120457</v>
          </cell>
        </row>
        <row r="11">
          <cell r="AB11">
            <v>5.2718275885421519</v>
          </cell>
          <cell r="AC11">
            <v>5.6146448296879363</v>
          </cell>
          <cell r="AD11">
            <v>5.9574620708337207</v>
          </cell>
          <cell r="AE11">
            <v>6.3002793119795051</v>
          </cell>
          <cell r="AF11">
            <v>6.6430965531252895</v>
          </cell>
          <cell r="AG11">
            <v>6.9859137942710738</v>
          </cell>
          <cell r="AH11">
            <v>7.3287310354168582</v>
          </cell>
          <cell r="AI11">
            <v>7.6715482765626426</v>
          </cell>
          <cell r="AJ11">
            <v>8.014365517708427</v>
          </cell>
          <cell r="AK11">
            <v>8.3571827588542114</v>
          </cell>
          <cell r="AL11">
            <v>8.6999999999999957</v>
          </cell>
          <cell r="AM11">
            <v>8.6999999999999957</v>
          </cell>
          <cell r="AN11">
            <v>5.2717559999999999</v>
          </cell>
          <cell r="AO11">
            <v>5.2718275885421519</v>
          </cell>
          <cell r="AR11">
            <v>-0.59664564696162248</v>
          </cell>
          <cell r="AS11">
            <v>-0.44698108226545974</v>
          </cell>
          <cell r="AT11">
            <v>-0.29731651756929722</v>
          </cell>
          <cell r="AU11">
            <v>-0.14765195287313493</v>
          </cell>
          <cell r="AV11">
            <v>2.0126118230272549E-3</v>
          </cell>
          <cell r="AW11">
            <v>0.15167717651918955</v>
          </cell>
          <cell r="AX11">
            <v>0.30134174121535207</v>
          </cell>
          <cell r="AY11">
            <v>0.4510063059115143</v>
          </cell>
          <cell r="AZ11">
            <v>0.60067087060767632</v>
          </cell>
          <cell r="BA11">
            <v>0.75033543530383895</v>
          </cell>
          <cell r="BB11">
            <v>0.90000000000000024</v>
          </cell>
          <cell r="BC11">
            <v>0.90000000000000024</v>
          </cell>
          <cell r="BD11">
            <v>0.89983599999999997</v>
          </cell>
          <cell r="BE11">
            <v>-0.59664564696162248</v>
          </cell>
        </row>
        <row r="12">
          <cell r="AB12">
            <v>3.3646875749435017</v>
          </cell>
          <cell r="AC12">
            <v>3.4181779637291014</v>
          </cell>
          <cell r="AD12">
            <v>3.4716683525147007</v>
          </cell>
          <cell r="AE12">
            <v>3.5251587413003</v>
          </cell>
          <cell r="AF12">
            <v>3.5786491300858994</v>
          </cell>
          <cell r="AG12">
            <v>3.6321395188714991</v>
          </cell>
          <cell r="AH12">
            <v>3.6856299076570984</v>
          </cell>
          <cell r="AI12">
            <v>3.7391202964426977</v>
          </cell>
          <cell r="AJ12">
            <v>3.7926106852282975</v>
          </cell>
          <cell r="AK12">
            <v>3.8461010740138968</v>
          </cell>
          <cell r="AL12">
            <v>3.8995914627994961</v>
          </cell>
          <cell r="AM12">
            <v>3.9000000000000012</v>
          </cell>
          <cell r="AN12">
            <v>3.38565</v>
          </cell>
          <cell r="AO12">
            <v>3.3646875749435017</v>
          </cell>
          <cell r="AR12">
            <v>2.7270983877959889</v>
          </cell>
          <cell r="AS12">
            <v>2.2443841978731558</v>
          </cell>
          <cell r="AT12">
            <v>1.761670007950322</v>
          </cell>
          <cell r="AU12">
            <v>1.2789558180274885</v>
          </cell>
          <cell r="AV12">
            <v>0.79624162810465504</v>
          </cell>
          <cell r="AW12">
            <v>0.3135274381818216</v>
          </cell>
          <cell r="AX12">
            <v>-0.16918675174101189</v>
          </cell>
          <cell r="AY12">
            <v>-0.65190094166384527</v>
          </cell>
          <cell r="AZ12">
            <v>-1.1346151315866788</v>
          </cell>
          <cell r="BA12">
            <v>-1.6173293215095124</v>
          </cell>
          <cell r="BB12">
            <v>-2.1000435114323457</v>
          </cell>
          <cell r="BC12">
            <v>-2.1000000000000005</v>
          </cell>
          <cell r="BD12">
            <v>2.7293310000000002</v>
          </cell>
          <cell r="BE12">
            <v>2.7270983877959889</v>
          </cell>
        </row>
        <row r="13">
          <cell r="AB13">
            <v>4.3834665629659408</v>
          </cell>
          <cell r="AC13">
            <v>4.3351607691842062</v>
          </cell>
          <cell r="AD13">
            <v>4.2868549754024707</v>
          </cell>
          <cell r="AE13">
            <v>4.2385491816207361</v>
          </cell>
          <cell r="AF13">
            <v>4.1902433878390015</v>
          </cell>
          <cell r="AG13">
            <v>4.1419375940572669</v>
          </cell>
          <cell r="AH13">
            <v>4.0936318002755314</v>
          </cell>
          <cell r="AI13">
            <v>4.0453260064937968</v>
          </cell>
          <cell r="AJ13">
            <v>3.9970202127120618</v>
          </cell>
          <cell r="AK13">
            <v>3.9487144189303267</v>
          </cell>
          <cell r="AL13">
            <v>3.9004086251485921</v>
          </cell>
          <cell r="AM13">
            <v>3.8999999999999986</v>
          </cell>
          <cell r="AN13">
            <v>4.4060030000000001</v>
          </cell>
          <cell r="AO13">
            <v>4.3834665629659408</v>
          </cell>
          <cell r="AR13">
            <v>2.7471807485958828</v>
          </cell>
          <cell r="AS13">
            <v>2.2624584059770729</v>
          </cell>
          <cell r="AT13">
            <v>1.7777360633582628</v>
          </cell>
          <cell r="AU13">
            <v>1.293013720739453</v>
          </cell>
          <cell r="AV13">
            <v>0.808291378120643</v>
          </cell>
          <cell r="AW13">
            <v>0.32356903550183302</v>
          </cell>
          <cell r="AX13">
            <v>-0.16115330711697692</v>
          </cell>
          <cell r="AY13">
            <v>-0.64587564973578682</v>
          </cell>
          <cell r="AZ13">
            <v>-1.1305979923545968</v>
          </cell>
          <cell r="BA13">
            <v>-1.6153203349734067</v>
          </cell>
          <cell r="BB13">
            <v>-2.1000426775922167</v>
          </cell>
          <cell r="BC13">
            <v>-2.1000000000000005</v>
          </cell>
          <cell r="BD13">
            <v>2.7448269999999999</v>
          </cell>
          <cell r="BE13">
            <v>2.7471807485958828</v>
          </cell>
        </row>
        <row r="14">
          <cell r="AB14">
            <v>3.216186451938265</v>
          </cell>
          <cell r="AC14">
            <v>3.1652574621572471</v>
          </cell>
          <cell r="AD14">
            <v>3.1143284723762292</v>
          </cell>
          <cell r="AE14">
            <v>3.0633994825952113</v>
          </cell>
          <cell r="AF14">
            <v>3.0124704928141934</v>
          </cell>
          <cell r="AG14">
            <v>2.9615415030331755</v>
          </cell>
          <cell r="AH14">
            <v>2.9106125132521576</v>
          </cell>
          <cell r="AI14">
            <v>2.8596835234711397</v>
          </cell>
          <cell r="AJ14">
            <v>2.8087545336901218</v>
          </cell>
          <cell r="AK14">
            <v>2.7578255439091035</v>
          </cell>
          <cell r="AL14">
            <v>2.7068965541280856</v>
          </cell>
          <cell r="AM14">
            <v>2.5508169999999986</v>
          </cell>
          <cell r="AN14">
            <v>3.38565</v>
          </cell>
          <cell r="AO14">
            <v>3.216186451938265</v>
          </cell>
          <cell r="AR14">
            <v>2.8066604063219756</v>
          </cell>
          <cell r="AS14">
            <v>2.6088557618897452</v>
          </cell>
          <cell r="AT14">
            <v>2.4110511174575149</v>
          </cell>
          <cell r="AU14">
            <v>2.2132464730252845</v>
          </cell>
          <cell r="AV14">
            <v>2.0154418285930538</v>
          </cell>
          <cell r="AW14">
            <v>1.8176371841608232</v>
          </cell>
          <cell r="AX14">
            <v>1.6198325397285924</v>
          </cell>
          <cell r="AY14">
            <v>1.4220278952963619</v>
          </cell>
          <cell r="AZ14">
            <v>1.2242232508641313</v>
          </cell>
          <cell r="BA14">
            <v>1.0264186064319007</v>
          </cell>
          <cell r="BB14">
            <v>0.82861396199967008</v>
          </cell>
          <cell r="BC14">
            <v>0.89983599999999986</v>
          </cell>
          <cell r="BD14">
            <v>2.7293310000000002</v>
          </cell>
          <cell r="BE14">
            <v>2.8066604063219756</v>
          </cell>
        </row>
        <row r="15">
          <cell r="AB15">
            <v>4.2366011739817004</v>
          </cell>
          <cell r="AC15">
            <v>4.3555651627343712</v>
          </cell>
          <cell r="AD15">
            <v>4.474529151487042</v>
          </cell>
          <cell r="AE15">
            <v>4.5934931402397128</v>
          </cell>
          <cell r="AF15">
            <v>4.7124571289923836</v>
          </cell>
          <cell r="AG15">
            <v>4.8314211177450543</v>
          </cell>
          <cell r="AH15">
            <v>4.9503851064977251</v>
          </cell>
          <cell r="AI15">
            <v>5.0693490952503968</v>
          </cell>
          <cell r="AJ15">
            <v>5.1883130840030676</v>
          </cell>
          <cell r="AK15">
            <v>5.3072770727557383</v>
          </cell>
          <cell r="AL15">
            <v>5.4262410615084091</v>
          </cell>
          <cell r="AM15">
            <v>5.2717559999999981</v>
          </cell>
          <cell r="AN15">
            <v>4.4060030000000001</v>
          </cell>
          <cell r="AO15">
            <v>4.2366011739817004</v>
          </cell>
          <cell r="AR15">
            <v>2.6653360219514233</v>
          </cell>
          <cell r="AS15">
            <v>2.4960351556846456</v>
          </cell>
          <cell r="AT15">
            <v>2.3267342894178675</v>
          </cell>
          <cell r="AU15">
            <v>2.1574334231510899</v>
          </cell>
          <cell r="AV15">
            <v>1.9881325568843118</v>
          </cell>
          <cell r="AW15">
            <v>1.8188316906175339</v>
          </cell>
          <cell r="AX15">
            <v>1.649530824350756</v>
          </cell>
          <cell r="AY15">
            <v>1.4802299580839782</v>
          </cell>
          <cell r="AZ15">
            <v>1.3109290918172003</v>
          </cell>
          <cell r="BA15">
            <v>1.1416282255504224</v>
          </cell>
          <cell r="BB15">
            <v>0.97232735928364444</v>
          </cell>
          <cell r="BC15">
            <v>0.89983599999999964</v>
          </cell>
          <cell r="BD15">
            <v>2.7448269999999999</v>
          </cell>
          <cell r="BE15">
            <v>2.6653360219514233</v>
          </cell>
        </row>
        <row r="16">
          <cell r="AB16">
            <v>-6.45</v>
          </cell>
          <cell r="AC16">
            <v>-6.3900000000000006</v>
          </cell>
          <cell r="AD16">
            <v>-6.33</v>
          </cell>
          <cell r="AE16">
            <v>-6.27</v>
          </cell>
          <cell r="AF16">
            <v>-6.2099999999999991</v>
          </cell>
          <cell r="AG16">
            <v>-6.1499999999999986</v>
          </cell>
          <cell r="AH16">
            <v>-6.0899999999999981</v>
          </cell>
          <cell r="AI16">
            <v>-6.0299999999999976</v>
          </cell>
          <cell r="AJ16">
            <v>-5.9699999999999971</v>
          </cell>
          <cell r="AK16">
            <v>-5.9099999999999966</v>
          </cell>
          <cell r="AL16">
            <v>-5.8499999999999961</v>
          </cell>
          <cell r="AM16">
            <v>-5.8499999999999961</v>
          </cell>
          <cell r="AN16">
            <v>-6.45</v>
          </cell>
          <cell r="AO16">
            <v>-6.45</v>
          </cell>
          <cell r="AR16">
            <v>0.9</v>
          </cell>
          <cell r="AS16">
            <v>0.9</v>
          </cell>
          <cell r="AT16">
            <v>0.9</v>
          </cell>
          <cell r="AU16">
            <v>0.9</v>
          </cell>
          <cell r="AV16">
            <v>0.9</v>
          </cell>
          <cell r="AW16">
            <v>0.9</v>
          </cell>
          <cell r="AX16">
            <v>0.9</v>
          </cell>
          <cell r="AY16">
            <v>0.9</v>
          </cell>
          <cell r="AZ16">
            <v>0.9</v>
          </cell>
          <cell r="BA16">
            <v>0.9</v>
          </cell>
          <cell r="BB16">
            <v>0.9</v>
          </cell>
          <cell r="BC16">
            <v>0.9</v>
          </cell>
          <cell r="BD16">
            <v>0.9</v>
          </cell>
          <cell r="BE16">
            <v>0.9</v>
          </cell>
        </row>
        <row r="17">
          <cell r="AB17">
            <v>-5.85</v>
          </cell>
          <cell r="AC17">
            <v>-5.6999999999999993</v>
          </cell>
          <cell r="AD17">
            <v>-5.5499999999999989</v>
          </cell>
          <cell r="AE17">
            <v>-5.3999999999999986</v>
          </cell>
          <cell r="AF17">
            <v>-5.2499999999999982</v>
          </cell>
          <cell r="AG17">
            <v>-5.0999999999999979</v>
          </cell>
          <cell r="AH17">
            <v>-4.9499999999999975</v>
          </cell>
          <cell r="AI17">
            <v>-4.7999999999999972</v>
          </cell>
          <cell r="AJ17">
            <v>-4.6499999999999968</v>
          </cell>
          <cell r="AK17">
            <v>-4.4999999999999964</v>
          </cell>
          <cell r="AL17">
            <v>-4.3499999999999961</v>
          </cell>
          <cell r="AM17">
            <v>-4.3499999999999961</v>
          </cell>
          <cell r="AN17">
            <v>-5.85</v>
          </cell>
          <cell r="AO17">
            <v>-5.85</v>
          </cell>
          <cell r="AR17">
            <v>0.9</v>
          </cell>
          <cell r="AS17">
            <v>0.9</v>
          </cell>
          <cell r="AT17">
            <v>0.9</v>
          </cell>
          <cell r="AU17">
            <v>0.9</v>
          </cell>
          <cell r="AV17">
            <v>0.9</v>
          </cell>
          <cell r="AW17">
            <v>0.9</v>
          </cell>
          <cell r="AX17">
            <v>0.9</v>
          </cell>
          <cell r="AY17">
            <v>0.9</v>
          </cell>
          <cell r="AZ17">
            <v>0.9</v>
          </cell>
          <cell r="BA17">
            <v>0.9</v>
          </cell>
          <cell r="BB17">
            <v>0.9</v>
          </cell>
          <cell r="BC17">
            <v>0.9</v>
          </cell>
          <cell r="BD17">
            <v>0.9</v>
          </cell>
          <cell r="BE17">
            <v>0.9</v>
          </cell>
        </row>
        <row r="18">
          <cell r="AB18">
            <v>-4.3499999999999996</v>
          </cell>
          <cell r="AC18">
            <v>-4.29</v>
          </cell>
          <cell r="AD18">
            <v>-4.2300000000000004</v>
          </cell>
          <cell r="AE18">
            <v>-4.1700000000000008</v>
          </cell>
          <cell r="AF18">
            <v>-4.1100000000000012</v>
          </cell>
          <cell r="AG18">
            <v>-4.0500000000000016</v>
          </cell>
          <cell r="AH18">
            <v>-3.9900000000000015</v>
          </cell>
          <cell r="AI18">
            <v>-3.9300000000000015</v>
          </cell>
          <cell r="AJ18">
            <v>-3.8700000000000014</v>
          </cell>
          <cell r="AK18">
            <v>-3.8100000000000014</v>
          </cell>
          <cell r="AL18">
            <v>-3.7500000000000013</v>
          </cell>
          <cell r="AM18">
            <v>-3.7500000000000013</v>
          </cell>
          <cell r="AN18">
            <v>-4.3499999999999996</v>
          </cell>
          <cell r="AO18">
            <v>-4.3499999999999996</v>
          </cell>
          <cell r="AR18">
            <v>0.9</v>
          </cell>
          <cell r="AS18">
            <v>0.9</v>
          </cell>
          <cell r="AT18">
            <v>0.9</v>
          </cell>
          <cell r="AU18">
            <v>0.9</v>
          </cell>
          <cell r="AV18">
            <v>0.9</v>
          </cell>
          <cell r="AW18">
            <v>0.9</v>
          </cell>
          <cell r="AX18">
            <v>0.9</v>
          </cell>
          <cell r="AY18">
            <v>0.9</v>
          </cell>
          <cell r="AZ18">
            <v>0.9</v>
          </cell>
          <cell r="BA18">
            <v>0.9</v>
          </cell>
          <cell r="BB18">
            <v>0.9</v>
          </cell>
          <cell r="BC18">
            <v>0.9</v>
          </cell>
          <cell r="BD18">
            <v>0.9</v>
          </cell>
          <cell r="BE18">
            <v>0.9</v>
          </cell>
        </row>
        <row r="19">
          <cell r="AB19">
            <v>-5.55</v>
          </cell>
          <cell r="AC19">
            <v>-5.58</v>
          </cell>
          <cell r="AD19">
            <v>-5.61</v>
          </cell>
          <cell r="AE19">
            <v>-5.6400000000000006</v>
          </cell>
          <cell r="AF19">
            <v>-5.6700000000000008</v>
          </cell>
          <cell r="AG19">
            <v>-5.7000000000000011</v>
          </cell>
          <cell r="AH19">
            <v>-5.7300000000000013</v>
          </cell>
          <cell r="AI19">
            <v>-5.7600000000000016</v>
          </cell>
          <cell r="AJ19">
            <v>-5.7900000000000018</v>
          </cell>
          <cell r="AK19">
            <v>-5.8200000000000021</v>
          </cell>
          <cell r="AL19">
            <v>-5.8500000000000023</v>
          </cell>
          <cell r="AM19">
            <v>-5.8500000000000023</v>
          </cell>
          <cell r="AN19">
            <v>-5.55</v>
          </cell>
          <cell r="AO19">
            <v>-5.55</v>
          </cell>
          <cell r="AR19">
            <v>2.85</v>
          </cell>
          <cell r="AS19">
            <v>2.6550000000000002</v>
          </cell>
          <cell r="AT19">
            <v>2.4600000000000004</v>
          </cell>
          <cell r="AU19">
            <v>2.2650000000000006</v>
          </cell>
          <cell r="AV19">
            <v>2.0700000000000007</v>
          </cell>
          <cell r="AW19">
            <v>1.8750000000000007</v>
          </cell>
          <cell r="AX19">
            <v>1.6800000000000006</v>
          </cell>
          <cell r="AY19">
            <v>1.4850000000000005</v>
          </cell>
          <cell r="AZ19">
            <v>1.2900000000000005</v>
          </cell>
          <cell r="BA19">
            <v>1.0950000000000004</v>
          </cell>
          <cell r="BB19">
            <v>0.90000000000000036</v>
          </cell>
          <cell r="BC19">
            <v>0.90000000000000036</v>
          </cell>
          <cell r="BD19">
            <v>2.85</v>
          </cell>
          <cell r="BE19">
            <v>2.85</v>
          </cell>
        </row>
        <row r="20">
          <cell r="AB20">
            <v>-4.6500000000000004</v>
          </cell>
          <cell r="AC20">
            <v>-4.62</v>
          </cell>
          <cell r="AD20">
            <v>-4.59</v>
          </cell>
          <cell r="AE20">
            <v>-4.5599999999999996</v>
          </cell>
          <cell r="AF20">
            <v>-4.5299999999999994</v>
          </cell>
          <cell r="AG20">
            <v>-4.4999999999999991</v>
          </cell>
          <cell r="AH20">
            <v>-4.4699999999999989</v>
          </cell>
          <cell r="AI20">
            <v>-4.4399999999999986</v>
          </cell>
          <cell r="AJ20">
            <v>-4.4099999999999984</v>
          </cell>
          <cell r="AK20">
            <v>-4.3799999999999981</v>
          </cell>
          <cell r="AL20">
            <v>-4.3499999999999979</v>
          </cell>
          <cell r="AM20">
            <v>-4.3499999999999979</v>
          </cell>
          <cell r="AN20">
            <v>-4.6500000000000004</v>
          </cell>
          <cell r="AO20">
            <v>-4.6500000000000004</v>
          </cell>
          <cell r="AR20">
            <v>2.85</v>
          </cell>
          <cell r="AS20">
            <v>2.6550000000000002</v>
          </cell>
          <cell r="AT20">
            <v>2.4600000000000004</v>
          </cell>
          <cell r="AU20">
            <v>2.2650000000000006</v>
          </cell>
          <cell r="AV20">
            <v>2.0700000000000007</v>
          </cell>
          <cell r="AW20">
            <v>1.8750000000000007</v>
          </cell>
          <cell r="AX20">
            <v>1.6800000000000006</v>
          </cell>
          <cell r="AY20">
            <v>1.4850000000000005</v>
          </cell>
          <cell r="AZ20">
            <v>1.2900000000000005</v>
          </cell>
          <cell r="BA20">
            <v>1.0950000000000004</v>
          </cell>
          <cell r="BB20">
            <v>0.90000000000000036</v>
          </cell>
          <cell r="BC20">
            <v>0.90000000000000036</v>
          </cell>
          <cell r="BD20">
            <v>2.85</v>
          </cell>
          <cell r="BE20">
            <v>2.85</v>
          </cell>
        </row>
        <row r="21">
          <cell r="AB21">
            <v>8.6999999999999993</v>
          </cell>
          <cell r="AC21">
            <v>9.0449999999999999</v>
          </cell>
          <cell r="AD21">
            <v>9.39</v>
          </cell>
          <cell r="AE21">
            <v>9.7350000000000012</v>
          </cell>
          <cell r="AF21">
            <v>10.080000000000002</v>
          </cell>
          <cell r="AG21">
            <v>10.425000000000002</v>
          </cell>
          <cell r="AH21">
            <v>10.770000000000003</v>
          </cell>
          <cell r="AI21">
            <v>11.115000000000004</v>
          </cell>
          <cell r="AJ21">
            <v>11.460000000000004</v>
          </cell>
          <cell r="AK21">
            <v>11.805000000000005</v>
          </cell>
          <cell r="AL21">
            <v>12.150000000000006</v>
          </cell>
          <cell r="AM21">
            <v>12.150000000000006</v>
          </cell>
          <cell r="AN21">
            <v>8.6999999999999993</v>
          </cell>
          <cell r="AO21">
            <v>8.6999999999999993</v>
          </cell>
          <cell r="AR21">
            <v>6.0786534524921541</v>
          </cell>
          <cell r="AS21">
            <v>5.042922761993724</v>
          </cell>
          <cell r="AT21">
            <v>4.0071920714952922</v>
          </cell>
          <cell r="AU21">
            <v>2.9714613809968609</v>
          </cell>
          <cell r="AV21">
            <v>1.9357306904984304</v>
          </cell>
          <cell r="AW21">
            <v>0.9</v>
          </cell>
          <cell r="AX21">
            <v>-0.13573069049843045</v>
          </cell>
          <cell r="AY21">
            <v>-1.171461380996861</v>
          </cell>
          <cell r="AZ21">
            <v>-2.207192071495292</v>
          </cell>
          <cell r="BA21">
            <v>-3.242922761993722</v>
          </cell>
          <cell r="BB21">
            <v>-4.2786534524921516</v>
          </cell>
          <cell r="BC21">
            <v>0.9</v>
          </cell>
          <cell r="BD21">
            <v>0.9</v>
          </cell>
          <cell r="BE21">
            <v>6.0786534524921541</v>
          </cell>
        </row>
        <row r="22">
          <cell r="AB22">
            <v>3.3887861868873648</v>
          </cell>
          <cell r="AC22">
            <v>3.4901883022737898</v>
          </cell>
          <cell r="AD22">
            <v>3.5915904176602154</v>
          </cell>
          <cell r="AE22">
            <v>3.6929925330466404</v>
          </cell>
          <cell r="AF22">
            <v>3.7943946484330655</v>
          </cell>
          <cell r="AG22">
            <v>3.895796763819491</v>
          </cell>
          <cell r="AH22">
            <v>3.9971988792059161</v>
          </cell>
          <cell r="AI22">
            <v>4.0986009945923412</v>
          </cell>
          <cell r="AJ22">
            <v>4.2000031099787662</v>
          </cell>
          <cell r="AK22">
            <v>4.3014052253651913</v>
          </cell>
          <cell r="AL22">
            <v>4.4028073407516173</v>
          </cell>
          <cell r="AM22">
            <v>4.4060029999999983</v>
          </cell>
          <cell r="AN22">
            <v>3.38565</v>
          </cell>
          <cell r="AO22">
            <v>3.3887861868873648</v>
          </cell>
          <cell r="AR22">
            <v>2.5228249533374187</v>
          </cell>
          <cell r="AS22">
            <v>2.566067365677037</v>
          </cell>
          <cell r="AT22">
            <v>2.6093097780166548</v>
          </cell>
          <cell r="AU22">
            <v>2.652552190356273</v>
          </cell>
          <cell r="AV22">
            <v>2.6957946026958908</v>
          </cell>
          <cell r="AW22">
            <v>2.739037015035509</v>
          </cell>
          <cell r="AX22">
            <v>2.7822794273751268</v>
          </cell>
          <cell r="AY22">
            <v>2.825521839714745</v>
          </cell>
          <cell r="AZ22">
            <v>2.8687642520543628</v>
          </cell>
          <cell r="BA22">
            <v>2.912006664393981</v>
          </cell>
          <cell r="BB22">
            <v>2.9552490767335988</v>
          </cell>
          <cell r="BC22">
            <v>2.7448270000000017</v>
          </cell>
          <cell r="BD22">
            <v>2.7293310000000002</v>
          </cell>
          <cell r="BE22">
            <v>2.5228249533374187</v>
          </cell>
        </row>
        <row r="23">
          <cell r="AB23">
            <v>12.15</v>
          </cell>
          <cell r="AC23">
            <v>12.495081700818995</v>
          </cell>
          <cell r="AD23">
            <v>12.840163401637991</v>
          </cell>
          <cell r="AE23">
            <v>13.185245102456985</v>
          </cell>
          <cell r="AF23">
            <v>13.530326803275981</v>
          </cell>
          <cell r="AG23">
            <v>13.875408504094976</v>
          </cell>
          <cell r="AH23">
            <v>14.220490204913972</v>
          </cell>
          <cell r="AI23">
            <v>14.565571905732966</v>
          </cell>
          <cell r="AJ23">
            <v>14.910653606551962</v>
          </cell>
          <cell r="AK23">
            <v>15.255735307370957</v>
          </cell>
          <cell r="AL23">
            <v>15.600817008189951</v>
          </cell>
          <cell r="AM23">
            <v>15.600816999999997</v>
          </cell>
          <cell r="AN23">
            <v>12.15</v>
          </cell>
          <cell r="AO23">
            <v>12.15</v>
          </cell>
          <cell r="AR23">
            <v>0.9</v>
          </cell>
          <cell r="AS23">
            <v>0.90000083294750732</v>
          </cell>
          <cell r="AT23">
            <v>0.90000166589501462</v>
          </cell>
          <cell r="AU23">
            <v>0.90000249884252181</v>
          </cell>
          <cell r="AV23">
            <v>0.900003331790029</v>
          </cell>
          <cell r="AW23">
            <v>0.90000416473753619</v>
          </cell>
          <cell r="AX23">
            <v>0.90000499768504338</v>
          </cell>
          <cell r="AY23">
            <v>0.90000583063255069</v>
          </cell>
          <cell r="AZ23">
            <v>0.90000666358005788</v>
          </cell>
          <cell r="BA23">
            <v>0.90000749652756507</v>
          </cell>
          <cell r="BB23">
            <v>0.90000832947507226</v>
          </cell>
          <cell r="BC23">
            <v>0.89983599999999975</v>
          </cell>
          <cell r="BD23">
            <v>0.9</v>
          </cell>
          <cell r="BE23">
            <v>0.9</v>
          </cell>
        </row>
        <row r="24">
          <cell r="AB24">
            <v>12.149940426551186</v>
          </cell>
          <cell r="AC24">
            <v>12.629952441240949</v>
          </cell>
          <cell r="AD24">
            <v>13.109964455930712</v>
          </cell>
          <cell r="AE24">
            <v>13.589976470620474</v>
          </cell>
          <cell r="AF24">
            <v>14.069988485310237</v>
          </cell>
          <cell r="AG24">
            <v>14.550000499999999</v>
          </cell>
          <cell r="AH24">
            <v>15.030012514689762</v>
          </cell>
          <cell r="AI24">
            <v>15.510024529379525</v>
          </cell>
          <cell r="AJ24">
            <v>15.990036544069287</v>
          </cell>
          <cell r="AK24">
            <v>16.47004855875905</v>
          </cell>
          <cell r="AL24">
            <v>16.950060573448816</v>
          </cell>
          <cell r="AM24">
            <v>16.950001</v>
          </cell>
          <cell r="AN24">
            <v>12.15</v>
          </cell>
          <cell r="AO24">
            <v>12.149940426551186</v>
          </cell>
          <cell r="AR24">
            <v>0.8999046824620397</v>
          </cell>
          <cell r="AS24">
            <v>0.59992374596963172</v>
          </cell>
          <cell r="AT24">
            <v>0.29994280947722374</v>
          </cell>
          <cell r="AU24">
            <v>-3.8127015184232482E-5</v>
          </cell>
          <cell r="AV24">
            <v>-0.30001906350759222</v>
          </cell>
          <cell r="AW24">
            <v>-0.6000000000000002</v>
          </cell>
          <cell r="AX24">
            <v>-0.89998093649240818</v>
          </cell>
          <cell r="AY24">
            <v>-1.199961872984816</v>
          </cell>
          <cell r="AZ24">
            <v>-1.499942809477224</v>
          </cell>
          <cell r="BA24">
            <v>-1.799923745969632</v>
          </cell>
          <cell r="BB24">
            <v>-2.0999046824620402</v>
          </cell>
          <cell r="BC24">
            <v>-2.1000000000000005</v>
          </cell>
          <cell r="BD24">
            <v>0.9</v>
          </cell>
          <cell r="BE24">
            <v>0.8999046824620397</v>
          </cell>
        </row>
        <row r="25">
          <cell r="AB25">
            <v>21.749940548380252</v>
          </cell>
          <cell r="AC25">
            <v>21.269952538704199</v>
          </cell>
          <cell r="AD25">
            <v>20.789964529028151</v>
          </cell>
          <cell r="AE25">
            <v>20.309976519352102</v>
          </cell>
          <cell r="AF25">
            <v>19.829988509676053</v>
          </cell>
          <cell r="AG25">
            <v>19.350000500000004</v>
          </cell>
          <cell r="AH25">
            <v>18.870012490323955</v>
          </cell>
          <cell r="AI25">
            <v>18.390024480647906</v>
          </cell>
          <cell r="AJ25">
            <v>17.910036470971857</v>
          </cell>
          <cell r="AK25">
            <v>17.430048461295808</v>
          </cell>
          <cell r="AL25">
            <v>16.950060451619755</v>
          </cell>
          <cell r="AM25">
            <v>16.950001000000007</v>
          </cell>
          <cell r="AN25">
            <v>21.75</v>
          </cell>
          <cell r="AO25">
            <v>21.749940548380252</v>
          </cell>
          <cell r="AR25">
            <v>0.90009512257178215</v>
          </cell>
          <cell r="AS25">
            <v>0.60007609805742568</v>
          </cell>
          <cell r="AT25">
            <v>0.30005707354306921</v>
          </cell>
          <cell r="AU25">
            <v>3.8049028712726445E-5</v>
          </cell>
          <cell r="AV25">
            <v>-0.29998097548564373</v>
          </cell>
          <cell r="AW25">
            <v>-0.6000000000000002</v>
          </cell>
          <cell r="AX25">
            <v>-0.90001902451435667</v>
          </cell>
          <cell r="AY25">
            <v>-1.200038049028713</v>
          </cell>
          <cell r="AZ25">
            <v>-1.5000570735430694</v>
          </cell>
          <cell r="BA25">
            <v>-1.800076098057426</v>
          </cell>
          <cell r="BB25">
            <v>-2.1000951225717825</v>
          </cell>
          <cell r="BC25">
            <v>-2.1000000000000005</v>
          </cell>
          <cell r="BD25">
            <v>0.9</v>
          </cell>
          <cell r="BE25">
            <v>0.90009512257178215</v>
          </cell>
        </row>
        <row r="26">
          <cell r="AB26">
            <v>16.950001000091572</v>
          </cell>
          <cell r="AC26">
            <v>17.087176498007189</v>
          </cell>
          <cell r="AD26">
            <v>17.224351995922806</v>
          </cell>
          <cell r="AE26">
            <v>17.361527493838423</v>
          </cell>
          <cell r="AF26">
            <v>17.498702991754037</v>
          </cell>
          <cell r="AG26">
            <v>17.635878489669654</v>
          </cell>
          <cell r="AH26">
            <v>17.773053987585271</v>
          </cell>
          <cell r="AI26">
            <v>17.910229485500885</v>
          </cell>
          <cell r="AJ26">
            <v>18.047404983416502</v>
          </cell>
          <cell r="AK26">
            <v>18.184580481332119</v>
          </cell>
          <cell r="AL26">
            <v>18.321755979247733</v>
          </cell>
          <cell r="AM26">
            <v>18.321756000000015</v>
          </cell>
          <cell r="AN26">
            <v>16.950001</v>
          </cell>
          <cell r="AO26">
            <v>16.950001000091572</v>
          </cell>
          <cell r="AR26">
            <v>0.90000076594529821</v>
          </cell>
          <cell r="AS26">
            <v>0.89996693139724393</v>
          </cell>
          <cell r="AT26">
            <v>0.89993309684918965</v>
          </cell>
          <cell r="AU26">
            <v>0.89989926230113537</v>
          </cell>
          <cell r="AV26">
            <v>0.89986542775308109</v>
          </cell>
          <cell r="AW26">
            <v>0.8998315932050267</v>
          </cell>
          <cell r="AX26">
            <v>0.89979775865697242</v>
          </cell>
          <cell r="AY26">
            <v>0.89976392410891814</v>
          </cell>
          <cell r="AZ26">
            <v>0.89973008956086387</v>
          </cell>
          <cell r="BA26">
            <v>0.89969625501280959</v>
          </cell>
          <cell r="BB26">
            <v>0.89966242046475531</v>
          </cell>
          <cell r="BC26">
            <v>0.89983599999999975</v>
          </cell>
          <cell r="BD26">
            <v>0.9</v>
          </cell>
          <cell r="BE26">
            <v>0.90000076594529821</v>
          </cell>
        </row>
        <row r="27">
          <cell r="AB27">
            <v>16.350000000000001</v>
          </cell>
          <cell r="AC27">
            <v>16.358553139418348</v>
          </cell>
          <cell r="AD27">
            <v>16.367106278836694</v>
          </cell>
          <cell r="AE27">
            <v>16.37565941825504</v>
          </cell>
          <cell r="AF27">
            <v>16.384212557673386</v>
          </cell>
          <cell r="AG27">
            <v>16.392765697091733</v>
          </cell>
          <cell r="AH27">
            <v>16.401318836510079</v>
          </cell>
          <cell r="AI27">
            <v>16.409871975928425</v>
          </cell>
          <cell r="AJ27">
            <v>16.418425115346771</v>
          </cell>
          <cell r="AK27">
            <v>16.426978254765118</v>
          </cell>
          <cell r="AL27">
            <v>16.435531394183467</v>
          </cell>
          <cell r="AM27">
            <v>16.43565000000001</v>
          </cell>
          <cell r="AN27">
            <v>16.350000000000001</v>
          </cell>
          <cell r="AO27">
            <v>16.350000000000001</v>
          </cell>
          <cell r="AR27">
            <v>3.6</v>
          </cell>
          <cell r="AS27">
            <v>3.5129319332433813</v>
          </cell>
          <cell r="AT27">
            <v>3.425863866486762</v>
          </cell>
          <cell r="AU27">
            <v>3.3387957997301432</v>
          </cell>
          <cell r="AV27">
            <v>3.2517277329735244</v>
          </cell>
          <cell r="AW27">
            <v>3.1646596662169055</v>
          </cell>
          <cell r="AX27">
            <v>3.0775915994602863</v>
          </cell>
          <cell r="AY27">
            <v>2.9905235327036674</v>
          </cell>
          <cell r="AZ27">
            <v>2.9034554659470486</v>
          </cell>
          <cell r="BA27">
            <v>2.8163873991904298</v>
          </cell>
          <cell r="BB27">
            <v>2.7293193324338105</v>
          </cell>
          <cell r="BC27">
            <v>2.7293310000000006</v>
          </cell>
          <cell r="BD27">
            <v>3.6</v>
          </cell>
          <cell r="BE27">
            <v>3.6</v>
          </cell>
        </row>
        <row r="28">
          <cell r="AB28">
            <v>17.549999</v>
          </cell>
          <cell r="AC28">
            <v>17.540586947674015</v>
          </cell>
          <cell r="AD28">
            <v>17.531174895348027</v>
          </cell>
          <cell r="AE28">
            <v>17.521762843022042</v>
          </cell>
          <cell r="AF28">
            <v>17.512350790696058</v>
          </cell>
          <cell r="AG28">
            <v>17.502938738370069</v>
          </cell>
          <cell r="AH28">
            <v>17.493526686044085</v>
          </cell>
          <cell r="AI28">
            <v>17.4841146337181</v>
          </cell>
          <cell r="AJ28">
            <v>17.474702581392112</v>
          </cell>
          <cell r="AK28">
            <v>17.465290529066127</v>
          </cell>
          <cell r="AL28">
            <v>17.455878476740143</v>
          </cell>
          <cell r="AM28">
            <v>17.456002999999981</v>
          </cell>
          <cell r="AN28">
            <v>17.549999</v>
          </cell>
          <cell r="AO28">
            <v>17.549999</v>
          </cell>
          <cell r="AR28">
            <v>3.6</v>
          </cell>
          <cell r="AS28">
            <v>3.5144840686924557</v>
          </cell>
          <cell r="AT28">
            <v>3.4289681373849108</v>
          </cell>
          <cell r="AU28">
            <v>3.3434522060773659</v>
          </cell>
          <cell r="AV28">
            <v>3.2579362747698215</v>
          </cell>
          <cell r="AW28">
            <v>3.1724203434622766</v>
          </cell>
          <cell r="AX28">
            <v>3.0869044121547318</v>
          </cell>
          <cell r="AY28">
            <v>3.0013884808471869</v>
          </cell>
          <cell r="AZ28">
            <v>2.915872549539642</v>
          </cell>
          <cell r="BA28">
            <v>2.8303566182320972</v>
          </cell>
          <cell r="BB28">
            <v>2.7448406869245523</v>
          </cell>
          <cell r="BC28">
            <v>2.7448269999999981</v>
          </cell>
          <cell r="BD28">
            <v>3.6</v>
          </cell>
          <cell r="BE28">
            <v>3.6</v>
          </cell>
        </row>
        <row r="29">
          <cell r="AB29">
            <v>15.600816979052498</v>
          </cell>
          <cell r="AC29">
            <v>15.735735381137937</v>
          </cell>
          <cell r="AD29">
            <v>15.870653783223377</v>
          </cell>
          <cell r="AE29">
            <v>16.005572185308818</v>
          </cell>
          <cell r="AF29">
            <v>16.140490587394257</v>
          </cell>
          <cell r="AG29">
            <v>16.275408989479697</v>
          </cell>
          <cell r="AH29">
            <v>16.410327391565136</v>
          </cell>
          <cell r="AI29">
            <v>16.545245793650576</v>
          </cell>
          <cell r="AJ29">
            <v>16.680164195736015</v>
          </cell>
          <cell r="AK29">
            <v>16.815082597821455</v>
          </cell>
          <cell r="AL29">
            <v>16.950000999906894</v>
          </cell>
          <cell r="AM29">
            <v>16.950001</v>
          </cell>
          <cell r="AN29">
            <v>15.600816999999999</v>
          </cell>
          <cell r="AO29">
            <v>15.600816979052498</v>
          </cell>
          <cell r="AR29">
            <v>0.90000832947399412</v>
          </cell>
          <cell r="AS29">
            <v>0.90000757312112456</v>
          </cell>
          <cell r="AT29">
            <v>0.900006816768255</v>
          </cell>
          <cell r="AU29">
            <v>0.90000606041538533</v>
          </cell>
          <cell r="AV29">
            <v>0.90000530406251578</v>
          </cell>
          <cell r="AW29">
            <v>0.90000454770964622</v>
          </cell>
          <cell r="AX29">
            <v>0.90000379135677655</v>
          </cell>
          <cell r="AY29">
            <v>0.90000303500390699</v>
          </cell>
          <cell r="AZ29">
            <v>0.90000227865103744</v>
          </cell>
          <cell r="BA29">
            <v>0.90000152229816777</v>
          </cell>
          <cell r="BB29">
            <v>0.90000076594529821</v>
          </cell>
          <cell r="BC29">
            <v>0.90000000000000024</v>
          </cell>
          <cell r="BD29">
            <v>0.89983599999999997</v>
          </cell>
          <cell r="BE29">
            <v>0.90000832947399412</v>
          </cell>
        </row>
        <row r="30">
          <cell r="AB30">
            <v>18.32175600830368</v>
          </cell>
          <cell r="AC30">
            <v>18.664580407473316</v>
          </cell>
          <cell r="AD30">
            <v>19.007404806642949</v>
          </cell>
          <cell r="AE30">
            <v>19.350229205812582</v>
          </cell>
          <cell r="AF30">
            <v>19.693053604982214</v>
          </cell>
          <cell r="AG30">
            <v>20.035878004151847</v>
          </cell>
          <cell r="AH30">
            <v>20.37870240332148</v>
          </cell>
          <cell r="AI30">
            <v>20.721526802491116</v>
          </cell>
          <cell r="AJ30">
            <v>21.064351201660749</v>
          </cell>
          <cell r="AK30">
            <v>21.407175600830382</v>
          </cell>
          <cell r="AL30">
            <v>21.750000000000014</v>
          </cell>
          <cell r="AM30">
            <v>21.750000000000014</v>
          </cell>
          <cell r="AN30">
            <v>18.321756000000001</v>
          </cell>
          <cell r="AO30">
            <v>18.32175600830368</v>
          </cell>
          <cell r="AR30">
            <v>0.89966242046371359</v>
          </cell>
          <cell r="AS30">
            <v>0.89969617841734217</v>
          </cell>
          <cell r="AT30">
            <v>0.89972993637097087</v>
          </cell>
          <cell r="AU30">
            <v>0.89976369432459957</v>
          </cell>
          <cell r="AV30">
            <v>0.89979745227822827</v>
          </cell>
          <cell r="AW30">
            <v>0.89983121023185686</v>
          </cell>
          <cell r="AX30">
            <v>0.89986496818548556</v>
          </cell>
          <cell r="AY30">
            <v>0.89989872613911426</v>
          </cell>
          <cell r="AZ30">
            <v>0.89993248409274296</v>
          </cell>
          <cell r="BA30">
            <v>0.89996624204637155</v>
          </cell>
          <cell r="BB30">
            <v>0.90000000000000024</v>
          </cell>
          <cell r="BC30">
            <v>0.90000000000000024</v>
          </cell>
          <cell r="BD30">
            <v>0.89983599999999997</v>
          </cell>
          <cell r="BE30">
            <v>0.89966242046371359</v>
          </cell>
        </row>
        <row r="31">
          <cell r="AB31">
            <v>16.435620496413829</v>
          </cell>
          <cell r="AC31">
            <v>16.487058540000529</v>
          </cell>
          <cell r="AD31">
            <v>16.538496583587232</v>
          </cell>
          <cell r="AE31">
            <v>16.589934627173935</v>
          </cell>
          <cell r="AF31">
            <v>16.641372670760635</v>
          </cell>
          <cell r="AG31">
            <v>16.692810714347338</v>
          </cell>
          <cell r="AH31">
            <v>16.744248757934042</v>
          </cell>
          <cell r="AI31">
            <v>16.795686801520745</v>
          </cell>
          <cell r="AJ31">
            <v>16.847124845107444</v>
          </cell>
          <cell r="AK31">
            <v>16.898562888694148</v>
          </cell>
          <cell r="AL31">
            <v>16.950000932280851</v>
          </cell>
          <cell r="AM31">
            <v>16.95000099999999</v>
          </cell>
          <cell r="AN31">
            <v>16.435649999999999</v>
          </cell>
          <cell r="AO31">
            <v>16.435620496413829</v>
          </cell>
          <cell r="AR31">
            <v>2.7293278577016049</v>
          </cell>
          <cell r="AS31">
            <v>2.2463950712101974</v>
          </cell>
          <cell r="AT31">
            <v>1.76346228471879</v>
          </cell>
          <cell r="AU31">
            <v>1.2805294982273823</v>
          </cell>
          <cell r="AV31">
            <v>0.79759671173597468</v>
          </cell>
          <cell r="AW31">
            <v>0.3146639252445671</v>
          </cell>
          <cell r="AX31">
            <v>-0.16826886124684048</v>
          </cell>
          <cell r="AY31">
            <v>-0.65120164773824796</v>
          </cell>
          <cell r="AZ31">
            <v>-1.1341344342296555</v>
          </cell>
          <cell r="BA31">
            <v>-1.6170672207210632</v>
          </cell>
          <cell r="BB31">
            <v>-2.1000000072124707</v>
          </cell>
          <cell r="BC31">
            <v>-2.1000000000000005</v>
          </cell>
          <cell r="BD31">
            <v>2.7293310000000002</v>
          </cell>
          <cell r="BE31">
            <v>2.7293278577016049</v>
          </cell>
        </row>
        <row r="32">
          <cell r="AB32">
            <v>17.455973307583214</v>
          </cell>
          <cell r="AC32">
            <v>17.405376083598263</v>
          </cell>
          <cell r="AD32">
            <v>17.354778859613315</v>
          </cell>
          <cell r="AE32">
            <v>17.304181635628368</v>
          </cell>
          <cell r="AF32">
            <v>17.25358441164342</v>
          </cell>
          <cell r="AG32">
            <v>17.202987187658472</v>
          </cell>
          <cell r="AH32">
            <v>17.152389963673524</v>
          </cell>
          <cell r="AI32">
            <v>17.101792739688577</v>
          </cell>
          <cell r="AJ32">
            <v>17.051195515703629</v>
          </cell>
          <cell r="AK32">
            <v>17.000598291718681</v>
          </cell>
          <cell r="AL32">
            <v>16.950001067733734</v>
          </cell>
          <cell r="AM32">
            <v>16.950001000000015</v>
          </cell>
          <cell r="AN32">
            <v>17.456002999999999</v>
          </cell>
          <cell r="AO32">
            <v>17.455973307583214</v>
          </cell>
          <cell r="AR32">
            <v>2.7448301011266816</v>
          </cell>
          <cell r="AS32">
            <v>2.260347090306591</v>
          </cell>
          <cell r="AT32">
            <v>1.7758640794865002</v>
          </cell>
          <cell r="AU32">
            <v>1.2913810686664096</v>
          </cell>
          <cell r="AV32">
            <v>0.80689805784631874</v>
          </cell>
          <cell r="AW32">
            <v>0.32241504702622797</v>
          </cell>
          <cell r="AX32">
            <v>-0.16206796379386282</v>
          </cell>
          <cell r="AY32">
            <v>-0.64655097461395361</v>
          </cell>
          <cell r="AZ32">
            <v>-1.1310339854340443</v>
          </cell>
          <cell r="BA32">
            <v>-1.6155169962541351</v>
          </cell>
          <cell r="BB32">
            <v>-2.1000000070742257</v>
          </cell>
          <cell r="BC32">
            <v>-2.1000000000000005</v>
          </cell>
          <cell r="BD32">
            <v>2.7448269999999999</v>
          </cell>
          <cell r="BE32">
            <v>2.7448301011266816</v>
          </cell>
        </row>
        <row r="33">
          <cell r="AB33">
            <v>16.436034953145263</v>
          </cell>
          <cell r="AC33">
            <v>16.352471444303248</v>
          </cell>
          <cell r="AD33">
            <v>16.268907935461229</v>
          </cell>
          <cell r="AE33">
            <v>16.185344426619213</v>
          </cell>
          <cell r="AF33">
            <v>16.101780917777198</v>
          </cell>
          <cell r="AG33">
            <v>16.018217408935183</v>
          </cell>
          <cell r="AH33">
            <v>15.934653900093167</v>
          </cell>
          <cell r="AI33">
            <v>15.851090391251153</v>
          </cell>
          <cell r="AJ33">
            <v>15.76752688240914</v>
          </cell>
          <cell r="AK33">
            <v>15.683963373567124</v>
          </cell>
          <cell r="AL33">
            <v>15.600399864725111</v>
          </cell>
          <cell r="AM33">
            <v>15.600816999999997</v>
          </cell>
          <cell r="AN33">
            <v>16.435649999999999</v>
          </cell>
          <cell r="AO33">
            <v>16.436034953145263</v>
          </cell>
          <cell r="AR33">
            <v>2.729155338634913</v>
          </cell>
          <cell r="AS33">
            <v>2.546242439439073</v>
          </cell>
          <cell r="AT33">
            <v>2.3633295402432326</v>
          </cell>
          <cell r="AU33">
            <v>2.1804166410473922</v>
          </cell>
          <cell r="AV33">
            <v>1.9975037418515518</v>
          </cell>
          <cell r="AW33">
            <v>1.8145908426557114</v>
          </cell>
          <cell r="AX33">
            <v>1.6316779434598707</v>
          </cell>
          <cell r="AY33">
            <v>1.4487650442640303</v>
          </cell>
          <cell r="AZ33">
            <v>1.2658521450681897</v>
          </cell>
          <cell r="BA33">
            <v>1.0829392458723492</v>
          </cell>
          <cell r="BB33">
            <v>0.90002634667650872</v>
          </cell>
          <cell r="BC33">
            <v>0.89983599999999986</v>
          </cell>
          <cell r="BD33">
            <v>2.7293310000000002</v>
          </cell>
          <cell r="BE33">
            <v>2.729155338634913</v>
          </cell>
        </row>
        <row r="34">
          <cell r="AB34">
            <v>17.456376402866088</v>
          </cell>
          <cell r="AC34">
            <v>17.542873832971871</v>
          </cell>
          <cell r="AD34">
            <v>17.629371263077655</v>
          </cell>
          <cell r="AE34">
            <v>17.715868693183435</v>
          </cell>
          <cell r="AF34">
            <v>17.802366123289218</v>
          </cell>
          <cell r="AG34">
            <v>17.888863553394998</v>
          </cell>
          <cell r="AH34">
            <v>17.975360983500781</v>
          </cell>
          <cell r="AI34">
            <v>18.061858413606565</v>
          </cell>
          <cell r="AJ34">
            <v>18.148355843712345</v>
          </cell>
          <cell r="AK34">
            <v>18.234853273818128</v>
          </cell>
          <cell r="AL34">
            <v>18.321350703923908</v>
          </cell>
          <cell r="AM34">
            <v>18.321755999999997</v>
          </cell>
          <cell r="AN34">
            <v>17.456002999999999</v>
          </cell>
          <cell r="AO34">
            <v>17.456376402866088</v>
          </cell>
          <cell r="AR34">
            <v>2.7450022174680124</v>
          </cell>
          <cell r="AS34">
            <v>2.5604665774011348</v>
          </cell>
          <cell r="AT34">
            <v>2.3759309373342572</v>
          </cell>
          <cell r="AU34">
            <v>2.1913952972673796</v>
          </cell>
          <cell r="AV34">
            <v>2.006859657200502</v>
          </cell>
          <cell r="AW34">
            <v>1.8223240171336241</v>
          </cell>
          <cell r="AX34">
            <v>1.6377883770667463</v>
          </cell>
          <cell r="AY34">
            <v>1.4532527369998687</v>
          </cell>
          <cell r="AZ34">
            <v>1.2687170969329911</v>
          </cell>
          <cell r="BA34">
            <v>1.0841814568661134</v>
          </cell>
          <cell r="BB34">
            <v>0.89964581679923572</v>
          </cell>
          <cell r="BC34">
            <v>0.89983599999999964</v>
          </cell>
          <cell r="BD34">
            <v>2.7448269999999999</v>
          </cell>
          <cell r="BE34">
            <v>2.7450022174680124</v>
          </cell>
        </row>
        <row r="35">
          <cell r="AB35">
            <v>16.435654303315296</v>
          </cell>
          <cell r="AC35">
            <v>16.537688741666422</v>
          </cell>
          <cell r="AD35">
            <v>16.639723180017551</v>
          </cell>
          <cell r="AE35">
            <v>16.741757618368677</v>
          </cell>
          <cell r="AF35">
            <v>16.843792056719806</v>
          </cell>
          <cell r="AG35">
            <v>16.945826495070932</v>
          </cell>
          <cell r="AH35">
            <v>17.047860933422058</v>
          </cell>
          <cell r="AI35">
            <v>17.149895371773187</v>
          </cell>
          <cell r="AJ35">
            <v>17.251929810124313</v>
          </cell>
          <cell r="AK35">
            <v>17.353964248475442</v>
          </cell>
          <cell r="AL35">
            <v>17.455998686826568</v>
          </cell>
          <cell r="AM35">
            <v>17.456003000000006</v>
          </cell>
          <cell r="AN35">
            <v>16.435649999999999</v>
          </cell>
          <cell r="AO35">
            <v>16.435654303315296</v>
          </cell>
          <cell r="AR35">
            <v>2.7290476429612371</v>
          </cell>
          <cell r="AS35">
            <v>2.7306539792811177</v>
          </cell>
          <cell r="AT35">
            <v>2.7322603156009988</v>
          </cell>
          <cell r="AU35">
            <v>2.7338666519208794</v>
          </cell>
          <cell r="AV35">
            <v>2.73547298824076</v>
          </cell>
          <cell r="AW35">
            <v>2.7370793245606411</v>
          </cell>
          <cell r="AX35">
            <v>2.7386856608805217</v>
          </cell>
          <cell r="AY35">
            <v>2.7402919972004023</v>
          </cell>
          <cell r="AZ35">
            <v>2.7418983335202833</v>
          </cell>
          <cell r="BA35">
            <v>2.7435046698401639</v>
          </cell>
          <cell r="BB35">
            <v>2.745111006160045</v>
          </cell>
          <cell r="BC35">
            <v>2.7448270000000017</v>
          </cell>
          <cell r="BD35">
            <v>2.7293310000000002</v>
          </cell>
          <cell r="BE35">
            <v>2.7290476429612371</v>
          </cell>
        </row>
        <row r="36">
          <cell r="AB36">
            <v>7.6500000953674316</v>
          </cell>
          <cell r="AC36">
            <v>7.6500000953674316</v>
          </cell>
          <cell r="AD36">
            <v>7.6500000953674316</v>
          </cell>
          <cell r="AE36">
            <v>7.6500000953674316</v>
          </cell>
          <cell r="AF36">
            <v>7.6500000953674316</v>
          </cell>
          <cell r="AG36">
            <v>7.6500000953674316</v>
          </cell>
          <cell r="AH36">
            <v>7.6500000953674316</v>
          </cell>
          <cell r="AI36">
            <v>7.6500000953674316</v>
          </cell>
          <cell r="AJ36">
            <v>7.6500000953674316</v>
          </cell>
          <cell r="AK36">
            <v>7.6500000953674316</v>
          </cell>
          <cell r="AL36">
            <v>7.6500000953674316</v>
          </cell>
          <cell r="AM36">
            <v>7.6500000953674316</v>
          </cell>
          <cell r="AN36">
            <v>7.6500000953674316</v>
          </cell>
          <cell r="AO36">
            <v>7.6500000953674316</v>
          </cell>
          <cell r="AR36">
            <v>0.75</v>
          </cell>
          <cell r="AS36">
            <v>0.75</v>
          </cell>
          <cell r="AT36">
            <v>0.75</v>
          </cell>
          <cell r="AU36">
            <v>0.75</v>
          </cell>
          <cell r="AV36">
            <v>0.75</v>
          </cell>
          <cell r="AW36">
            <v>0.75</v>
          </cell>
          <cell r="AX36">
            <v>0.75</v>
          </cell>
          <cell r="AY36">
            <v>0.75</v>
          </cell>
          <cell r="AZ36">
            <v>0.75</v>
          </cell>
          <cell r="BA36">
            <v>0.75</v>
          </cell>
          <cell r="BB36">
            <v>0.75</v>
          </cell>
          <cell r="BC36">
            <v>0.75</v>
          </cell>
          <cell r="BD36">
            <v>0.75</v>
          </cell>
          <cell r="BE36">
            <v>0.75</v>
          </cell>
        </row>
        <row r="37">
          <cell r="AB37">
            <v>7.6500000953674316</v>
          </cell>
          <cell r="AC37">
            <v>7.6500000953674316</v>
          </cell>
          <cell r="AD37">
            <v>7.6500000953674316</v>
          </cell>
          <cell r="AE37">
            <v>7.6500000953674316</v>
          </cell>
          <cell r="AF37">
            <v>7.6500000953674316</v>
          </cell>
          <cell r="AG37">
            <v>7.6500000953674316</v>
          </cell>
          <cell r="AH37">
            <v>7.6500000953674316</v>
          </cell>
          <cell r="AI37">
            <v>7.6500000953674316</v>
          </cell>
          <cell r="AJ37">
            <v>7.6500000953674316</v>
          </cell>
          <cell r="AK37">
            <v>7.6500000953674316</v>
          </cell>
          <cell r="AL37">
            <v>7.6500000953674316</v>
          </cell>
          <cell r="AM37">
            <v>7.6500000953674316</v>
          </cell>
          <cell r="AN37">
            <v>7.6500000953674316</v>
          </cell>
          <cell r="AO37">
            <v>7.6500000953674316</v>
          </cell>
          <cell r="AR37">
            <v>0.75</v>
          </cell>
          <cell r="AS37">
            <v>0.75</v>
          </cell>
          <cell r="AT37">
            <v>0.75</v>
          </cell>
          <cell r="AU37">
            <v>0.75</v>
          </cell>
          <cell r="AV37">
            <v>0.75</v>
          </cell>
          <cell r="AW37">
            <v>0.75</v>
          </cell>
          <cell r="AX37">
            <v>0.75</v>
          </cell>
          <cell r="AY37">
            <v>0.75</v>
          </cell>
          <cell r="AZ37">
            <v>0.75</v>
          </cell>
          <cell r="BA37">
            <v>0.75</v>
          </cell>
          <cell r="BB37">
            <v>0.75</v>
          </cell>
          <cell r="BC37">
            <v>0.75</v>
          </cell>
          <cell r="BD37">
            <v>0.75</v>
          </cell>
          <cell r="BE37">
            <v>0.75</v>
          </cell>
        </row>
        <row r="38">
          <cell r="AB38">
            <v>7.6500000953674316</v>
          </cell>
          <cell r="AC38">
            <v>7.6500000953674316</v>
          </cell>
          <cell r="AD38">
            <v>7.6500000953674316</v>
          </cell>
          <cell r="AE38">
            <v>7.6500000953674316</v>
          </cell>
          <cell r="AF38">
            <v>7.6500000953674316</v>
          </cell>
          <cell r="AG38">
            <v>7.6500000953674316</v>
          </cell>
          <cell r="AH38">
            <v>7.6500000953674316</v>
          </cell>
          <cell r="AI38">
            <v>7.6500000953674316</v>
          </cell>
          <cell r="AJ38">
            <v>7.6500000953674316</v>
          </cell>
          <cell r="AK38">
            <v>7.6500000953674316</v>
          </cell>
          <cell r="AL38">
            <v>7.6500000953674316</v>
          </cell>
          <cell r="AM38">
            <v>7.6500000953674316</v>
          </cell>
          <cell r="AN38">
            <v>7.6500000953674316</v>
          </cell>
          <cell r="AO38">
            <v>7.6500000953674316</v>
          </cell>
          <cell r="AR38">
            <v>0.75</v>
          </cell>
          <cell r="AS38">
            <v>0.75</v>
          </cell>
          <cell r="AT38">
            <v>0.75</v>
          </cell>
          <cell r="AU38">
            <v>0.75</v>
          </cell>
          <cell r="AV38">
            <v>0.75</v>
          </cell>
          <cell r="AW38">
            <v>0.75</v>
          </cell>
          <cell r="AX38">
            <v>0.75</v>
          </cell>
          <cell r="AY38">
            <v>0.75</v>
          </cell>
          <cell r="AZ38">
            <v>0.75</v>
          </cell>
          <cell r="BA38">
            <v>0.75</v>
          </cell>
          <cell r="BB38">
            <v>0.75</v>
          </cell>
          <cell r="BC38">
            <v>0.75</v>
          </cell>
          <cell r="BD38">
            <v>0.75</v>
          </cell>
          <cell r="BE38">
            <v>0.75</v>
          </cell>
        </row>
        <row r="39">
          <cell r="AB39">
            <v>7.6500000953674316</v>
          </cell>
          <cell r="AC39">
            <v>7.6500000953674316</v>
          </cell>
          <cell r="AD39">
            <v>7.6500000953674316</v>
          </cell>
          <cell r="AE39">
            <v>7.6500000953674316</v>
          </cell>
          <cell r="AF39">
            <v>7.6500000953674316</v>
          </cell>
          <cell r="AG39">
            <v>7.6500000953674316</v>
          </cell>
          <cell r="AH39">
            <v>7.6500000953674316</v>
          </cell>
          <cell r="AI39">
            <v>7.6500000953674316</v>
          </cell>
          <cell r="AJ39">
            <v>7.6500000953674316</v>
          </cell>
          <cell r="AK39">
            <v>7.6500000953674316</v>
          </cell>
          <cell r="AL39">
            <v>7.6500000953674316</v>
          </cell>
          <cell r="AM39">
            <v>7.6500000953674316</v>
          </cell>
          <cell r="AN39">
            <v>7.6500000953674316</v>
          </cell>
          <cell r="AO39">
            <v>7.6500000953674316</v>
          </cell>
          <cell r="AR39">
            <v>0.75</v>
          </cell>
          <cell r="AS39">
            <v>0.75</v>
          </cell>
          <cell r="AT39">
            <v>0.75</v>
          </cell>
          <cell r="AU39">
            <v>0.75</v>
          </cell>
          <cell r="AV39">
            <v>0.75</v>
          </cell>
          <cell r="AW39">
            <v>0.75</v>
          </cell>
          <cell r="AX39">
            <v>0.75</v>
          </cell>
          <cell r="AY39">
            <v>0.75</v>
          </cell>
          <cell r="AZ39">
            <v>0.75</v>
          </cell>
          <cell r="BA39">
            <v>0.75</v>
          </cell>
          <cell r="BB39">
            <v>0.75</v>
          </cell>
          <cell r="BC39">
            <v>0.75</v>
          </cell>
          <cell r="BD39">
            <v>0.75</v>
          </cell>
          <cell r="BE39">
            <v>0.75</v>
          </cell>
        </row>
        <row r="40">
          <cell r="AB40">
            <v>7.6500000953674316</v>
          </cell>
          <cell r="AC40">
            <v>7.6500000953674316</v>
          </cell>
          <cell r="AD40">
            <v>7.6500000953674316</v>
          </cell>
          <cell r="AE40">
            <v>7.6500000953674316</v>
          </cell>
          <cell r="AF40">
            <v>7.6500000953674316</v>
          </cell>
          <cell r="AG40">
            <v>7.6500000953674316</v>
          </cell>
          <cell r="AH40">
            <v>7.6500000953674316</v>
          </cell>
          <cell r="AI40">
            <v>7.6500000953674316</v>
          </cell>
          <cell r="AJ40">
            <v>7.6500000953674316</v>
          </cell>
          <cell r="AK40">
            <v>7.6500000953674316</v>
          </cell>
          <cell r="AL40">
            <v>7.6500000953674316</v>
          </cell>
          <cell r="AM40">
            <v>7.6500000953674316</v>
          </cell>
          <cell r="AN40">
            <v>7.6500000953674316</v>
          </cell>
          <cell r="AO40">
            <v>7.6500000953674316</v>
          </cell>
          <cell r="AR40">
            <v>0.75</v>
          </cell>
          <cell r="AS40">
            <v>0.75</v>
          </cell>
          <cell r="AT40">
            <v>0.75</v>
          </cell>
          <cell r="AU40">
            <v>0.75</v>
          </cell>
          <cell r="AV40">
            <v>0.75</v>
          </cell>
          <cell r="AW40">
            <v>0.75</v>
          </cell>
          <cell r="AX40">
            <v>0.75</v>
          </cell>
          <cell r="AY40">
            <v>0.75</v>
          </cell>
          <cell r="AZ40">
            <v>0.75</v>
          </cell>
          <cell r="BA40">
            <v>0.75</v>
          </cell>
          <cell r="BB40">
            <v>0.75</v>
          </cell>
          <cell r="BC40">
            <v>0.75</v>
          </cell>
          <cell r="BD40">
            <v>0.75</v>
          </cell>
          <cell r="BE40">
            <v>0.75</v>
          </cell>
        </row>
        <row r="41">
          <cell r="AB41">
            <v>7.6500000953674316</v>
          </cell>
          <cell r="AC41">
            <v>7.6500000953674316</v>
          </cell>
          <cell r="AD41">
            <v>7.6500000953674316</v>
          </cell>
          <cell r="AE41">
            <v>7.6500000953674316</v>
          </cell>
          <cell r="AF41">
            <v>7.6500000953674316</v>
          </cell>
          <cell r="AG41">
            <v>7.6500000953674316</v>
          </cell>
          <cell r="AH41">
            <v>7.6500000953674316</v>
          </cell>
          <cell r="AI41">
            <v>7.6500000953674316</v>
          </cell>
          <cell r="AJ41">
            <v>7.6500000953674316</v>
          </cell>
          <cell r="AK41">
            <v>7.6500000953674316</v>
          </cell>
          <cell r="AL41">
            <v>7.6500000953674316</v>
          </cell>
          <cell r="AM41">
            <v>7.6500000953674316</v>
          </cell>
          <cell r="AN41">
            <v>7.6500000953674316</v>
          </cell>
          <cell r="AO41">
            <v>7.6500000953674316</v>
          </cell>
          <cell r="AR41">
            <v>0.75</v>
          </cell>
          <cell r="AS41">
            <v>0.75</v>
          </cell>
          <cell r="AT41">
            <v>0.75</v>
          </cell>
          <cell r="AU41">
            <v>0.75</v>
          </cell>
          <cell r="AV41">
            <v>0.75</v>
          </cell>
          <cell r="AW41">
            <v>0.75</v>
          </cell>
          <cell r="AX41">
            <v>0.75</v>
          </cell>
          <cell r="AY41">
            <v>0.75</v>
          </cell>
          <cell r="AZ41">
            <v>0.75</v>
          </cell>
          <cell r="BA41">
            <v>0.75</v>
          </cell>
          <cell r="BB41">
            <v>0.75</v>
          </cell>
          <cell r="BC41">
            <v>0.75</v>
          </cell>
          <cell r="BD41">
            <v>0.75</v>
          </cell>
          <cell r="BE41">
            <v>0.75</v>
          </cell>
        </row>
        <row r="42">
          <cell r="AB42">
            <v>7.6500000953674316</v>
          </cell>
          <cell r="AC42">
            <v>7.6500000953674316</v>
          </cell>
          <cell r="AD42">
            <v>7.6500000953674316</v>
          </cell>
          <cell r="AE42">
            <v>7.6500000953674316</v>
          </cell>
          <cell r="AF42">
            <v>7.6500000953674316</v>
          </cell>
          <cell r="AG42">
            <v>7.6500000953674316</v>
          </cell>
          <cell r="AH42">
            <v>7.6500000953674316</v>
          </cell>
          <cell r="AI42">
            <v>7.6500000953674316</v>
          </cell>
          <cell r="AJ42">
            <v>7.6500000953674316</v>
          </cell>
          <cell r="AK42">
            <v>7.6500000953674316</v>
          </cell>
          <cell r="AL42">
            <v>7.6500000953674316</v>
          </cell>
          <cell r="AM42">
            <v>7.6500000953674316</v>
          </cell>
          <cell r="AN42">
            <v>7.6500000953674316</v>
          </cell>
          <cell r="AO42">
            <v>7.6500000953674316</v>
          </cell>
          <cell r="AR42">
            <v>0.75</v>
          </cell>
          <cell r="AS42">
            <v>0.75</v>
          </cell>
          <cell r="AT42">
            <v>0.75</v>
          </cell>
          <cell r="AU42">
            <v>0.75</v>
          </cell>
          <cell r="AV42">
            <v>0.75</v>
          </cell>
          <cell r="AW42">
            <v>0.75</v>
          </cell>
          <cell r="AX42">
            <v>0.75</v>
          </cell>
          <cell r="AY42">
            <v>0.75</v>
          </cell>
          <cell r="AZ42">
            <v>0.75</v>
          </cell>
          <cell r="BA42">
            <v>0.75</v>
          </cell>
          <cell r="BB42">
            <v>0.75</v>
          </cell>
          <cell r="BC42">
            <v>0.75</v>
          </cell>
          <cell r="BD42">
            <v>0.75</v>
          </cell>
          <cell r="BE42">
            <v>0.75</v>
          </cell>
        </row>
      </sheetData>
      <sheetData sheetId="18">
        <row r="3">
          <cell r="AB3">
            <v>-3.75</v>
          </cell>
          <cell r="AC3">
            <v>-3.4649999999999999</v>
          </cell>
          <cell r="AD3">
            <v>-3.1799999999999997</v>
          </cell>
          <cell r="AE3">
            <v>-2.8949999999999996</v>
          </cell>
          <cell r="AF3">
            <v>-2.6099999999999994</v>
          </cell>
          <cell r="AG3">
            <v>-2.3249999999999993</v>
          </cell>
          <cell r="AH3">
            <v>-2.0399999999999991</v>
          </cell>
          <cell r="AI3">
            <v>-1.754999999999999</v>
          </cell>
          <cell r="AJ3">
            <v>-1.4699999999999989</v>
          </cell>
          <cell r="AK3">
            <v>-1.1849999999999987</v>
          </cell>
          <cell r="AL3">
            <v>-0.89999999999999869</v>
          </cell>
          <cell r="AM3">
            <v>-0.89999999999999869</v>
          </cell>
          <cell r="AN3">
            <v>-3.75</v>
          </cell>
          <cell r="AO3">
            <v>-3.75</v>
          </cell>
          <cell r="AR3">
            <v>1.0486310030135038</v>
          </cell>
          <cell r="AS3">
            <v>1.0486310030135038</v>
          </cell>
          <cell r="AT3">
            <v>1.0486310030135038</v>
          </cell>
          <cell r="AU3">
            <v>1.0486310030135038</v>
          </cell>
          <cell r="AV3">
            <v>1.0486310030135038</v>
          </cell>
          <cell r="AW3">
            <v>1.0486310030135038</v>
          </cell>
          <cell r="AX3">
            <v>1.0486310030135038</v>
          </cell>
          <cell r="AY3">
            <v>1.0486310030135038</v>
          </cell>
          <cell r="AZ3">
            <v>1.0486310030135038</v>
          </cell>
          <cell r="BA3">
            <v>1.0486310030135038</v>
          </cell>
          <cell r="BB3">
            <v>1.0486310030135038</v>
          </cell>
          <cell r="BC3">
            <v>0.9</v>
          </cell>
          <cell r="BD3">
            <v>0.9</v>
          </cell>
          <cell r="BE3">
            <v>1.0486310030135038</v>
          </cell>
        </row>
        <row r="4">
          <cell r="AB4">
            <v>-0.89999337171850324</v>
          </cell>
          <cell r="AC4">
            <v>-0.5549116717185032</v>
          </cell>
          <cell r="AD4">
            <v>-0.20982997171850323</v>
          </cell>
          <cell r="AE4">
            <v>0.13525172828149676</v>
          </cell>
          <cell r="AF4">
            <v>0.48033342828149672</v>
          </cell>
          <cell r="AG4">
            <v>0.82541512828149677</v>
          </cell>
          <cell r="AH4">
            <v>1.1704968282814967</v>
          </cell>
          <cell r="AI4">
            <v>1.5155785282814966</v>
          </cell>
          <cell r="AJ4">
            <v>1.8606602282814966</v>
          </cell>
          <cell r="AK4">
            <v>2.2057419282814963</v>
          </cell>
          <cell r="AL4">
            <v>2.5508236282814964</v>
          </cell>
          <cell r="AM4">
            <v>2.5508169999999999</v>
          </cell>
          <cell r="AN4">
            <v>-0.9</v>
          </cell>
          <cell r="AO4">
            <v>-0.89999337171850324</v>
          </cell>
          <cell r="AR4">
            <v>1.0394694296935685</v>
          </cell>
          <cell r="AS4">
            <v>1.0394530296935685</v>
          </cell>
          <cell r="AT4">
            <v>1.0394366296935684</v>
          </cell>
          <cell r="AU4">
            <v>1.0394202296935684</v>
          </cell>
          <cell r="AV4">
            <v>1.0394038296935684</v>
          </cell>
          <cell r="AW4">
            <v>1.0393874296935683</v>
          </cell>
          <cell r="AX4">
            <v>1.0393710296935683</v>
          </cell>
          <cell r="AY4">
            <v>1.0393546296935683</v>
          </cell>
          <cell r="AZ4">
            <v>1.0393382296935683</v>
          </cell>
          <cell r="BA4">
            <v>1.0393218296935682</v>
          </cell>
          <cell r="BB4">
            <v>1.0393054296935682</v>
          </cell>
          <cell r="BC4">
            <v>0.89983599999999975</v>
          </cell>
          <cell r="BD4">
            <v>0.9</v>
          </cell>
          <cell r="BE4">
            <v>1.0394694296935685</v>
          </cell>
        </row>
        <row r="5">
          <cell r="AB5">
            <v>-0.90853165670871006</v>
          </cell>
          <cell r="AC5">
            <v>-0.42853165670870996</v>
          </cell>
          <cell r="AD5">
            <v>5.1468343291290075E-2</v>
          </cell>
          <cell r="AE5">
            <v>0.53146834329129011</v>
          </cell>
          <cell r="AF5">
            <v>1.0114683432912901</v>
          </cell>
          <cell r="AG5">
            <v>1.4914683432912901</v>
          </cell>
          <cell r="AH5">
            <v>1.9714683432912901</v>
          </cell>
          <cell r="AI5">
            <v>2.4514683432912898</v>
          </cell>
          <cell r="AJ5">
            <v>2.9314683432912898</v>
          </cell>
          <cell r="AK5">
            <v>3.4114683432912898</v>
          </cell>
          <cell r="AL5">
            <v>3.8914683432912898</v>
          </cell>
          <cell r="AM5">
            <v>3.9</v>
          </cell>
          <cell r="AN5">
            <v>-0.9</v>
          </cell>
          <cell r="AO5">
            <v>-0.90853165670871006</v>
          </cell>
          <cell r="AR5">
            <v>0.88634934926606401</v>
          </cell>
          <cell r="AS5">
            <v>0.58634934926606397</v>
          </cell>
          <cell r="AT5">
            <v>0.28634934926606398</v>
          </cell>
          <cell r="AU5">
            <v>-1.3650650733936074E-2</v>
          </cell>
          <cell r="AV5">
            <v>-0.31365065073393611</v>
          </cell>
          <cell r="AW5">
            <v>-0.61365065073393621</v>
          </cell>
          <cell r="AX5">
            <v>-0.91365065073393625</v>
          </cell>
          <cell r="AY5">
            <v>-1.2136506507339362</v>
          </cell>
          <cell r="AZ5">
            <v>-1.5136506507339362</v>
          </cell>
          <cell r="BA5">
            <v>-1.8136506507339363</v>
          </cell>
          <cell r="BB5">
            <v>-2.1136506507339363</v>
          </cell>
          <cell r="BC5">
            <v>-2.1000000000000005</v>
          </cell>
          <cell r="BD5">
            <v>0.9</v>
          </cell>
          <cell r="BE5">
            <v>0.88634934926606401</v>
          </cell>
        </row>
        <row r="6">
          <cell r="AB6">
            <v>9.2269084884587045</v>
          </cell>
          <cell r="AC6">
            <v>8.7469084884587041</v>
          </cell>
          <cell r="AD6">
            <v>8.2669084884587036</v>
          </cell>
          <cell r="AE6">
            <v>7.7869084884587032</v>
          </cell>
          <cell r="AF6">
            <v>7.3069084884587028</v>
          </cell>
          <cell r="AG6">
            <v>6.8269084884587024</v>
          </cell>
          <cell r="AH6">
            <v>6.3469084884587019</v>
          </cell>
          <cell r="AI6">
            <v>5.8669084884587015</v>
          </cell>
          <cell r="AJ6">
            <v>5.3869084884587011</v>
          </cell>
          <cell r="AK6">
            <v>4.9069084884587006</v>
          </cell>
          <cell r="AL6">
            <v>4.4269084884587002</v>
          </cell>
          <cell r="AM6">
            <v>3.8999999999999955</v>
          </cell>
          <cell r="AN6">
            <v>8.6999999999999993</v>
          </cell>
          <cell r="AO6">
            <v>9.2269084884587045</v>
          </cell>
          <cell r="AR6">
            <v>5.6946418466071957E-2</v>
          </cell>
          <cell r="AS6">
            <v>-0.24305358153392809</v>
          </cell>
          <cell r="AT6">
            <v>-0.54305358153392813</v>
          </cell>
          <cell r="AU6">
            <v>-0.84305358153392818</v>
          </cell>
          <cell r="AV6">
            <v>-1.1430535815339282</v>
          </cell>
          <cell r="AW6">
            <v>-1.4430535815339283</v>
          </cell>
          <cell r="AX6">
            <v>-1.7430535815339283</v>
          </cell>
          <cell r="AY6">
            <v>-2.0430535815339281</v>
          </cell>
          <cell r="AZ6">
            <v>-2.3430535815339284</v>
          </cell>
          <cell r="BA6">
            <v>-2.6430535815339282</v>
          </cell>
          <cell r="BB6">
            <v>-2.9430535815339285</v>
          </cell>
          <cell r="BC6">
            <v>-2.1000000000000005</v>
          </cell>
          <cell r="BD6">
            <v>0.9</v>
          </cell>
          <cell r="BE6">
            <v>5.6946418466071957E-2</v>
          </cell>
          <cell r="BH6">
            <v>-6.9998682293308434</v>
          </cell>
          <cell r="BI6">
            <v>14.347243340046662</v>
          </cell>
        </row>
        <row r="7">
          <cell r="AB7">
            <v>3.8998652381414622</v>
          </cell>
          <cell r="AC7">
            <v>4.0370408381414631</v>
          </cell>
          <cell r="AD7">
            <v>4.174216438141463</v>
          </cell>
          <cell r="AE7">
            <v>4.311392038141463</v>
          </cell>
          <cell r="AF7">
            <v>4.4485676381414629</v>
          </cell>
          <cell r="AG7">
            <v>4.5857432381414629</v>
          </cell>
          <cell r="AH7">
            <v>4.7229188381414628</v>
          </cell>
          <cell r="AI7">
            <v>4.8600944381414628</v>
          </cell>
          <cell r="AJ7">
            <v>4.9972700381414628</v>
          </cell>
          <cell r="AK7">
            <v>5.1344456381414627</v>
          </cell>
          <cell r="AL7">
            <v>5.2716212381414627</v>
          </cell>
          <cell r="AM7">
            <v>5.2717559999999999</v>
          </cell>
          <cell r="AN7">
            <v>3.9</v>
          </cell>
          <cell r="AO7">
            <v>3.8998652381414622</v>
          </cell>
          <cell r="AR7">
            <v>-0.22719748792756389</v>
          </cell>
          <cell r="AS7">
            <v>-0.22721388792756392</v>
          </cell>
          <cell r="AT7">
            <v>-0.22723028792756395</v>
          </cell>
          <cell r="AU7">
            <v>-0.22724668792756397</v>
          </cell>
          <cell r="AV7">
            <v>-0.227263087927564</v>
          </cell>
          <cell r="AW7">
            <v>-0.22727948792756403</v>
          </cell>
          <cell r="AX7">
            <v>-0.22729588792756406</v>
          </cell>
          <cell r="AY7">
            <v>-0.22731228792756408</v>
          </cell>
          <cell r="AZ7">
            <v>-0.22732868792756411</v>
          </cell>
          <cell r="BA7">
            <v>-0.22734508792756414</v>
          </cell>
          <cell r="BB7">
            <v>-0.22736148792756417</v>
          </cell>
          <cell r="BC7">
            <v>0.89983599999999975</v>
          </cell>
          <cell r="BD7">
            <v>0.9</v>
          </cell>
          <cell r="BE7">
            <v>-0.22719748792756389</v>
          </cell>
          <cell r="BH7">
            <v>22.299904465026039</v>
          </cell>
          <cell r="BI7">
            <v>14.347243340046662</v>
          </cell>
        </row>
        <row r="8">
          <cell r="AB8">
            <v>2.6561806144648852</v>
          </cell>
          <cell r="AC8">
            <v>2.6647456144648851</v>
          </cell>
          <cell r="AD8">
            <v>2.673310614464885</v>
          </cell>
          <cell r="AE8">
            <v>2.681875614464885</v>
          </cell>
          <cell r="AF8">
            <v>2.6904406144648849</v>
          </cell>
          <cell r="AG8">
            <v>2.6990056144648849</v>
          </cell>
          <cell r="AH8">
            <v>2.7075706144648848</v>
          </cell>
          <cell r="AI8">
            <v>2.7161356144648847</v>
          </cell>
          <cell r="AJ8">
            <v>2.7247006144648847</v>
          </cell>
          <cell r="AK8">
            <v>2.7332656144648846</v>
          </cell>
          <cell r="AL8">
            <v>2.7418306144648845</v>
          </cell>
          <cell r="AM8">
            <v>3.3856499999999992</v>
          </cell>
          <cell r="AN8">
            <v>3.3</v>
          </cell>
          <cell r="AO8">
            <v>2.6561806144648852</v>
          </cell>
          <cell r="AR8">
            <v>3.536665793348468</v>
          </cell>
          <cell r="AS8">
            <v>3.449598893348468</v>
          </cell>
          <cell r="AT8">
            <v>3.3625319933484681</v>
          </cell>
          <cell r="AU8">
            <v>3.2754650933484681</v>
          </cell>
          <cell r="AV8">
            <v>3.1883981933484682</v>
          </cell>
          <cell r="AW8">
            <v>3.1013312933484682</v>
          </cell>
          <cell r="AX8">
            <v>3.0142643933484683</v>
          </cell>
          <cell r="AY8">
            <v>2.9271974933484683</v>
          </cell>
          <cell r="AZ8">
            <v>2.8401305933484684</v>
          </cell>
          <cell r="BA8">
            <v>2.7530636933484685</v>
          </cell>
          <cell r="BB8">
            <v>2.6659967933484685</v>
          </cell>
          <cell r="BC8">
            <v>2.7293310000000006</v>
          </cell>
          <cell r="BD8">
            <v>3.6</v>
          </cell>
          <cell r="BE8">
            <v>3.536665793348468</v>
          </cell>
          <cell r="BH8">
            <v>22.299904465026039</v>
          </cell>
          <cell r="BI8">
            <v>-14.95252935431022</v>
          </cell>
        </row>
        <row r="9">
          <cell r="AB9">
            <v>3.8325121838754139</v>
          </cell>
          <cell r="AC9">
            <v>3.8231124838754136</v>
          </cell>
          <cell r="AD9">
            <v>3.8137127838754132</v>
          </cell>
          <cell r="AE9">
            <v>3.8043130838754129</v>
          </cell>
          <cell r="AF9">
            <v>3.7949133838754125</v>
          </cell>
          <cell r="AG9">
            <v>3.7855136838754122</v>
          </cell>
          <cell r="AH9">
            <v>3.7761139838754119</v>
          </cell>
          <cell r="AI9">
            <v>3.7667142838754115</v>
          </cell>
          <cell r="AJ9">
            <v>3.7573145838754112</v>
          </cell>
          <cell r="AK9">
            <v>3.7479148838754108</v>
          </cell>
          <cell r="AL9">
            <v>3.7385151838754105</v>
          </cell>
          <cell r="AM9">
            <v>4.4060029999999966</v>
          </cell>
          <cell r="AN9">
            <v>4.5</v>
          </cell>
          <cell r="AO9">
            <v>3.8325121838754139</v>
          </cell>
          <cell r="AR9">
            <v>3.6733674382285955</v>
          </cell>
          <cell r="AS9">
            <v>3.5878501382285957</v>
          </cell>
          <cell r="AT9">
            <v>3.5023328382285954</v>
          </cell>
          <cell r="AU9">
            <v>3.4168155382285952</v>
          </cell>
          <cell r="AV9">
            <v>3.3312982382285949</v>
          </cell>
          <cell r="AW9">
            <v>3.2457809382285947</v>
          </cell>
          <cell r="AX9">
            <v>3.1602636382285945</v>
          </cell>
          <cell r="AY9">
            <v>3.0747463382285942</v>
          </cell>
          <cell r="AZ9">
            <v>2.989229038228594</v>
          </cell>
          <cell r="BA9">
            <v>2.9037117382285937</v>
          </cell>
          <cell r="BB9">
            <v>2.8181944382285935</v>
          </cell>
          <cell r="BC9">
            <v>2.7448269999999981</v>
          </cell>
          <cell r="BD9">
            <v>3.6</v>
          </cell>
          <cell r="BE9">
            <v>3.6733674382285955</v>
          </cell>
          <cell r="BH9">
            <v>-6.9998682293308434</v>
          </cell>
          <cell r="BI9">
            <v>-14.95252935431022</v>
          </cell>
        </row>
        <row r="10">
          <cell r="AB10">
            <v>2.5509536272099731</v>
          </cell>
          <cell r="AC10">
            <v>2.6858719272099729</v>
          </cell>
          <cell r="AD10">
            <v>2.8207902272099727</v>
          </cell>
          <cell r="AE10">
            <v>2.9557085272099726</v>
          </cell>
          <cell r="AF10">
            <v>3.0906268272099724</v>
          </cell>
          <cell r="AG10">
            <v>3.2255451272099722</v>
          </cell>
          <cell r="AH10">
            <v>3.360463427209972</v>
          </cell>
          <cell r="AI10">
            <v>3.4953817272099719</v>
          </cell>
          <cell r="AJ10">
            <v>3.6303000272099717</v>
          </cell>
          <cell r="AK10">
            <v>3.7652183272099715</v>
          </cell>
          <cell r="AL10">
            <v>3.9001366272099713</v>
          </cell>
          <cell r="AM10">
            <v>3.8999999999999981</v>
          </cell>
          <cell r="AN10">
            <v>2.5508169999999999</v>
          </cell>
          <cell r="AO10">
            <v>2.5509536272099731</v>
          </cell>
          <cell r="AR10">
            <v>-0.22415856727448313</v>
          </cell>
          <cell r="AS10">
            <v>-0.22414216727448311</v>
          </cell>
          <cell r="AT10">
            <v>-0.22412576727448308</v>
          </cell>
          <cell r="AU10">
            <v>-0.22410936727448305</v>
          </cell>
          <cell r="AV10">
            <v>-0.22409296727448302</v>
          </cell>
          <cell r="AW10">
            <v>-0.224076567274483</v>
          </cell>
          <cell r="AX10">
            <v>-0.22406016727448297</v>
          </cell>
          <cell r="AY10">
            <v>-0.22404376727448294</v>
          </cell>
          <cell r="AZ10">
            <v>-0.22402736727448291</v>
          </cell>
          <cell r="BA10">
            <v>-0.22401096727448289</v>
          </cell>
          <cell r="BB10">
            <v>-0.22399456727448286</v>
          </cell>
          <cell r="BC10">
            <v>0.90000000000000024</v>
          </cell>
          <cell r="BD10">
            <v>0.89983599999999997</v>
          </cell>
          <cell r="BE10">
            <v>-0.22415856727448313</v>
          </cell>
        </row>
        <row r="11">
          <cell r="AB11">
            <v>5.2717199785747244</v>
          </cell>
          <cell r="AC11">
            <v>5.614544378574724</v>
          </cell>
          <cell r="AD11">
            <v>5.9573687785747236</v>
          </cell>
          <cell r="AE11">
            <v>6.3001931785747232</v>
          </cell>
          <cell r="AF11">
            <v>6.6430175785747227</v>
          </cell>
          <cell r="AG11">
            <v>6.9858419785747223</v>
          </cell>
          <cell r="AH11">
            <v>7.3286663785747219</v>
          </cell>
          <cell r="AI11">
            <v>7.6714907785747215</v>
          </cell>
          <cell r="AJ11">
            <v>8.0143151785747211</v>
          </cell>
          <cell r="AK11">
            <v>8.3571395785747207</v>
          </cell>
          <cell r="AL11">
            <v>8.6999639785747203</v>
          </cell>
          <cell r="AM11">
            <v>8.6999999999999957</v>
          </cell>
          <cell r="AN11">
            <v>5.2717559999999999</v>
          </cell>
          <cell r="AO11">
            <v>5.2717199785747244</v>
          </cell>
          <cell r="AR11">
            <v>1.6528252382383064</v>
          </cell>
          <cell r="AS11">
            <v>1.6528416382383064</v>
          </cell>
          <cell r="AT11">
            <v>1.6528580382383065</v>
          </cell>
          <cell r="AU11">
            <v>1.6528744382383065</v>
          </cell>
          <cell r="AV11">
            <v>1.6528908382383065</v>
          </cell>
          <cell r="AW11">
            <v>1.6529072382383065</v>
          </cell>
          <cell r="AX11">
            <v>1.6529236382383066</v>
          </cell>
          <cell r="AY11">
            <v>1.6529400382383066</v>
          </cell>
          <cell r="AZ11">
            <v>1.6529564382383066</v>
          </cell>
          <cell r="BA11">
            <v>1.6529728382383067</v>
          </cell>
          <cell r="BB11">
            <v>1.6529892382383067</v>
          </cell>
          <cell r="BC11">
            <v>0.90000000000000024</v>
          </cell>
          <cell r="BD11">
            <v>0.89983599999999997</v>
          </cell>
          <cell r="BE11">
            <v>1.6528252382383064</v>
          </cell>
        </row>
        <row r="12">
          <cell r="AB12">
            <v>3.392950402166909</v>
          </cell>
          <cell r="AC12">
            <v>3.4443854021669091</v>
          </cell>
          <cell r="AD12">
            <v>3.4958204021669093</v>
          </cell>
          <cell r="AE12">
            <v>3.5472554021669094</v>
          </cell>
          <cell r="AF12">
            <v>3.5986904021669095</v>
          </cell>
          <cell r="AG12">
            <v>3.6501254021669096</v>
          </cell>
          <cell r="AH12">
            <v>3.7015604021669097</v>
          </cell>
          <cell r="AI12">
            <v>3.7529954021669099</v>
          </cell>
          <cell r="AJ12">
            <v>3.80443040216691</v>
          </cell>
          <cell r="AK12">
            <v>3.8558654021669101</v>
          </cell>
          <cell r="AL12">
            <v>3.9073004021669102</v>
          </cell>
          <cell r="AM12">
            <v>3.9000000000000012</v>
          </cell>
          <cell r="AN12">
            <v>3.38565</v>
          </cell>
          <cell r="AO12">
            <v>3.392950402166909</v>
          </cell>
          <cell r="AR12">
            <v>2.7301085325101035</v>
          </cell>
          <cell r="AS12">
            <v>2.2471754325101037</v>
          </cell>
          <cell r="AT12">
            <v>1.7642423325101035</v>
          </cell>
          <cell r="AU12">
            <v>1.2813092325101034</v>
          </cell>
          <cell r="AV12">
            <v>0.7983761325101032</v>
          </cell>
          <cell r="AW12">
            <v>0.31544303251010319</v>
          </cell>
          <cell r="AX12">
            <v>-0.16749006748989687</v>
          </cell>
          <cell r="AY12">
            <v>-0.65042316748989693</v>
          </cell>
          <cell r="AZ12">
            <v>-1.1333562674898969</v>
          </cell>
          <cell r="BA12">
            <v>-1.616289367489897</v>
          </cell>
          <cell r="BB12">
            <v>-2.0992224674898972</v>
          </cell>
          <cell r="BC12">
            <v>-2.1000000000000005</v>
          </cell>
          <cell r="BD12">
            <v>2.7293310000000002</v>
          </cell>
          <cell r="BE12">
            <v>2.7301085325101035</v>
          </cell>
        </row>
        <row r="13">
          <cell r="AB13">
            <v>4.4141283901553443</v>
          </cell>
          <cell r="AC13">
            <v>4.3635280901553442</v>
          </cell>
          <cell r="AD13">
            <v>4.312927790155344</v>
          </cell>
          <cell r="AE13">
            <v>4.2623274901553438</v>
          </cell>
          <cell r="AF13">
            <v>4.2117271901553437</v>
          </cell>
          <cell r="AG13">
            <v>4.1611268901553435</v>
          </cell>
          <cell r="AH13">
            <v>4.1105265901553434</v>
          </cell>
          <cell r="AI13">
            <v>4.0599262901553432</v>
          </cell>
          <cell r="AJ13">
            <v>4.0093259901553431</v>
          </cell>
          <cell r="AK13">
            <v>3.9587256901553434</v>
          </cell>
          <cell r="AL13">
            <v>3.9081253901553432</v>
          </cell>
          <cell r="AM13">
            <v>3.8999999999999986</v>
          </cell>
          <cell r="AN13">
            <v>4.4060030000000001</v>
          </cell>
          <cell r="AO13">
            <v>4.4141283901553443</v>
          </cell>
          <cell r="AR13">
            <v>2.7439783687083614</v>
          </cell>
          <cell r="AS13">
            <v>2.2594956687083614</v>
          </cell>
          <cell r="AT13">
            <v>1.7750129687083613</v>
          </cell>
          <cell r="AU13">
            <v>1.2905302687083613</v>
          </cell>
          <cell r="AV13">
            <v>0.80604756870836125</v>
          </cell>
          <cell r="AW13">
            <v>0.32156486870836126</v>
          </cell>
          <cell r="AX13">
            <v>-0.16291783129163881</v>
          </cell>
          <cell r="AY13">
            <v>-0.64740053129163888</v>
          </cell>
          <cell r="AZ13">
            <v>-1.1318832312916389</v>
          </cell>
          <cell r="BA13">
            <v>-1.616365931291639</v>
          </cell>
          <cell r="BB13">
            <v>-2.100848631291639</v>
          </cell>
          <cell r="BC13">
            <v>-2.1000000000000005</v>
          </cell>
          <cell r="BD13">
            <v>2.7448269999999999</v>
          </cell>
          <cell r="BE13">
            <v>2.7439783687083614</v>
          </cell>
        </row>
        <row r="14">
          <cell r="AB14">
            <v>3.6648993211527281</v>
          </cell>
          <cell r="AC14">
            <v>3.5814160211527279</v>
          </cell>
          <cell r="AD14">
            <v>3.4979327211527278</v>
          </cell>
          <cell r="AE14">
            <v>3.4144494211527276</v>
          </cell>
          <cell r="AF14">
            <v>3.3309661211527275</v>
          </cell>
          <cell r="AG14">
            <v>3.2474828211527274</v>
          </cell>
          <cell r="AH14">
            <v>3.1639995211527272</v>
          </cell>
          <cell r="AI14">
            <v>3.0805162211527271</v>
          </cell>
          <cell r="AJ14">
            <v>2.9970329211527269</v>
          </cell>
          <cell r="AK14">
            <v>2.9135496211527268</v>
          </cell>
          <cell r="AL14">
            <v>2.8300663211527266</v>
          </cell>
          <cell r="AM14">
            <v>2.5508169999999986</v>
          </cell>
          <cell r="AN14">
            <v>3.38565</v>
          </cell>
          <cell r="AO14">
            <v>3.6648993211527281</v>
          </cell>
          <cell r="AR14">
            <v>2.6019042792241054</v>
          </cell>
          <cell r="AS14">
            <v>2.4189547792241055</v>
          </cell>
          <cell r="AT14">
            <v>2.2360052792241056</v>
          </cell>
          <cell r="AU14">
            <v>2.0530557792241058</v>
          </cell>
          <cell r="AV14">
            <v>1.8701062792241059</v>
          </cell>
          <cell r="AW14">
            <v>1.6871567792241056</v>
          </cell>
          <cell r="AX14">
            <v>1.5042072792241057</v>
          </cell>
          <cell r="AY14">
            <v>1.3212577792241054</v>
          </cell>
          <cell r="AZ14">
            <v>1.1383082792241055</v>
          </cell>
          <cell r="BA14">
            <v>0.95535877922410528</v>
          </cell>
          <cell r="BB14">
            <v>0.77240927922410518</v>
          </cell>
          <cell r="BC14">
            <v>0.89983599999999986</v>
          </cell>
          <cell r="BD14">
            <v>2.7293310000000002</v>
          </cell>
          <cell r="BE14">
            <v>2.6019042792241054</v>
          </cell>
        </row>
        <row r="15">
          <cell r="AB15">
            <v>4.6801442003320561</v>
          </cell>
          <cell r="AC15">
            <v>4.7667195003320559</v>
          </cell>
          <cell r="AD15">
            <v>4.8532948003320557</v>
          </cell>
          <cell r="AE15">
            <v>4.9398701003320555</v>
          </cell>
          <cell r="AF15">
            <v>5.0264454003320553</v>
          </cell>
          <cell r="AG15">
            <v>5.1130207003320551</v>
          </cell>
          <cell r="AH15">
            <v>5.1995960003320549</v>
          </cell>
          <cell r="AI15">
            <v>5.2861713003320547</v>
          </cell>
          <cell r="AJ15">
            <v>5.3727466003320545</v>
          </cell>
          <cell r="AK15">
            <v>5.4593219003320543</v>
          </cell>
          <cell r="AL15">
            <v>5.5458972003320541</v>
          </cell>
          <cell r="AM15">
            <v>5.2717559999999981</v>
          </cell>
          <cell r="AN15">
            <v>4.4060030000000001</v>
          </cell>
          <cell r="AO15">
            <v>4.6801442003320561</v>
          </cell>
          <cell r="AR15">
            <v>2.8734664170004502</v>
          </cell>
          <cell r="AS15">
            <v>2.6889673170004502</v>
          </cell>
          <cell r="AT15">
            <v>2.5044682170004502</v>
          </cell>
          <cell r="AU15">
            <v>2.3199691170004502</v>
          </cell>
          <cell r="AV15">
            <v>2.1354700170004501</v>
          </cell>
          <cell r="AW15">
            <v>1.9509709170004503</v>
          </cell>
          <cell r="AX15">
            <v>1.7664718170004503</v>
          </cell>
          <cell r="AY15">
            <v>1.5819727170004503</v>
          </cell>
          <cell r="AZ15">
            <v>1.3974736170004503</v>
          </cell>
          <cell r="BA15">
            <v>1.2129745170004502</v>
          </cell>
          <cell r="BB15">
            <v>1.0284754170004502</v>
          </cell>
          <cell r="BC15">
            <v>0.89983599999999964</v>
          </cell>
          <cell r="BD15">
            <v>2.7448269999999999</v>
          </cell>
          <cell r="BE15">
            <v>2.8734664170004502</v>
          </cell>
        </row>
        <row r="16">
          <cell r="AB16">
            <v>-6.45</v>
          </cell>
          <cell r="AC16">
            <v>-6.3900000000000006</v>
          </cell>
          <cell r="AD16">
            <v>-6.33</v>
          </cell>
          <cell r="AE16">
            <v>-6.27</v>
          </cell>
          <cell r="AF16">
            <v>-6.2099999999999991</v>
          </cell>
          <cell r="AG16">
            <v>-6.1499999999999986</v>
          </cell>
          <cell r="AH16">
            <v>-6.0899999999999981</v>
          </cell>
          <cell r="AI16">
            <v>-6.0299999999999976</v>
          </cell>
          <cell r="AJ16">
            <v>-5.9699999999999971</v>
          </cell>
          <cell r="AK16">
            <v>-5.9099999999999966</v>
          </cell>
          <cell r="AL16">
            <v>-5.8499999999999961</v>
          </cell>
          <cell r="AM16">
            <v>-5.8499999999999961</v>
          </cell>
          <cell r="AN16">
            <v>-6.45</v>
          </cell>
          <cell r="AO16">
            <v>-6.45</v>
          </cell>
          <cell r="AR16">
            <v>0.9</v>
          </cell>
          <cell r="AS16">
            <v>0.9</v>
          </cell>
          <cell r="AT16">
            <v>0.9</v>
          </cell>
          <cell r="AU16">
            <v>0.9</v>
          </cell>
          <cell r="AV16">
            <v>0.9</v>
          </cell>
          <cell r="AW16">
            <v>0.9</v>
          </cell>
          <cell r="AX16">
            <v>0.9</v>
          </cell>
          <cell r="AY16">
            <v>0.9</v>
          </cell>
          <cell r="AZ16">
            <v>0.9</v>
          </cell>
          <cell r="BA16">
            <v>0.9</v>
          </cell>
          <cell r="BB16">
            <v>0.9</v>
          </cell>
          <cell r="BC16">
            <v>0.9</v>
          </cell>
          <cell r="BD16">
            <v>0.9</v>
          </cell>
          <cell r="BE16">
            <v>0.9</v>
          </cell>
        </row>
        <row r="17">
          <cell r="AB17">
            <v>-5.85</v>
          </cell>
          <cell r="AC17">
            <v>-5.6999999999999993</v>
          </cell>
          <cell r="AD17">
            <v>-5.5499999999999989</v>
          </cell>
          <cell r="AE17">
            <v>-5.3999999999999986</v>
          </cell>
          <cell r="AF17">
            <v>-5.2499999999999982</v>
          </cell>
          <cell r="AG17">
            <v>-5.0999999999999979</v>
          </cell>
          <cell r="AH17">
            <v>-4.9499999999999975</v>
          </cell>
          <cell r="AI17">
            <v>-4.7999999999999972</v>
          </cell>
          <cell r="AJ17">
            <v>-4.6499999999999968</v>
          </cell>
          <cell r="AK17">
            <v>-4.4999999999999964</v>
          </cell>
          <cell r="AL17">
            <v>-4.3499999999999961</v>
          </cell>
          <cell r="AM17">
            <v>-4.3499999999999961</v>
          </cell>
          <cell r="AN17">
            <v>-5.85</v>
          </cell>
          <cell r="AO17">
            <v>-5.85</v>
          </cell>
          <cell r="AR17">
            <v>0.9</v>
          </cell>
          <cell r="AS17">
            <v>0.9</v>
          </cell>
          <cell r="AT17">
            <v>0.9</v>
          </cell>
          <cell r="AU17">
            <v>0.9</v>
          </cell>
          <cell r="AV17">
            <v>0.9</v>
          </cell>
          <cell r="AW17">
            <v>0.9</v>
          </cell>
          <cell r="AX17">
            <v>0.9</v>
          </cell>
          <cell r="AY17">
            <v>0.9</v>
          </cell>
          <cell r="AZ17">
            <v>0.9</v>
          </cell>
          <cell r="BA17">
            <v>0.9</v>
          </cell>
          <cell r="BB17">
            <v>0.9</v>
          </cell>
          <cell r="BC17">
            <v>0.9</v>
          </cell>
          <cell r="BD17">
            <v>0.9</v>
          </cell>
          <cell r="BE17">
            <v>0.9</v>
          </cell>
        </row>
        <row r="18">
          <cell r="AB18">
            <v>-4.3499999999999996</v>
          </cell>
          <cell r="AC18">
            <v>-4.29</v>
          </cell>
          <cell r="AD18">
            <v>-4.2300000000000004</v>
          </cell>
          <cell r="AE18">
            <v>-4.1700000000000008</v>
          </cell>
          <cell r="AF18">
            <v>-4.1100000000000012</v>
          </cell>
          <cell r="AG18">
            <v>-4.0500000000000016</v>
          </cell>
          <cell r="AH18">
            <v>-3.9900000000000015</v>
          </cell>
          <cell r="AI18">
            <v>-3.9300000000000015</v>
          </cell>
          <cell r="AJ18">
            <v>-3.8700000000000014</v>
          </cell>
          <cell r="AK18">
            <v>-3.8100000000000014</v>
          </cell>
          <cell r="AL18">
            <v>-3.7500000000000013</v>
          </cell>
          <cell r="AM18">
            <v>-3.7500000000000013</v>
          </cell>
          <cell r="AN18">
            <v>-4.3499999999999996</v>
          </cell>
          <cell r="AO18">
            <v>-4.3499999999999996</v>
          </cell>
          <cell r="AR18">
            <v>0.9</v>
          </cell>
          <cell r="AS18">
            <v>0.9</v>
          </cell>
          <cell r="AT18">
            <v>0.9</v>
          </cell>
          <cell r="AU18">
            <v>0.9</v>
          </cell>
          <cell r="AV18">
            <v>0.9</v>
          </cell>
          <cell r="AW18">
            <v>0.9</v>
          </cell>
          <cell r="AX18">
            <v>0.9</v>
          </cell>
          <cell r="AY18">
            <v>0.9</v>
          </cell>
          <cell r="AZ18">
            <v>0.9</v>
          </cell>
          <cell r="BA18">
            <v>0.9</v>
          </cell>
          <cell r="BB18">
            <v>0.9</v>
          </cell>
          <cell r="BC18">
            <v>0.9</v>
          </cell>
          <cell r="BD18">
            <v>0.9</v>
          </cell>
          <cell r="BE18">
            <v>0.9</v>
          </cell>
        </row>
        <row r="19">
          <cell r="AB19">
            <v>-5.55</v>
          </cell>
          <cell r="AC19">
            <v>-5.58</v>
          </cell>
          <cell r="AD19">
            <v>-5.61</v>
          </cell>
          <cell r="AE19">
            <v>-5.6400000000000006</v>
          </cell>
          <cell r="AF19">
            <v>-5.6700000000000008</v>
          </cell>
          <cell r="AG19">
            <v>-5.7000000000000011</v>
          </cell>
          <cell r="AH19">
            <v>-5.7300000000000013</v>
          </cell>
          <cell r="AI19">
            <v>-5.7600000000000016</v>
          </cell>
          <cell r="AJ19">
            <v>-5.7900000000000018</v>
          </cell>
          <cell r="AK19">
            <v>-5.8200000000000021</v>
          </cell>
          <cell r="AL19">
            <v>-5.8500000000000023</v>
          </cell>
          <cell r="AM19">
            <v>-5.8500000000000023</v>
          </cell>
          <cell r="AN19">
            <v>-5.55</v>
          </cell>
          <cell r="AO19">
            <v>-5.55</v>
          </cell>
          <cell r="AR19">
            <v>2.85</v>
          </cell>
          <cell r="AS19">
            <v>2.6550000000000002</v>
          </cell>
          <cell r="AT19">
            <v>2.4600000000000004</v>
          </cell>
          <cell r="AU19">
            <v>2.2650000000000006</v>
          </cell>
          <cell r="AV19">
            <v>2.0700000000000007</v>
          </cell>
          <cell r="AW19">
            <v>1.8750000000000007</v>
          </cell>
          <cell r="AX19">
            <v>1.6800000000000006</v>
          </cell>
          <cell r="AY19">
            <v>1.4850000000000005</v>
          </cell>
          <cell r="AZ19">
            <v>1.2900000000000005</v>
          </cell>
          <cell r="BA19">
            <v>1.0950000000000004</v>
          </cell>
          <cell r="BB19">
            <v>0.90000000000000036</v>
          </cell>
          <cell r="BC19">
            <v>0.90000000000000036</v>
          </cell>
          <cell r="BD19">
            <v>2.85</v>
          </cell>
          <cell r="BE19">
            <v>2.85</v>
          </cell>
        </row>
        <row r="20">
          <cell r="AB20">
            <v>-4.6500000000000004</v>
          </cell>
          <cell r="AC20">
            <v>-4.62</v>
          </cell>
          <cell r="AD20">
            <v>-4.59</v>
          </cell>
          <cell r="AE20">
            <v>-4.5599999999999996</v>
          </cell>
          <cell r="AF20">
            <v>-4.5299999999999994</v>
          </cell>
          <cell r="AG20">
            <v>-4.4999999999999991</v>
          </cell>
          <cell r="AH20">
            <v>-4.4699999999999989</v>
          </cell>
          <cell r="AI20">
            <v>-4.4399999999999986</v>
          </cell>
          <cell r="AJ20">
            <v>-4.4099999999999984</v>
          </cell>
          <cell r="AK20">
            <v>-4.3799999999999981</v>
          </cell>
          <cell r="AL20">
            <v>-4.3499999999999979</v>
          </cell>
          <cell r="AM20">
            <v>-4.3499999999999979</v>
          </cell>
          <cell r="AN20">
            <v>-4.6500000000000004</v>
          </cell>
          <cell r="AO20">
            <v>-4.6500000000000004</v>
          </cell>
          <cell r="AR20">
            <v>2.85</v>
          </cell>
          <cell r="AS20">
            <v>2.6550000000000002</v>
          </cell>
          <cell r="AT20">
            <v>2.4600000000000004</v>
          </cell>
          <cell r="AU20">
            <v>2.2650000000000006</v>
          </cell>
          <cell r="AV20">
            <v>2.0700000000000007</v>
          </cell>
          <cell r="AW20">
            <v>1.8750000000000007</v>
          </cell>
          <cell r="AX20">
            <v>1.6800000000000006</v>
          </cell>
          <cell r="AY20">
            <v>1.4850000000000005</v>
          </cell>
          <cell r="AZ20">
            <v>1.2900000000000005</v>
          </cell>
          <cell r="BA20">
            <v>1.0950000000000004</v>
          </cell>
          <cell r="BB20">
            <v>0.90000000000000036</v>
          </cell>
          <cell r="BC20">
            <v>0.90000000000000036</v>
          </cell>
          <cell r="BD20">
            <v>2.85</v>
          </cell>
          <cell r="BE20">
            <v>2.85</v>
          </cell>
        </row>
        <row r="21">
          <cell r="AB21">
            <v>8.6999999999999993</v>
          </cell>
          <cell r="AC21">
            <v>9.0449999999999999</v>
          </cell>
          <cell r="AD21">
            <v>9.39</v>
          </cell>
          <cell r="AE21">
            <v>9.7350000000000012</v>
          </cell>
          <cell r="AF21">
            <v>10.080000000000002</v>
          </cell>
          <cell r="AG21">
            <v>10.425000000000002</v>
          </cell>
          <cell r="AH21">
            <v>10.770000000000003</v>
          </cell>
          <cell r="AI21">
            <v>11.115000000000004</v>
          </cell>
          <cell r="AJ21">
            <v>11.460000000000004</v>
          </cell>
          <cell r="AK21">
            <v>11.805000000000005</v>
          </cell>
          <cell r="AL21">
            <v>12.150000000000006</v>
          </cell>
          <cell r="AM21">
            <v>12.150000000000006</v>
          </cell>
          <cell r="AN21">
            <v>8.6999999999999993</v>
          </cell>
          <cell r="AO21">
            <v>8.6999999999999993</v>
          </cell>
          <cell r="AR21">
            <v>-4.2786534524921533</v>
          </cell>
          <cell r="AS21">
            <v>-4.2786534524921533</v>
          </cell>
          <cell r="AT21">
            <v>-4.2786534524921533</v>
          </cell>
          <cell r="AU21">
            <v>-4.2786534524921533</v>
          </cell>
          <cell r="AV21">
            <v>-4.2786534524921533</v>
          </cell>
          <cell r="AW21">
            <v>-4.2786534524921533</v>
          </cell>
          <cell r="AX21">
            <v>-4.2786534524921533</v>
          </cell>
          <cell r="AY21">
            <v>-4.2786534524921533</v>
          </cell>
          <cell r="AZ21">
            <v>-4.2786534524921533</v>
          </cell>
          <cell r="BA21">
            <v>-4.2786534524921533</v>
          </cell>
          <cell r="BB21">
            <v>-4.2786534524921533</v>
          </cell>
          <cell r="BC21">
            <v>0.9</v>
          </cell>
          <cell r="BD21">
            <v>0.9</v>
          </cell>
          <cell r="BE21">
            <v>-4.2786534524921533</v>
          </cell>
        </row>
        <row r="22">
          <cell r="AB22">
            <v>3.374946669666151</v>
          </cell>
          <cell r="AC22">
            <v>3.4769819696661508</v>
          </cell>
          <cell r="AD22">
            <v>3.5790172696661506</v>
          </cell>
          <cell r="AE22">
            <v>3.6810525696661505</v>
          </cell>
          <cell r="AF22">
            <v>3.7830878696661503</v>
          </cell>
          <cell r="AG22">
            <v>3.8851231696661501</v>
          </cell>
          <cell r="AH22">
            <v>3.98715846966615</v>
          </cell>
          <cell r="AI22">
            <v>4.0891937696661502</v>
          </cell>
          <cell r="AJ22">
            <v>4.1912290696661501</v>
          </cell>
          <cell r="AK22">
            <v>4.2932643696661499</v>
          </cell>
          <cell r="AL22">
            <v>4.3952996696661497</v>
          </cell>
          <cell r="AM22">
            <v>4.4060029999999983</v>
          </cell>
          <cell r="AN22">
            <v>3.38565</v>
          </cell>
          <cell r="AO22">
            <v>3.374946669666151</v>
          </cell>
          <cell r="AR22">
            <v>3.43410482654452</v>
          </cell>
          <cell r="AS22">
            <v>3.4356544265445201</v>
          </cell>
          <cell r="AT22">
            <v>3.4372040265445203</v>
          </cell>
          <cell r="AU22">
            <v>3.4387536265445204</v>
          </cell>
          <cell r="AV22">
            <v>3.4403032265445206</v>
          </cell>
          <cell r="AW22">
            <v>3.4418528265445207</v>
          </cell>
          <cell r="AX22">
            <v>3.4434024265445209</v>
          </cell>
          <cell r="AY22">
            <v>3.444952026544521</v>
          </cell>
          <cell r="AZ22">
            <v>3.4465016265445212</v>
          </cell>
          <cell r="BA22">
            <v>3.4480512265445213</v>
          </cell>
          <cell r="BB22">
            <v>3.4496008265445215</v>
          </cell>
          <cell r="BC22">
            <v>2.7448270000000017</v>
          </cell>
          <cell r="BD22">
            <v>2.7293310000000002</v>
          </cell>
          <cell r="BE22">
            <v>3.43410482654452</v>
          </cell>
        </row>
        <row r="23">
          <cell r="AB23">
            <v>12.150000004094007</v>
          </cell>
          <cell r="AC23">
            <v>12.495081704094007</v>
          </cell>
          <cell r="AD23">
            <v>12.840163404094007</v>
          </cell>
          <cell r="AE23">
            <v>13.185245104094006</v>
          </cell>
          <cell r="AF23">
            <v>13.530326804094006</v>
          </cell>
          <cell r="AG23">
            <v>13.875408504094006</v>
          </cell>
          <cell r="AH23">
            <v>14.220490204094006</v>
          </cell>
          <cell r="AI23">
            <v>14.565571904094005</v>
          </cell>
          <cell r="AJ23">
            <v>14.910653604094005</v>
          </cell>
          <cell r="AK23">
            <v>15.255735304094005</v>
          </cell>
          <cell r="AL23">
            <v>15.600817004094004</v>
          </cell>
          <cell r="AM23">
            <v>15.600816999999997</v>
          </cell>
          <cell r="AN23">
            <v>12.15</v>
          </cell>
          <cell r="AO23">
            <v>12.150000004094007</v>
          </cell>
          <cell r="AR23">
            <v>0.90008614433746104</v>
          </cell>
          <cell r="AS23">
            <v>0.90006974433746101</v>
          </cell>
          <cell r="AT23">
            <v>0.90005334433746098</v>
          </cell>
          <cell r="AU23">
            <v>0.90003694433746095</v>
          </cell>
          <cell r="AV23">
            <v>0.90002054433746093</v>
          </cell>
          <cell r="AW23">
            <v>0.9000041443374609</v>
          </cell>
          <cell r="AX23">
            <v>0.89998774433746087</v>
          </cell>
          <cell r="AY23">
            <v>0.89997134433746084</v>
          </cell>
          <cell r="AZ23">
            <v>0.89995494433746082</v>
          </cell>
          <cell r="BA23">
            <v>0.89993854433746079</v>
          </cell>
          <cell r="BB23">
            <v>0.89992214433746076</v>
          </cell>
          <cell r="BC23">
            <v>0.89983599999999975</v>
          </cell>
          <cell r="BD23">
            <v>0.9</v>
          </cell>
          <cell r="BE23">
            <v>0.90008614433746104</v>
          </cell>
        </row>
        <row r="24">
          <cell r="AB24">
            <v>12.150036309938994</v>
          </cell>
          <cell r="AC24">
            <v>12.630036409938993</v>
          </cell>
          <cell r="AD24">
            <v>13.110036509938993</v>
          </cell>
          <cell r="AE24">
            <v>13.590036609938993</v>
          </cell>
          <cell r="AF24">
            <v>14.070036709938993</v>
          </cell>
          <cell r="AG24">
            <v>14.550036809938993</v>
          </cell>
          <cell r="AH24">
            <v>15.030036909938993</v>
          </cell>
          <cell r="AI24">
            <v>15.510037009938992</v>
          </cell>
          <cell r="AJ24">
            <v>15.990037109938992</v>
          </cell>
          <cell r="AK24">
            <v>16.47003720993899</v>
          </cell>
          <cell r="AL24">
            <v>16.950037309938992</v>
          </cell>
          <cell r="AM24">
            <v>16.950001</v>
          </cell>
          <cell r="AN24">
            <v>12.15</v>
          </cell>
          <cell r="AO24">
            <v>12.150036309938994</v>
          </cell>
          <cell r="AR24">
            <v>0.9000580959144916</v>
          </cell>
          <cell r="AS24">
            <v>0.60005809591449155</v>
          </cell>
          <cell r="AT24">
            <v>0.30005809591449151</v>
          </cell>
          <cell r="AU24">
            <v>5.809591449145584E-5</v>
          </cell>
          <cell r="AV24">
            <v>-0.29994190408550858</v>
          </cell>
          <cell r="AW24">
            <v>-0.59994190408550863</v>
          </cell>
          <cell r="AX24">
            <v>-0.89994190408550867</v>
          </cell>
          <cell r="AY24">
            <v>-1.1999419040855086</v>
          </cell>
          <cell r="AZ24">
            <v>-1.4999419040855086</v>
          </cell>
          <cell r="BA24">
            <v>-1.7999419040855087</v>
          </cell>
          <cell r="BB24">
            <v>-2.099941904085509</v>
          </cell>
          <cell r="BC24">
            <v>-2.1000000000000005</v>
          </cell>
          <cell r="BD24">
            <v>0.9</v>
          </cell>
          <cell r="BE24">
            <v>0.9000580959144916</v>
          </cell>
        </row>
        <row r="25">
          <cell r="AB25">
            <v>21.750036235695195</v>
          </cell>
          <cell r="AC25">
            <v>21.270036335695195</v>
          </cell>
          <cell r="AD25">
            <v>20.790036435695196</v>
          </cell>
          <cell r="AE25">
            <v>20.310036535695197</v>
          </cell>
          <cell r="AF25">
            <v>19.830036635695198</v>
          </cell>
          <cell r="AG25">
            <v>19.350036735695198</v>
          </cell>
          <cell r="AH25">
            <v>18.870036835695199</v>
          </cell>
          <cell r="AI25">
            <v>18.3900369356952</v>
          </cell>
          <cell r="AJ25">
            <v>17.910037035695201</v>
          </cell>
          <cell r="AK25">
            <v>17.430037135695201</v>
          </cell>
          <cell r="AL25">
            <v>16.950037235695202</v>
          </cell>
          <cell r="AM25">
            <v>16.950001000000007</v>
          </cell>
          <cell r="AN25">
            <v>21.75</v>
          </cell>
          <cell r="AO25">
            <v>21.750036235695195</v>
          </cell>
          <cell r="AR25">
            <v>0.89994202289976721</v>
          </cell>
          <cell r="AS25">
            <v>0.59994202289976717</v>
          </cell>
          <cell r="AT25">
            <v>0.29994202289976712</v>
          </cell>
          <cell r="AU25">
            <v>-5.797710023293767E-5</v>
          </cell>
          <cell r="AV25">
            <v>-0.30005797710023296</v>
          </cell>
          <cell r="AW25">
            <v>-0.60005797710023301</v>
          </cell>
          <cell r="AX25">
            <v>-0.90005797710023305</v>
          </cell>
          <cell r="AY25">
            <v>-1.2000579771002331</v>
          </cell>
          <cell r="AZ25">
            <v>-1.5000579771002331</v>
          </cell>
          <cell r="BA25">
            <v>-1.8000579771002332</v>
          </cell>
          <cell r="BB25">
            <v>-2.1000579771002332</v>
          </cell>
          <cell r="BC25">
            <v>-2.1000000000000005</v>
          </cell>
          <cell r="BD25">
            <v>0.9</v>
          </cell>
          <cell r="BE25">
            <v>0.89994202289976721</v>
          </cell>
        </row>
        <row r="26">
          <cell r="AB26">
            <v>16.95000097378858</v>
          </cell>
          <cell r="AC26">
            <v>17.087176473788581</v>
          </cell>
          <cell r="AD26">
            <v>17.224351973788583</v>
          </cell>
          <cell r="AE26">
            <v>17.361527473788584</v>
          </cell>
          <cell r="AF26">
            <v>17.498702973788586</v>
          </cell>
          <cell r="AG26">
            <v>17.635878473788587</v>
          </cell>
          <cell r="AH26">
            <v>17.773053973788588</v>
          </cell>
          <cell r="AI26">
            <v>17.91022947378859</v>
          </cell>
          <cell r="AJ26">
            <v>18.047404973788591</v>
          </cell>
          <cell r="AK26">
            <v>18.184580473788593</v>
          </cell>
          <cell r="AL26">
            <v>18.321755973788594</v>
          </cell>
          <cell r="AM26">
            <v>18.321756000000015</v>
          </cell>
          <cell r="AN26">
            <v>16.950001</v>
          </cell>
          <cell r="AO26">
            <v>16.95000097378858</v>
          </cell>
          <cell r="AR26">
            <v>0.89978075826092374</v>
          </cell>
          <cell r="AS26">
            <v>0.89976435826092371</v>
          </cell>
          <cell r="AT26">
            <v>0.89974795826092369</v>
          </cell>
          <cell r="AU26">
            <v>0.89973155826092366</v>
          </cell>
          <cell r="AV26">
            <v>0.89971515826092363</v>
          </cell>
          <cell r="AW26">
            <v>0.8996987582609236</v>
          </cell>
          <cell r="AX26">
            <v>0.89968235826092358</v>
          </cell>
          <cell r="AY26">
            <v>0.89966595826092355</v>
          </cell>
          <cell r="AZ26">
            <v>0.89964955826092352</v>
          </cell>
          <cell r="BA26">
            <v>0.89963315826092349</v>
          </cell>
          <cell r="BB26">
            <v>0.89961675826092347</v>
          </cell>
          <cell r="BC26">
            <v>0.89983599999999975</v>
          </cell>
          <cell r="BD26">
            <v>0.9</v>
          </cell>
          <cell r="BE26">
            <v>0.89978075826092374</v>
          </cell>
        </row>
        <row r="27">
          <cell r="AB27">
            <v>16.349766142805002</v>
          </cell>
          <cell r="AC27">
            <v>16.358331142805003</v>
          </cell>
          <cell r="AD27">
            <v>16.366896142805004</v>
          </cell>
          <cell r="AE27">
            <v>16.375461142805005</v>
          </cell>
          <cell r="AF27">
            <v>16.384026142805006</v>
          </cell>
          <cell r="AG27">
            <v>16.392591142805006</v>
          </cell>
          <cell r="AH27">
            <v>16.401156142805007</v>
          </cell>
          <cell r="AI27">
            <v>16.409721142805008</v>
          </cell>
          <cell r="AJ27">
            <v>16.418286142805009</v>
          </cell>
          <cell r="AK27">
            <v>16.42685114280501</v>
          </cell>
          <cell r="AL27">
            <v>16.435416142805011</v>
          </cell>
          <cell r="AM27">
            <v>16.43565000000001</v>
          </cell>
          <cell r="AN27">
            <v>16.350000000000001</v>
          </cell>
          <cell r="AO27">
            <v>16.349766142805002</v>
          </cell>
          <cell r="AR27">
            <v>3.5999769948525198</v>
          </cell>
          <cell r="AS27">
            <v>3.5129100948525198</v>
          </cell>
          <cell r="AT27">
            <v>3.4258431948525199</v>
          </cell>
          <cell r="AU27">
            <v>3.3387762948525199</v>
          </cell>
          <cell r="AV27">
            <v>3.25170939485252</v>
          </cell>
          <cell r="AW27">
            <v>3.16464249485252</v>
          </cell>
          <cell r="AX27">
            <v>3.0775755948525201</v>
          </cell>
          <cell r="AY27">
            <v>2.9905086948525201</v>
          </cell>
          <cell r="AZ27">
            <v>2.9034417948525202</v>
          </cell>
          <cell r="BA27">
            <v>2.8163748948525202</v>
          </cell>
          <cell r="BB27">
            <v>2.7293079948525203</v>
          </cell>
          <cell r="BC27">
            <v>2.7293310000000006</v>
          </cell>
          <cell r="BD27">
            <v>3.6</v>
          </cell>
          <cell r="BE27">
            <v>3.5999769948525198</v>
          </cell>
        </row>
        <row r="28">
          <cell r="AB28">
            <v>17.549749323356632</v>
          </cell>
          <cell r="AC28">
            <v>17.540349723356631</v>
          </cell>
          <cell r="AD28">
            <v>17.530950123356629</v>
          </cell>
          <cell r="AE28">
            <v>17.521550523356627</v>
          </cell>
          <cell r="AF28">
            <v>17.512150923356625</v>
          </cell>
          <cell r="AG28">
            <v>17.502751323356623</v>
          </cell>
          <cell r="AH28">
            <v>17.493351723356621</v>
          </cell>
          <cell r="AI28">
            <v>17.48395212335662</v>
          </cell>
          <cell r="AJ28">
            <v>17.474552523356618</v>
          </cell>
          <cell r="AK28">
            <v>17.465152923356616</v>
          </cell>
          <cell r="AL28">
            <v>17.455753323356614</v>
          </cell>
          <cell r="AM28">
            <v>17.456002999999981</v>
          </cell>
          <cell r="AN28">
            <v>17.549999</v>
          </cell>
          <cell r="AO28">
            <v>17.549749323356632</v>
          </cell>
          <cell r="AR28">
            <v>3.6000274431089032</v>
          </cell>
          <cell r="AS28">
            <v>3.5145101431089034</v>
          </cell>
          <cell r="AT28">
            <v>3.4289928431089032</v>
          </cell>
          <cell r="AU28">
            <v>3.3434755431089029</v>
          </cell>
          <cell r="AV28">
            <v>3.2579582431089027</v>
          </cell>
          <cell r="AW28">
            <v>3.1724409431089025</v>
          </cell>
          <cell r="AX28">
            <v>3.0869236431089022</v>
          </cell>
          <cell r="AY28">
            <v>3.001406343108902</v>
          </cell>
          <cell r="AZ28">
            <v>2.9158890431089017</v>
          </cell>
          <cell r="BA28">
            <v>2.8303717431089015</v>
          </cell>
          <cell r="BB28">
            <v>2.7448544431089013</v>
          </cell>
          <cell r="BC28">
            <v>2.7448269999999981</v>
          </cell>
          <cell r="BD28">
            <v>3.6</v>
          </cell>
          <cell r="BE28">
            <v>3.6000274431089032</v>
          </cell>
        </row>
        <row r="29">
          <cell r="AB29">
            <v>15.600817026663401</v>
          </cell>
          <cell r="AC29">
            <v>15.735735426663402</v>
          </cell>
          <cell r="AD29">
            <v>15.870653826663402</v>
          </cell>
          <cell r="AE29">
            <v>16.0055722266634</v>
          </cell>
          <cell r="AF29">
            <v>16.1404906266634</v>
          </cell>
          <cell r="AG29">
            <v>16.2754090266634</v>
          </cell>
          <cell r="AH29">
            <v>16.4103274266634</v>
          </cell>
          <cell r="AI29">
            <v>16.5452458266634</v>
          </cell>
          <cell r="AJ29">
            <v>16.6801642266634</v>
          </cell>
          <cell r="AK29">
            <v>16.815082626663401</v>
          </cell>
          <cell r="AL29">
            <v>16.950001026663401</v>
          </cell>
          <cell r="AM29">
            <v>16.950001</v>
          </cell>
          <cell r="AN29">
            <v>15.600816999999999</v>
          </cell>
          <cell r="AO29">
            <v>15.600817026663401</v>
          </cell>
          <cell r="AR29">
            <v>0.89961664735068414</v>
          </cell>
          <cell r="AS29">
            <v>0.89963304735068417</v>
          </cell>
          <cell r="AT29">
            <v>0.89964944735068419</v>
          </cell>
          <cell r="AU29">
            <v>0.89966584735068422</v>
          </cell>
          <cell r="AV29">
            <v>0.89968224735068425</v>
          </cell>
          <cell r="AW29">
            <v>0.89969864735068428</v>
          </cell>
          <cell r="AX29">
            <v>0.8997150473506843</v>
          </cell>
          <cell r="AY29">
            <v>0.89973144735068433</v>
          </cell>
          <cell r="AZ29">
            <v>0.89974784735068436</v>
          </cell>
          <cell r="BA29">
            <v>0.89976424735068439</v>
          </cell>
          <cell r="BB29">
            <v>0.89978064735068441</v>
          </cell>
          <cell r="BC29">
            <v>0.90000000000000024</v>
          </cell>
          <cell r="BD29">
            <v>0.89983599999999997</v>
          </cell>
          <cell r="BE29">
            <v>0.89961664735068414</v>
          </cell>
        </row>
        <row r="30">
          <cell r="AB30">
            <v>18.321755995821814</v>
          </cell>
          <cell r="AC30">
            <v>18.664580395821815</v>
          </cell>
          <cell r="AD30">
            <v>19.007404795821817</v>
          </cell>
          <cell r="AE30">
            <v>19.350229195821818</v>
          </cell>
          <cell r="AF30">
            <v>19.693053595821819</v>
          </cell>
          <cell r="AG30">
            <v>20.035877995821821</v>
          </cell>
          <cell r="AH30">
            <v>20.378702395821822</v>
          </cell>
          <cell r="AI30">
            <v>20.721526795821823</v>
          </cell>
          <cell r="AJ30">
            <v>21.064351195821825</v>
          </cell>
          <cell r="AK30">
            <v>21.407175595821826</v>
          </cell>
          <cell r="AL30">
            <v>21.749999995821828</v>
          </cell>
          <cell r="AM30">
            <v>21.750000000000014</v>
          </cell>
          <cell r="AN30">
            <v>18.321756000000001</v>
          </cell>
          <cell r="AO30">
            <v>18.321755995821814</v>
          </cell>
          <cell r="AR30">
            <v>0.89992334054511625</v>
          </cell>
          <cell r="AS30">
            <v>0.89993974054511627</v>
          </cell>
          <cell r="AT30">
            <v>0.8999561405451163</v>
          </cell>
          <cell r="AU30">
            <v>0.89997254054511633</v>
          </cell>
          <cell r="AV30">
            <v>0.89998894054511636</v>
          </cell>
          <cell r="AW30">
            <v>0.90000534054511638</v>
          </cell>
          <cell r="AX30">
            <v>0.90002174054511641</v>
          </cell>
          <cell r="AY30">
            <v>0.90003814054511644</v>
          </cell>
          <cell r="AZ30">
            <v>0.90005454054511647</v>
          </cell>
          <cell r="BA30">
            <v>0.90007094054511649</v>
          </cell>
          <cell r="BB30">
            <v>0.90008734054511652</v>
          </cell>
          <cell r="BC30">
            <v>0.90000000000000024</v>
          </cell>
          <cell r="BD30">
            <v>0.89983599999999997</v>
          </cell>
          <cell r="BE30">
            <v>0.89992334054511625</v>
          </cell>
        </row>
        <row r="31">
          <cell r="AB31">
            <v>16.435660455134535</v>
          </cell>
          <cell r="AC31">
            <v>16.487095555134534</v>
          </cell>
          <cell r="AD31">
            <v>16.538530655134533</v>
          </cell>
          <cell r="AE31">
            <v>16.589965755134532</v>
          </cell>
          <cell r="AF31">
            <v>16.641400855134531</v>
          </cell>
          <cell r="AG31">
            <v>16.69283595513453</v>
          </cell>
          <cell r="AH31">
            <v>16.744271055134529</v>
          </cell>
          <cell r="AI31">
            <v>16.795706155134528</v>
          </cell>
          <cell r="AJ31">
            <v>16.847141255134527</v>
          </cell>
          <cell r="AK31">
            <v>16.898576355134526</v>
          </cell>
          <cell r="AL31">
            <v>16.950011455134526</v>
          </cell>
          <cell r="AM31">
            <v>16.95000099999999</v>
          </cell>
          <cell r="AN31">
            <v>16.435649999999999</v>
          </cell>
          <cell r="AO31">
            <v>16.435660455134535</v>
          </cell>
          <cell r="AR31">
            <v>2.7293321135308193</v>
          </cell>
          <cell r="AS31">
            <v>2.2463990135308194</v>
          </cell>
          <cell r="AT31">
            <v>1.7634659135308193</v>
          </cell>
          <cell r="AU31">
            <v>1.2805328135308192</v>
          </cell>
          <cell r="AV31">
            <v>0.79759971353081904</v>
          </cell>
          <cell r="AW31">
            <v>0.31466661353081893</v>
          </cell>
          <cell r="AX31">
            <v>-0.1682664864691811</v>
          </cell>
          <cell r="AY31">
            <v>-0.65119958646918108</v>
          </cell>
          <cell r="AZ31">
            <v>-1.1341326864691812</v>
          </cell>
          <cell r="BA31">
            <v>-1.6170657864691813</v>
          </cell>
          <cell r="BB31">
            <v>-2.0999988864691814</v>
          </cell>
          <cell r="BC31">
            <v>-2.1000000000000005</v>
          </cell>
          <cell r="BD31">
            <v>2.7293310000000002</v>
          </cell>
          <cell r="BE31">
            <v>2.7293321135308193</v>
          </cell>
        </row>
        <row r="32">
          <cell r="AB32">
            <v>17.456013538774624</v>
          </cell>
          <cell r="AC32">
            <v>17.405413338774622</v>
          </cell>
          <cell r="AD32">
            <v>17.354813138774624</v>
          </cell>
          <cell r="AE32">
            <v>17.304212938774626</v>
          </cell>
          <cell r="AF32">
            <v>17.253612738774628</v>
          </cell>
          <cell r="AG32">
            <v>17.20301253877463</v>
          </cell>
          <cell r="AH32">
            <v>17.152412338774631</v>
          </cell>
          <cell r="AI32">
            <v>17.101812138774633</v>
          </cell>
          <cell r="AJ32">
            <v>17.051211938774635</v>
          </cell>
          <cell r="AK32">
            <v>17.000611738774637</v>
          </cell>
          <cell r="AL32">
            <v>16.950011538774639</v>
          </cell>
          <cell r="AM32">
            <v>16.950001000000015</v>
          </cell>
          <cell r="AN32">
            <v>17.456002999999999</v>
          </cell>
          <cell r="AO32">
            <v>17.456013538774624</v>
          </cell>
          <cell r="AR32">
            <v>2.7448258993123926</v>
          </cell>
          <cell r="AS32">
            <v>2.2603431993123926</v>
          </cell>
          <cell r="AT32">
            <v>1.7758604993123925</v>
          </cell>
          <cell r="AU32">
            <v>1.2913777993123925</v>
          </cell>
          <cell r="AV32">
            <v>0.80689509931239256</v>
          </cell>
          <cell r="AW32">
            <v>0.32241239931239252</v>
          </cell>
          <cell r="AX32">
            <v>-0.16207030068760755</v>
          </cell>
          <cell r="AY32">
            <v>-0.64655300068760757</v>
          </cell>
          <cell r="AZ32">
            <v>-1.1310357006876077</v>
          </cell>
          <cell r="BA32">
            <v>-1.6155184006876078</v>
          </cell>
          <cell r="BB32">
            <v>-2.1000011006876078</v>
          </cell>
          <cell r="BC32">
            <v>-2.1000000000000005</v>
          </cell>
          <cell r="BD32">
            <v>2.7448269999999999</v>
          </cell>
          <cell r="BE32">
            <v>2.7448258993123926</v>
          </cell>
        </row>
        <row r="33">
          <cell r="AB33">
            <v>16.434961972376851</v>
          </cell>
          <cell r="AC33">
            <v>16.351478672376849</v>
          </cell>
          <cell r="AD33">
            <v>16.267995372376848</v>
          </cell>
          <cell r="AE33">
            <v>16.184512072376847</v>
          </cell>
          <cell r="AF33">
            <v>16.101028772376846</v>
          </cell>
          <cell r="AG33">
            <v>16.017545472376845</v>
          </cell>
          <cell r="AH33">
            <v>15.934062172376848</v>
          </cell>
          <cell r="AI33">
            <v>15.850578872376849</v>
          </cell>
          <cell r="AJ33">
            <v>15.767095572376849</v>
          </cell>
          <cell r="AK33">
            <v>15.68361227237685</v>
          </cell>
          <cell r="AL33">
            <v>15.600128972376851</v>
          </cell>
          <cell r="AM33">
            <v>15.600816999999997</v>
          </cell>
          <cell r="AN33">
            <v>16.435649999999999</v>
          </cell>
          <cell r="AO33">
            <v>16.434961972376851</v>
          </cell>
          <cell r="AR33">
            <v>2.7296449599532737</v>
          </cell>
          <cell r="AS33">
            <v>2.5466954599532738</v>
          </cell>
          <cell r="AT33">
            <v>2.363745959953274</v>
          </cell>
          <cell r="AU33">
            <v>2.1807964599532741</v>
          </cell>
          <cell r="AV33">
            <v>1.9978469599532742</v>
          </cell>
          <cell r="AW33">
            <v>1.8148974599532741</v>
          </cell>
          <cell r="AX33">
            <v>1.631947959953274</v>
          </cell>
          <cell r="AY33">
            <v>1.4489984599532739</v>
          </cell>
          <cell r="AZ33">
            <v>1.2660489599532738</v>
          </cell>
          <cell r="BA33">
            <v>1.0830994599532737</v>
          </cell>
          <cell r="BB33">
            <v>0.90014995995327352</v>
          </cell>
          <cell r="BC33">
            <v>0.89983599999999986</v>
          </cell>
          <cell r="BD33">
            <v>2.7293310000000002</v>
          </cell>
          <cell r="BE33">
            <v>2.7296449599532737</v>
          </cell>
        </row>
        <row r="34">
          <cell r="AB34">
            <v>17.455343901188265</v>
          </cell>
          <cell r="AC34">
            <v>17.541919201188264</v>
          </cell>
          <cell r="AD34">
            <v>17.628494501188264</v>
          </cell>
          <cell r="AE34">
            <v>17.715069801188264</v>
          </cell>
          <cell r="AF34">
            <v>17.801645101188264</v>
          </cell>
          <cell r="AG34">
            <v>17.888220401188264</v>
          </cell>
          <cell r="AH34">
            <v>17.974795701188263</v>
          </cell>
          <cell r="AI34">
            <v>18.061371001188263</v>
          </cell>
          <cell r="AJ34">
            <v>18.147946301188263</v>
          </cell>
          <cell r="AK34">
            <v>18.234521601188263</v>
          </cell>
          <cell r="AL34">
            <v>18.321096901188263</v>
          </cell>
          <cell r="AM34">
            <v>18.321755999999997</v>
          </cell>
          <cell r="AN34">
            <v>17.456002999999999</v>
          </cell>
          <cell r="AO34">
            <v>17.455343901188265</v>
          </cell>
          <cell r="AR34">
            <v>2.7445177211072807</v>
          </cell>
          <cell r="AS34">
            <v>2.5600186211072806</v>
          </cell>
          <cell r="AT34">
            <v>2.3755195211072806</v>
          </cell>
          <cell r="AU34">
            <v>2.1910204211072806</v>
          </cell>
          <cell r="AV34">
            <v>2.0065213211072805</v>
          </cell>
          <cell r="AW34">
            <v>1.8220222211072805</v>
          </cell>
          <cell r="AX34">
            <v>1.6375231211072805</v>
          </cell>
          <cell r="AY34">
            <v>1.4530240211072805</v>
          </cell>
          <cell r="AZ34">
            <v>1.2685249211072804</v>
          </cell>
          <cell r="BA34">
            <v>1.0840258211072804</v>
          </cell>
          <cell r="BB34">
            <v>0.89952672110728049</v>
          </cell>
          <cell r="BC34">
            <v>0.89983599999999964</v>
          </cell>
          <cell r="BD34">
            <v>2.7448269999999999</v>
          </cell>
          <cell r="BE34">
            <v>2.7445177211072807</v>
          </cell>
        </row>
        <row r="35">
          <cell r="AB35">
            <v>16.435635434717891</v>
          </cell>
          <cell r="AC35">
            <v>16.537670734717892</v>
          </cell>
          <cell r="AD35">
            <v>16.639706034717893</v>
          </cell>
          <cell r="AE35">
            <v>16.741741334717894</v>
          </cell>
          <cell r="AF35">
            <v>16.843776634717894</v>
          </cell>
          <cell r="AG35">
            <v>16.945811934717895</v>
          </cell>
          <cell r="AH35">
            <v>17.047847234717896</v>
          </cell>
          <cell r="AI35">
            <v>17.149882534717896</v>
          </cell>
          <cell r="AJ35">
            <v>17.251917834717897</v>
          </cell>
          <cell r="AK35">
            <v>17.353953134717898</v>
          </cell>
          <cell r="AL35">
            <v>17.455988434717899</v>
          </cell>
          <cell r="AM35">
            <v>17.456003000000006</v>
          </cell>
          <cell r="AN35">
            <v>16.435649999999999</v>
          </cell>
          <cell r="AO35">
            <v>16.435635434717891</v>
          </cell>
          <cell r="AR35">
            <v>2.7302900687464451</v>
          </cell>
          <cell r="AS35">
            <v>2.7318396687464452</v>
          </cell>
          <cell r="AT35">
            <v>2.7333892687464454</v>
          </cell>
          <cell r="AU35">
            <v>2.7349388687464455</v>
          </cell>
          <cell r="AV35">
            <v>2.7364884687464457</v>
          </cell>
          <cell r="AW35">
            <v>2.7380380687464458</v>
          </cell>
          <cell r="AX35">
            <v>2.739587668746446</v>
          </cell>
          <cell r="AY35">
            <v>2.7411372687464461</v>
          </cell>
          <cell r="AZ35">
            <v>2.7426868687464463</v>
          </cell>
          <cell r="BA35">
            <v>2.7442364687464464</v>
          </cell>
          <cell r="BB35">
            <v>2.7457860687464466</v>
          </cell>
          <cell r="BC35">
            <v>2.7448270000000017</v>
          </cell>
          <cell r="BD35">
            <v>2.7293310000000002</v>
          </cell>
          <cell r="BE35">
            <v>2.7302900687464451</v>
          </cell>
        </row>
        <row r="36">
          <cell r="AB36">
            <v>7.6500000953674316</v>
          </cell>
          <cell r="AC36">
            <v>7.6500000953674316</v>
          </cell>
          <cell r="AD36">
            <v>7.6500000953674316</v>
          </cell>
          <cell r="AE36">
            <v>7.6500000953674316</v>
          </cell>
          <cell r="AF36">
            <v>7.6500000953674316</v>
          </cell>
          <cell r="AG36">
            <v>7.6500000953674316</v>
          </cell>
          <cell r="AH36">
            <v>7.6500000953674316</v>
          </cell>
          <cell r="AI36">
            <v>7.6500000953674316</v>
          </cell>
          <cell r="AJ36">
            <v>7.6500000953674316</v>
          </cell>
          <cell r="AK36">
            <v>7.6500000953674316</v>
          </cell>
          <cell r="AL36">
            <v>7.6500000953674316</v>
          </cell>
          <cell r="AM36">
            <v>7.6500000953674316</v>
          </cell>
          <cell r="AN36">
            <v>7.6500000953674316</v>
          </cell>
          <cell r="AO36">
            <v>7.6500000953674316</v>
          </cell>
          <cell r="AR36">
            <v>0.75</v>
          </cell>
          <cell r="AS36">
            <v>0.75</v>
          </cell>
          <cell r="AT36">
            <v>0.75</v>
          </cell>
          <cell r="AU36">
            <v>0.75</v>
          </cell>
          <cell r="AV36">
            <v>0.75</v>
          </cell>
          <cell r="AW36">
            <v>0.75</v>
          </cell>
          <cell r="AX36">
            <v>0.75</v>
          </cell>
          <cell r="AY36">
            <v>0.75</v>
          </cell>
          <cell r="AZ36">
            <v>0.75</v>
          </cell>
          <cell r="BA36">
            <v>0.75</v>
          </cell>
          <cell r="BB36">
            <v>0.75</v>
          </cell>
          <cell r="BC36">
            <v>0.75</v>
          </cell>
          <cell r="BD36">
            <v>0.75</v>
          </cell>
          <cell r="BE36">
            <v>0.75</v>
          </cell>
        </row>
        <row r="37">
          <cell r="AB37">
            <v>7.6500000953674316</v>
          </cell>
          <cell r="AC37">
            <v>7.6500000953674316</v>
          </cell>
          <cell r="AD37">
            <v>7.6500000953674316</v>
          </cell>
          <cell r="AE37">
            <v>7.6500000953674316</v>
          </cell>
          <cell r="AF37">
            <v>7.6500000953674316</v>
          </cell>
          <cell r="AG37">
            <v>7.6500000953674316</v>
          </cell>
          <cell r="AH37">
            <v>7.6500000953674316</v>
          </cell>
          <cell r="AI37">
            <v>7.6500000953674316</v>
          </cell>
          <cell r="AJ37">
            <v>7.6500000953674316</v>
          </cell>
          <cell r="AK37">
            <v>7.6500000953674316</v>
          </cell>
          <cell r="AL37">
            <v>7.6500000953674316</v>
          </cell>
          <cell r="AM37">
            <v>7.6500000953674316</v>
          </cell>
          <cell r="AN37">
            <v>7.6500000953674316</v>
          </cell>
          <cell r="AO37">
            <v>7.6500000953674316</v>
          </cell>
          <cell r="AR37">
            <v>0.75</v>
          </cell>
          <cell r="AS37">
            <v>0.75</v>
          </cell>
          <cell r="AT37">
            <v>0.75</v>
          </cell>
          <cell r="AU37">
            <v>0.75</v>
          </cell>
          <cell r="AV37">
            <v>0.75</v>
          </cell>
          <cell r="AW37">
            <v>0.75</v>
          </cell>
          <cell r="AX37">
            <v>0.75</v>
          </cell>
          <cell r="AY37">
            <v>0.75</v>
          </cell>
          <cell r="AZ37">
            <v>0.75</v>
          </cell>
          <cell r="BA37">
            <v>0.75</v>
          </cell>
          <cell r="BB37">
            <v>0.75</v>
          </cell>
          <cell r="BC37">
            <v>0.75</v>
          </cell>
          <cell r="BD37">
            <v>0.75</v>
          </cell>
          <cell r="BE37">
            <v>0.75</v>
          </cell>
        </row>
        <row r="38">
          <cell r="AB38">
            <v>7.6500000953674316</v>
          </cell>
          <cell r="AC38">
            <v>7.6500000953674316</v>
          </cell>
          <cell r="AD38">
            <v>7.6500000953674316</v>
          </cell>
          <cell r="AE38">
            <v>7.6500000953674316</v>
          </cell>
          <cell r="AF38">
            <v>7.6500000953674316</v>
          </cell>
          <cell r="AG38">
            <v>7.6500000953674316</v>
          </cell>
          <cell r="AH38">
            <v>7.6500000953674316</v>
          </cell>
          <cell r="AI38">
            <v>7.6500000953674316</v>
          </cell>
          <cell r="AJ38">
            <v>7.6500000953674316</v>
          </cell>
          <cell r="AK38">
            <v>7.6500000953674316</v>
          </cell>
          <cell r="AL38">
            <v>7.6500000953674316</v>
          </cell>
          <cell r="AM38">
            <v>7.6500000953674316</v>
          </cell>
          <cell r="AN38">
            <v>7.6500000953674316</v>
          </cell>
          <cell r="AO38">
            <v>7.6500000953674316</v>
          </cell>
          <cell r="AR38">
            <v>0.75</v>
          </cell>
          <cell r="AS38">
            <v>0.75</v>
          </cell>
          <cell r="AT38">
            <v>0.75</v>
          </cell>
          <cell r="AU38">
            <v>0.75</v>
          </cell>
          <cell r="AV38">
            <v>0.75</v>
          </cell>
          <cell r="AW38">
            <v>0.75</v>
          </cell>
          <cell r="AX38">
            <v>0.75</v>
          </cell>
          <cell r="AY38">
            <v>0.75</v>
          </cell>
          <cell r="AZ38">
            <v>0.75</v>
          </cell>
          <cell r="BA38">
            <v>0.75</v>
          </cell>
          <cell r="BB38">
            <v>0.75</v>
          </cell>
          <cell r="BC38">
            <v>0.75</v>
          </cell>
          <cell r="BD38">
            <v>0.75</v>
          </cell>
          <cell r="BE38">
            <v>0.75</v>
          </cell>
        </row>
        <row r="39">
          <cell r="AB39">
            <v>7.6500000953674316</v>
          </cell>
          <cell r="AC39">
            <v>7.6500000953674316</v>
          </cell>
          <cell r="AD39">
            <v>7.6500000953674316</v>
          </cell>
          <cell r="AE39">
            <v>7.6500000953674316</v>
          </cell>
          <cell r="AF39">
            <v>7.6500000953674316</v>
          </cell>
          <cell r="AG39">
            <v>7.6500000953674316</v>
          </cell>
          <cell r="AH39">
            <v>7.6500000953674316</v>
          </cell>
          <cell r="AI39">
            <v>7.6500000953674316</v>
          </cell>
          <cell r="AJ39">
            <v>7.6500000953674316</v>
          </cell>
          <cell r="AK39">
            <v>7.6500000953674316</v>
          </cell>
          <cell r="AL39">
            <v>7.6500000953674316</v>
          </cell>
          <cell r="AM39">
            <v>7.6500000953674316</v>
          </cell>
          <cell r="AN39">
            <v>7.6500000953674316</v>
          </cell>
          <cell r="AO39">
            <v>7.6500000953674316</v>
          </cell>
          <cell r="AR39">
            <v>0.75</v>
          </cell>
          <cell r="AS39">
            <v>0.75</v>
          </cell>
          <cell r="AT39">
            <v>0.75</v>
          </cell>
          <cell r="AU39">
            <v>0.75</v>
          </cell>
          <cell r="AV39">
            <v>0.75</v>
          </cell>
          <cell r="AW39">
            <v>0.75</v>
          </cell>
          <cell r="AX39">
            <v>0.75</v>
          </cell>
          <cell r="AY39">
            <v>0.75</v>
          </cell>
          <cell r="AZ39">
            <v>0.75</v>
          </cell>
          <cell r="BA39">
            <v>0.75</v>
          </cell>
          <cell r="BB39">
            <v>0.75</v>
          </cell>
          <cell r="BC39">
            <v>0.75</v>
          </cell>
          <cell r="BD39">
            <v>0.75</v>
          </cell>
          <cell r="BE39">
            <v>0.75</v>
          </cell>
        </row>
        <row r="40">
          <cell r="AB40">
            <v>7.6500000953674316</v>
          </cell>
          <cell r="AC40">
            <v>7.6500000953674316</v>
          </cell>
          <cell r="AD40">
            <v>7.6500000953674316</v>
          </cell>
          <cell r="AE40">
            <v>7.6500000953674316</v>
          </cell>
          <cell r="AF40">
            <v>7.6500000953674316</v>
          </cell>
          <cell r="AG40">
            <v>7.6500000953674316</v>
          </cell>
          <cell r="AH40">
            <v>7.6500000953674316</v>
          </cell>
          <cell r="AI40">
            <v>7.6500000953674316</v>
          </cell>
          <cell r="AJ40">
            <v>7.6500000953674316</v>
          </cell>
          <cell r="AK40">
            <v>7.6500000953674316</v>
          </cell>
          <cell r="AL40">
            <v>7.6500000953674316</v>
          </cell>
          <cell r="AM40">
            <v>7.6500000953674316</v>
          </cell>
          <cell r="AN40">
            <v>7.6500000953674316</v>
          </cell>
          <cell r="AO40">
            <v>7.6500000953674316</v>
          </cell>
          <cell r="AR40">
            <v>0.75</v>
          </cell>
          <cell r="AS40">
            <v>0.75</v>
          </cell>
          <cell r="AT40">
            <v>0.75</v>
          </cell>
          <cell r="AU40">
            <v>0.75</v>
          </cell>
          <cell r="AV40">
            <v>0.75</v>
          </cell>
          <cell r="AW40">
            <v>0.75</v>
          </cell>
          <cell r="AX40">
            <v>0.75</v>
          </cell>
          <cell r="AY40">
            <v>0.75</v>
          </cell>
          <cell r="AZ40">
            <v>0.75</v>
          </cell>
          <cell r="BA40">
            <v>0.75</v>
          </cell>
          <cell r="BB40">
            <v>0.75</v>
          </cell>
          <cell r="BC40">
            <v>0.75</v>
          </cell>
          <cell r="BD40">
            <v>0.75</v>
          </cell>
          <cell r="BE40">
            <v>0.75</v>
          </cell>
        </row>
        <row r="41">
          <cell r="AB41">
            <v>7.6500000953674316</v>
          </cell>
          <cell r="AC41">
            <v>7.6500000953674316</v>
          </cell>
          <cell r="AD41">
            <v>7.6500000953674316</v>
          </cell>
          <cell r="AE41">
            <v>7.6500000953674316</v>
          </cell>
          <cell r="AF41">
            <v>7.6500000953674316</v>
          </cell>
          <cell r="AG41">
            <v>7.6500000953674316</v>
          </cell>
          <cell r="AH41">
            <v>7.6500000953674316</v>
          </cell>
          <cell r="AI41">
            <v>7.6500000953674316</v>
          </cell>
          <cell r="AJ41">
            <v>7.6500000953674316</v>
          </cell>
          <cell r="AK41">
            <v>7.6500000953674316</v>
          </cell>
          <cell r="AL41">
            <v>7.6500000953674316</v>
          </cell>
          <cell r="AM41">
            <v>7.6500000953674316</v>
          </cell>
          <cell r="AN41">
            <v>7.6500000953674316</v>
          </cell>
          <cell r="AO41">
            <v>7.6500000953674316</v>
          </cell>
          <cell r="AR41">
            <v>0.75</v>
          </cell>
          <cell r="AS41">
            <v>0.75</v>
          </cell>
          <cell r="AT41">
            <v>0.75</v>
          </cell>
          <cell r="AU41">
            <v>0.75</v>
          </cell>
          <cell r="AV41">
            <v>0.75</v>
          </cell>
          <cell r="AW41">
            <v>0.75</v>
          </cell>
          <cell r="AX41">
            <v>0.75</v>
          </cell>
          <cell r="AY41">
            <v>0.75</v>
          </cell>
          <cell r="AZ41">
            <v>0.75</v>
          </cell>
          <cell r="BA41">
            <v>0.75</v>
          </cell>
          <cell r="BB41">
            <v>0.75</v>
          </cell>
          <cell r="BC41">
            <v>0.75</v>
          </cell>
          <cell r="BD41">
            <v>0.75</v>
          </cell>
          <cell r="BE41">
            <v>0.75</v>
          </cell>
        </row>
        <row r="42">
          <cell r="AB42">
            <v>7.6500000953674316</v>
          </cell>
          <cell r="AC42">
            <v>7.6500000953674316</v>
          </cell>
          <cell r="AD42">
            <v>7.6500000953674316</v>
          </cell>
          <cell r="AE42">
            <v>7.6500000953674316</v>
          </cell>
          <cell r="AF42">
            <v>7.6500000953674316</v>
          </cell>
          <cell r="AG42">
            <v>7.6500000953674316</v>
          </cell>
          <cell r="AH42">
            <v>7.6500000953674316</v>
          </cell>
          <cell r="AI42">
            <v>7.6500000953674316</v>
          </cell>
          <cell r="AJ42">
            <v>7.6500000953674316</v>
          </cell>
          <cell r="AK42">
            <v>7.6500000953674316</v>
          </cell>
          <cell r="AL42">
            <v>7.6500000953674316</v>
          </cell>
          <cell r="AM42">
            <v>7.6500000953674316</v>
          </cell>
          <cell r="AN42">
            <v>7.6500000953674316</v>
          </cell>
          <cell r="AO42">
            <v>7.6500000953674316</v>
          </cell>
          <cell r="AR42">
            <v>0.75</v>
          </cell>
          <cell r="AS42">
            <v>0.75</v>
          </cell>
          <cell r="AT42">
            <v>0.75</v>
          </cell>
          <cell r="AU42">
            <v>0.75</v>
          </cell>
          <cell r="AV42">
            <v>0.75</v>
          </cell>
          <cell r="AW42">
            <v>0.75</v>
          </cell>
          <cell r="AX42">
            <v>0.75</v>
          </cell>
          <cell r="AY42">
            <v>0.75</v>
          </cell>
          <cell r="AZ42">
            <v>0.75</v>
          </cell>
          <cell r="BA42">
            <v>0.75</v>
          </cell>
          <cell r="BB42">
            <v>0.75</v>
          </cell>
          <cell r="BC42">
            <v>0.75</v>
          </cell>
          <cell r="BD42">
            <v>0.75</v>
          </cell>
          <cell r="BE42">
            <v>0.75</v>
          </cell>
        </row>
      </sheetData>
      <sheetData sheetId="19">
        <row r="3">
          <cell r="AB3">
            <v>-3.75</v>
          </cell>
          <cell r="AC3">
            <v>-3.4649999999999999</v>
          </cell>
          <cell r="AD3">
            <v>-3.1799999999999997</v>
          </cell>
          <cell r="AE3">
            <v>-2.8949999999999996</v>
          </cell>
          <cell r="AF3">
            <v>-2.6099999999999994</v>
          </cell>
          <cell r="AG3">
            <v>-2.3249999999999993</v>
          </cell>
          <cell r="AH3">
            <v>-2.0399999999999991</v>
          </cell>
          <cell r="AI3">
            <v>-1.754999999999999</v>
          </cell>
          <cell r="AJ3">
            <v>-1.4699999999999989</v>
          </cell>
          <cell r="AK3">
            <v>-1.1849999999999987</v>
          </cell>
          <cell r="AL3">
            <v>-0.89999999999999869</v>
          </cell>
          <cell r="AM3">
            <v>-0.89999999999999869</v>
          </cell>
          <cell r="AN3">
            <v>-3.75</v>
          </cell>
          <cell r="AO3">
            <v>-3.75</v>
          </cell>
          <cell r="AR3">
            <v>0.9</v>
          </cell>
          <cell r="AS3">
            <v>0.9</v>
          </cell>
          <cell r="AT3">
            <v>0.9</v>
          </cell>
          <cell r="AU3">
            <v>0.9</v>
          </cell>
          <cell r="AV3">
            <v>0.9</v>
          </cell>
          <cell r="AW3">
            <v>0.9</v>
          </cell>
          <cell r="AX3">
            <v>0.9</v>
          </cell>
          <cell r="AY3">
            <v>0.9</v>
          </cell>
          <cell r="AZ3">
            <v>0.9</v>
          </cell>
          <cell r="BA3">
            <v>0.9</v>
          </cell>
          <cell r="BB3">
            <v>0.9</v>
          </cell>
          <cell r="BC3">
            <v>0.9</v>
          </cell>
          <cell r="BD3">
            <v>0.9</v>
          </cell>
          <cell r="BE3">
            <v>0.9</v>
          </cell>
        </row>
        <row r="4">
          <cell r="AB4">
            <v>-0.9</v>
          </cell>
          <cell r="AC4">
            <v>-0.55491829999999998</v>
          </cell>
          <cell r="AD4">
            <v>-0.20983659999999998</v>
          </cell>
          <cell r="AE4">
            <v>0.13524510000000001</v>
          </cell>
          <cell r="AF4">
            <v>0.4803268</v>
          </cell>
          <cell r="AG4">
            <v>0.82540849999999999</v>
          </cell>
          <cell r="AH4">
            <v>1.1704901999999999</v>
          </cell>
          <cell r="AI4">
            <v>1.5155718999999999</v>
          </cell>
          <cell r="AJ4">
            <v>1.8606535999999998</v>
          </cell>
          <cell r="AK4">
            <v>2.2057352999999997</v>
          </cell>
          <cell r="AL4">
            <v>2.5508169999999999</v>
          </cell>
          <cell r="AM4">
            <v>2.5508169999999999</v>
          </cell>
          <cell r="AN4">
            <v>-0.9</v>
          </cell>
          <cell r="AO4">
            <v>-0.9</v>
          </cell>
          <cell r="AR4">
            <v>0.9</v>
          </cell>
          <cell r="AS4">
            <v>0.89998359999999999</v>
          </cell>
          <cell r="AT4">
            <v>0.89996719999999997</v>
          </cell>
          <cell r="AU4">
            <v>0.89995079999999994</v>
          </cell>
          <cell r="AV4">
            <v>0.89993439999999991</v>
          </cell>
          <cell r="AW4">
            <v>0.89991799999999988</v>
          </cell>
          <cell r="AX4">
            <v>0.89990159999999986</v>
          </cell>
          <cell r="AY4">
            <v>0.89988519999999983</v>
          </cell>
          <cell r="AZ4">
            <v>0.8998687999999998</v>
          </cell>
          <cell r="BA4">
            <v>0.89985239999999977</v>
          </cell>
          <cell r="BB4">
            <v>0.89983599999999975</v>
          </cell>
          <cell r="BC4">
            <v>0.89983599999999975</v>
          </cell>
          <cell r="BD4">
            <v>0.9</v>
          </cell>
          <cell r="BE4">
            <v>0.9</v>
          </cell>
        </row>
        <row r="5">
          <cell r="AB5">
            <v>-0.85628246522998241</v>
          </cell>
          <cell r="AC5">
            <v>-0.37628246522998232</v>
          </cell>
          <cell r="AD5">
            <v>0.10371753477001769</v>
          </cell>
          <cell r="AE5">
            <v>0.58371753477001764</v>
          </cell>
          <cell r="AF5">
            <v>1.0637175347700176</v>
          </cell>
          <cell r="AG5">
            <v>1.5437175347700176</v>
          </cell>
          <cell r="AH5">
            <v>2.0237175347700176</v>
          </cell>
          <cell r="AI5">
            <v>2.5037175347700176</v>
          </cell>
          <cell r="AJ5">
            <v>2.9837175347700176</v>
          </cell>
          <cell r="AK5">
            <v>3.4637175347700175</v>
          </cell>
          <cell r="AL5">
            <v>3.9437175347700175</v>
          </cell>
          <cell r="AM5">
            <v>3.9</v>
          </cell>
          <cell r="AN5">
            <v>-0.9</v>
          </cell>
          <cell r="AO5">
            <v>-0.85628246522998241</v>
          </cell>
          <cell r="AR5">
            <v>0.96994805563202824</v>
          </cell>
          <cell r="AS5">
            <v>0.66994805563202819</v>
          </cell>
          <cell r="AT5">
            <v>0.36994805563202815</v>
          </cell>
          <cell r="AU5">
            <v>6.9948055632028133E-2</v>
          </cell>
          <cell r="AV5">
            <v>-0.23005194436797191</v>
          </cell>
          <cell r="AW5">
            <v>-0.53005194436797198</v>
          </cell>
          <cell r="AX5">
            <v>-0.83005194436797203</v>
          </cell>
          <cell r="AY5">
            <v>-1.130051944367972</v>
          </cell>
          <cell r="AZ5">
            <v>-1.430051944367972</v>
          </cell>
          <cell r="BA5">
            <v>-1.730051944367972</v>
          </cell>
          <cell r="BB5">
            <v>-2.0300519443679721</v>
          </cell>
          <cell r="BC5">
            <v>-2.1000000000000005</v>
          </cell>
          <cell r="BD5">
            <v>0.9</v>
          </cell>
          <cell r="BE5">
            <v>0.96994805563202824</v>
          </cell>
        </row>
        <row r="6">
          <cell r="AB6">
            <v>11.444680840464649</v>
          </cell>
          <cell r="AC6">
            <v>10.964680840464649</v>
          </cell>
          <cell r="AD6">
            <v>10.484680840464648</v>
          </cell>
          <cell r="AE6">
            <v>10.004680840464648</v>
          </cell>
          <cell r="AF6">
            <v>9.5246808404646472</v>
          </cell>
          <cell r="AG6">
            <v>9.0446808404646468</v>
          </cell>
          <cell r="AH6">
            <v>8.5646808404646464</v>
          </cell>
          <cell r="AI6">
            <v>8.084680840464646</v>
          </cell>
          <cell r="AJ6">
            <v>7.6046808404646455</v>
          </cell>
          <cell r="AK6">
            <v>7.1246808404646451</v>
          </cell>
          <cell r="AL6">
            <v>6.6446808404646447</v>
          </cell>
          <cell r="AM6">
            <v>3.8999999999999955</v>
          </cell>
          <cell r="AN6">
            <v>8.6999999999999993</v>
          </cell>
          <cell r="AO6">
            <v>11.444680840464649</v>
          </cell>
          <cell r="AR6">
            <v>-3.4914893447434392</v>
          </cell>
          <cell r="AS6">
            <v>-3.791489344743439</v>
          </cell>
          <cell r="AT6">
            <v>-4.0914893447434393</v>
          </cell>
          <cell r="AU6">
            <v>-4.3914893447434391</v>
          </cell>
          <cell r="AV6">
            <v>-4.6914893447434389</v>
          </cell>
          <cell r="AW6">
            <v>-4.9914893447434396</v>
          </cell>
          <cell r="AX6">
            <v>-5.2914893447434395</v>
          </cell>
          <cell r="AY6">
            <v>-5.5914893447434393</v>
          </cell>
          <cell r="AZ6">
            <v>-5.8914893447434391</v>
          </cell>
          <cell r="BA6">
            <v>-6.1914893447434398</v>
          </cell>
          <cell r="BB6">
            <v>-6.4914893447434396</v>
          </cell>
          <cell r="BC6">
            <v>-2.1000000000000005</v>
          </cell>
          <cell r="BD6">
            <v>0.9</v>
          </cell>
          <cell r="BE6">
            <v>-3.4914893447434392</v>
          </cell>
          <cell r="BH6">
            <v>-7.3000000000000007</v>
          </cell>
          <cell r="BI6">
            <v>13.5</v>
          </cell>
        </row>
        <row r="7">
          <cell r="AB7">
            <v>3.9</v>
          </cell>
          <cell r="AC7">
            <v>4.0371756000000003</v>
          </cell>
          <cell r="AD7">
            <v>4.1743512000000003</v>
          </cell>
          <cell r="AE7">
            <v>4.3115268000000002</v>
          </cell>
          <cell r="AF7">
            <v>4.4487024000000002</v>
          </cell>
          <cell r="AG7">
            <v>4.5858780000000001</v>
          </cell>
          <cell r="AH7">
            <v>4.7230536000000001</v>
          </cell>
          <cell r="AI7">
            <v>4.8602292</v>
          </cell>
          <cell r="AJ7">
            <v>4.9974048</v>
          </cell>
          <cell r="AK7">
            <v>5.1345803999999999</v>
          </cell>
          <cell r="AL7">
            <v>5.2717559999999999</v>
          </cell>
          <cell r="AM7">
            <v>5.2717559999999999</v>
          </cell>
          <cell r="AN7">
            <v>3.9</v>
          </cell>
          <cell r="AO7">
            <v>3.9</v>
          </cell>
          <cell r="AR7">
            <v>0.9</v>
          </cell>
          <cell r="AS7">
            <v>0.89998359999999999</v>
          </cell>
          <cell r="AT7">
            <v>0.89996719999999997</v>
          </cell>
          <cell r="AU7">
            <v>0.89995079999999994</v>
          </cell>
          <cell r="AV7">
            <v>0.89993439999999991</v>
          </cell>
          <cell r="AW7">
            <v>0.89991799999999988</v>
          </cell>
          <cell r="AX7">
            <v>0.89990159999999986</v>
          </cell>
          <cell r="AY7">
            <v>0.89988519999999983</v>
          </cell>
          <cell r="AZ7">
            <v>0.8998687999999998</v>
          </cell>
          <cell r="BA7">
            <v>0.89985239999999977</v>
          </cell>
          <cell r="BB7">
            <v>0.89983599999999975</v>
          </cell>
          <cell r="BC7">
            <v>0.89983599999999975</v>
          </cell>
          <cell r="BD7">
            <v>0.9</v>
          </cell>
          <cell r="BE7">
            <v>0.9</v>
          </cell>
          <cell r="BH7">
            <v>22.7</v>
          </cell>
          <cell r="BI7">
            <v>13.5</v>
          </cell>
        </row>
        <row r="8">
          <cell r="AB8">
            <v>3.3</v>
          </cell>
          <cell r="AC8">
            <v>3.3085649999999998</v>
          </cell>
          <cell r="AD8">
            <v>3.3171299999999997</v>
          </cell>
          <cell r="AE8">
            <v>3.3256949999999996</v>
          </cell>
          <cell r="AF8">
            <v>3.3342599999999996</v>
          </cell>
          <cell r="AG8">
            <v>3.3428249999999995</v>
          </cell>
          <cell r="AH8">
            <v>3.3513899999999994</v>
          </cell>
          <cell r="AI8">
            <v>3.3599549999999994</v>
          </cell>
          <cell r="AJ8">
            <v>3.3685199999999993</v>
          </cell>
          <cell r="AK8">
            <v>3.3770849999999992</v>
          </cell>
          <cell r="AL8">
            <v>3.3856499999999992</v>
          </cell>
          <cell r="AM8">
            <v>3.3856499999999992</v>
          </cell>
          <cell r="AN8">
            <v>3.3</v>
          </cell>
          <cell r="AO8">
            <v>3.3</v>
          </cell>
          <cell r="AR8">
            <v>3.6</v>
          </cell>
          <cell r="AS8">
            <v>3.5129331000000001</v>
          </cell>
          <cell r="AT8">
            <v>3.4258662000000002</v>
          </cell>
          <cell r="AU8">
            <v>3.3387993000000002</v>
          </cell>
          <cell r="AV8">
            <v>3.2517324000000003</v>
          </cell>
          <cell r="AW8">
            <v>3.1646655000000004</v>
          </cell>
          <cell r="AX8">
            <v>3.0775986000000004</v>
          </cell>
          <cell r="AY8">
            <v>2.9905317000000005</v>
          </cell>
          <cell r="AZ8">
            <v>2.9034648000000005</v>
          </cell>
          <cell r="BA8">
            <v>2.8163979000000006</v>
          </cell>
          <cell r="BB8">
            <v>2.7293310000000006</v>
          </cell>
          <cell r="BC8">
            <v>2.7293310000000006</v>
          </cell>
          <cell r="BD8">
            <v>3.6</v>
          </cell>
          <cell r="BE8">
            <v>3.6</v>
          </cell>
          <cell r="BH8">
            <v>22.7</v>
          </cell>
          <cell r="BI8">
            <v>-16.5</v>
          </cell>
        </row>
        <row r="9">
          <cell r="AB9">
            <v>4.5</v>
          </cell>
          <cell r="AC9">
            <v>4.4906002999999997</v>
          </cell>
          <cell r="AD9">
            <v>4.4812005999999993</v>
          </cell>
          <cell r="AE9">
            <v>4.471800899999999</v>
          </cell>
          <cell r="AF9">
            <v>4.4624011999999986</v>
          </cell>
          <cell r="AG9">
            <v>4.4530014999999983</v>
          </cell>
          <cell r="AH9">
            <v>4.4436017999999979</v>
          </cell>
          <cell r="AI9">
            <v>4.4342020999999976</v>
          </cell>
          <cell r="AJ9">
            <v>4.4248023999999972</v>
          </cell>
          <cell r="AK9">
            <v>4.4154026999999969</v>
          </cell>
          <cell r="AL9">
            <v>4.4060029999999966</v>
          </cell>
          <cell r="AM9">
            <v>4.4060029999999966</v>
          </cell>
          <cell r="AN9">
            <v>4.5</v>
          </cell>
          <cell r="AO9">
            <v>4.5</v>
          </cell>
          <cell r="AR9">
            <v>3.6</v>
          </cell>
          <cell r="AS9">
            <v>3.5144827000000003</v>
          </cell>
          <cell r="AT9">
            <v>3.4289654000000001</v>
          </cell>
          <cell r="AU9">
            <v>3.3434480999999998</v>
          </cell>
          <cell r="AV9">
            <v>3.2579307999999996</v>
          </cell>
          <cell r="AW9">
            <v>3.1724134999999993</v>
          </cell>
          <cell r="AX9">
            <v>3.0868961999999991</v>
          </cell>
          <cell r="AY9">
            <v>3.0013788999999989</v>
          </cell>
          <cell r="AZ9">
            <v>2.9158615999999986</v>
          </cell>
          <cell r="BA9">
            <v>2.8303442999999984</v>
          </cell>
          <cell r="BB9">
            <v>2.7448269999999981</v>
          </cell>
          <cell r="BC9">
            <v>2.7448269999999981</v>
          </cell>
          <cell r="BD9">
            <v>3.6</v>
          </cell>
          <cell r="BE9">
            <v>3.6</v>
          </cell>
          <cell r="BH9">
            <v>-7.3000000000000007</v>
          </cell>
          <cell r="BI9">
            <v>-16.5</v>
          </cell>
        </row>
        <row r="10">
          <cell r="AB10">
            <v>2.5508169999999999</v>
          </cell>
          <cell r="AC10">
            <v>2.6857352999999997</v>
          </cell>
          <cell r="AD10">
            <v>2.8206535999999995</v>
          </cell>
          <cell r="AE10">
            <v>2.9555718999999994</v>
          </cell>
          <cell r="AF10">
            <v>3.0904901999999992</v>
          </cell>
          <cell r="AG10">
            <v>3.225408499999999</v>
          </cell>
          <cell r="AH10">
            <v>3.3603267999999988</v>
          </cell>
          <cell r="AI10">
            <v>3.4952450999999987</v>
          </cell>
          <cell r="AJ10">
            <v>3.6301633999999985</v>
          </cell>
          <cell r="AK10">
            <v>3.7650816999999983</v>
          </cell>
          <cell r="AL10">
            <v>3.8999999999999981</v>
          </cell>
          <cell r="AM10">
            <v>3.8999999999999981</v>
          </cell>
          <cell r="AN10">
            <v>2.5508169999999999</v>
          </cell>
          <cell r="AO10">
            <v>2.5508169999999999</v>
          </cell>
          <cell r="AR10">
            <v>0.89983599999999997</v>
          </cell>
          <cell r="AS10">
            <v>0.8998524</v>
          </cell>
          <cell r="AT10">
            <v>0.89986880000000002</v>
          </cell>
          <cell r="AU10">
            <v>0.89988520000000005</v>
          </cell>
          <cell r="AV10">
            <v>0.89990160000000008</v>
          </cell>
          <cell r="AW10">
            <v>0.89991800000000011</v>
          </cell>
          <cell r="AX10">
            <v>0.89993440000000013</v>
          </cell>
          <cell r="AY10">
            <v>0.89995080000000016</v>
          </cell>
          <cell r="AZ10">
            <v>0.89996720000000019</v>
          </cell>
          <cell r="BA10">
            <v>0.89998360000000022</v>
          </cell>
          <cell r="BB10">
            <v>0.90000000000000024</v>
          </cell>
          <cell r="BC10">
            <v>0.90000000000000024</v>
          </cell>
          <cell r="BD10">
            <v>0.89983599999999997</v>
          </cell>
          <cell r="BE10">
            <v>0.89983599999999997</v>
          </cell>
          <cell r="BH10">
            <v>-7.3000000000000007</v>
          </cell>
          <cell r="BI10">
            <v>13.5</v>
          </cell>
        </row>
        <row r="11">
          <cell r="AB11">
            <v>5.2717559999999999</v>
          </cell>
          <cell r="AC11">
            <v>5.6145803999999995</v>
          </cell>
          <cell r="AD11">
            <v>5.9574047999999991</v>
          </cell>
          <cell r="AE11">
            <v>6.3002291999999986</v>
          </cell>
          <cell r="AF11">
            <v>6.6430535999999982</v>
          </cell>
          <cell r="AG11">
            <v>6.9858779999999978</v>
          </cell>
          <cell r="AH11">
            <v>7.3287023999999974</v>
          </cell>
          <cell r="AI11">
            <v>7.671526799999997</v>
          </cell>
          <cell r="AJ11">
            <v>8.0143511999999966</v>
          </cell>
          <cell r="AK11">
            <v>8.3571755999999962</v>
          </cell>
          <cell r="AL11">
            <v>8.6999999999999957</v>
          </cell>
          <cell r="AM11">
            <v>8.6999999999999957</v>
          </cell>
          <cell r="AN11">
            <v>5.2717559999999999</v>
          </cell>
          <cell r="AO11">
            <v>5.2717559999999999</v>
          </cell>
          <cell r="AR11">
            <v>0.89983599999999997</v>
          </cell>
          <cell r="AS11">
            <v>0.8998524</v>
          </cell>
          <cell r="AT11">
            <v>0.89986880000000002</v>
          </cell>
          <cell r="AU11">
            <v>0.89988520000000005</v>
          </cell>
          <cell r="AV11">
            <v>0.89990160000000008</v>
          </cell>
          <cell r="AW11">
            <v>0.89991800000000011</v>
          </cell>
          <cell r="AX11">
            <v>0.89993440000000013</v>
          </cell>
          <cell r="AY11">
            <v>0.89995080000000016</v>
          </cell>
          <cell r="AZ11">
            <v>0.89996720000000019</v>
          </cell>
          <cell r="BA11">
            <v>0.89998360000000022</v>
          </cell>
          <cell r="BB11">
            <v>0.90000000000000024</v>
          </cell>
          <cell r="BC11">
            <v>0.90000000000000024</v>
          </cell>
          <cell r="BD11">
            <v>0.89983599999999997</v>
          </cell>
          <cell r="BE11">
            <v>0.89983599999999997</v>
          </cell>
        </row>
        <row r="12">
          <cell r="AB12">
            <v>3.38565</v>
          </cell>
          <cell r="AC12">
            <v>3.4370850000000002</v>
          </cell>
          <cell r="AD12">
            <v>3.4885200000000003</v>
          </cell>
          <cell r="AE12">
            <v>3.5399550000000004</v>
          </cell>
          <cell r="AF12">
            <v>3.5913900000000005</v>
          </cell>
          <cell r="AG12">
            <v>3.6428250000000006</v>
          </cell>
          <cell r="AH12">
            <v>3.6942600000000008</v>
          </cell>
          <cell r="AI12">
            <v>3.7456950000000009</v>
          </cell>
          <cell r="AJ12">
            <v>3.797130000000001</v>
          </cell>
          <cell r="AK12">
            <v>3.8485650000000011</v>
          </cell>
          <cell r="AL12">
            <v>3.9000000000000012</v>
          </cell>
          <cell r="AM12">
            <v>3.9000000000000012</v>
          </cell>
          <cell r="AN12">
            <v>3.38565</v>
          </cell>
          <cell r="AO12">
            <v>3.38565</v>
          </cell>
          <cell r="AR12">
            <v>2.7293310000000002</v>
          </cell>
          <cell r="AS12">
            <v>2.2463979000000003</v>
          </cell>
          <cell r="AT12">
            <v>1.7634648000000002</v>
          </cell>
          <cell r="AU12">
            <v>1.2805317000000001</v>
          </cell>
          <cell r="AV12">
            <v>0.79759859999999994</v>
          </cell>
          <cell r="AW12">
            <v>0.31466549999999988</v>
          </cell>
          <cell r="AX12">
            <v>-0.16826760000000018</v>
          </cell>
          <cell r="AY12">
            <v>-0.65120070000000019</v>
          </cell>
          <cell r="AZ12">
            <v>-1.1341338000000003</v>
          </cell>
          <cell r="BA12">
            <v>-1.6170669000000004</v>
          </cell>
          <cell r="BB12">
            <v>-2.1000000000000005</v>
          </cell>
          <cell r="BC12">
            <v>-2.1000000000000005</v>
          </cell>
          <cell r="BD12">
            <v>2.7293310000000002</v>
          </cell>
          <cell r="BE12">
            <v>2.7293310000000002</v>
          </cell>
        </row>
        <row r="13">
          <cell r="AB13">
            <v>4.4060030000000001</v>
          </cell>
          <cell r="AC13">
            <v>4.3554027</v>
          </cell>
          <cell r="AD13">
            <v>4.3048023999999998</v>
          </cell>
          <cell r="AE13">
            <v>4.2542020999999997</v>
          </cell>
          <cell r="AF13">
            <v>4.2036017999999995</v>
          </cell>
          <cell r="AG13">
            <v>4.1530014999999993</v>
          </cell>
          <cell r="AH13">
            <v>4.1024011999999992</v>
          </cell>
          <cell r="AI13">
            <v>4.051800899999999</v>
          </cell>
          <cell r="AJ13">
            <v>4.0012005999999989</v>
          </cell>
          <cell r="AK13">
            <v>3.9506002999999987</v>
          </cell>
          <cell r="AL13">
            <v>3.8999999999999986</v>
          </cell>
          <cell r="AM13">
            <v>3.8999999999999986</v>
          </cell>
          <cell r="AN13">
            <v>4.4060030000000001</v>
          </cell>
          <cell r="AO13">
            <v>4.4060030000000001</v>
          </cell>
          <cell r="AR13">
            <v>2.7448269999999999</v>
          </cell>
          <cell r="AS13">
            <v>2.2603442999999999</v>
          </cell>
          <cell r="AT13">
            <v>1.7758615999999998</v>
          </cell>
          <cell r="AU13">
            <v>1.2913788999999998</v>
          </cell>
          <cell r="AV13">
            <v>0.80689619999999973</v>
          </cell>
          <cell r="AW13">
            <v>0.32241349999999969</v>
          </cell>
          <cell r="AX13">
            <v>-0.16206920000000036</v>
          </cell>
          <cell r="AY13">
            <v>-0.6465519000000004</v>
          </cell>
          <cell r="AZ13">
            <v>-1.1310346000000004</v>
          </cell>
          <cell r="BA13">
            <v>-1.6155173000000005</v>
          </cell>
          <cell r="BB13">
            <v>-2.1000000000000005</v>
          </cell>
          <cell r="BC13">
            <v>-2.1000000000000005</v>
          </cell>
          <cell r="BD13">
            <v>2.7448269999999999</v>
          </cell>
          <cell r="BE13">
            <v>2.7448269999999999</v>
          </cell>
        </row>
        <row r="14">
          <cell r="AB14">
            <v>3.38565</v>
          </cell>
          <cell r="AC14">
            <v>3.3021666999999999</v>
          </cell>
          <cell r="AD14">
            <v>3.2186833999999998</v>
          </cell>
          <cell r="AE14">
            <v>3.1352000999999996</v>
          </cell>
          <cell r="AF14">
            <v>3.0517167999999995</v>
          </cell>
          <cell r="AG14">
            <v>2.9682334999999993</v>
          </cell>
          <cell r="AH14">
            <v>2.8847501999999992</v>
          </cell>
          <cell r="AI14">
            <v>2.801266899999999</v>
          </cell>
          <cell r="AJ14">
            <v>2.7177835999999989</v>
          </cell>
          <cell r="AK14">
            <v>2.6343002999999987</v>
          </cell>
          <cell r="AL14">
            <v>2.5508169999999986</v>
          </cell>
          <cell r="AM14">
            <v>2.5508169999999986</v>
          </cell>
          <cell r="AN14">
            <v>3.38565</v>
          </cell>
          <cell r="AO14">
            <v>3.38565</v>
          </cell>
          <cell r="AR14">
            <v>2.7293310000000002</v>
          </cell>
          <cell r="AS14">
            <v>2.5463815000000003</v>
          </cell>
          <cell r="AT14">
            <v>2.3634320000000004</v>
          </cell>
          <cell r="AU14">
            <v>2.1804825000000005</v>
          </cell>
          <cell r="AV14">
            <v>1.9975330000000004</v>
          </cell>
          <cell r="AW14">
            <v>1.8145835000000003</v>
          </cell>
          <cell r="AX14">
            <v>1.6316340000000003</v>
          </cell>
          <cell r="AY14">
            <v>1.4486845000000002</v>
          </cell>
          <cell r="AZ14">
            <v>1.2657350000000001</v>
          </cell>
          <cell r="BA14">
            <v>1.0827855</v>
          </cell>
          <cell r="BB14">
            <v>0.89983599999999986</v>
          </cell>
          <cell r="BC14">
            <v>0.89983599999999986</v>
          </cell>
          <cell r="BD14">
            <v>2.7293310000000002</v>
          </cell>
          <cell r="BE14">
            <v>2.7293310000000002</v>
          </cell>
        </row>
        <row r="15">
          <cell r="AB15">
            <v>4.4060030000000001</v>
          </cell>
          <cell r="AC15">
            <v>4.4925782999999999</v>
          </cell>
          <cell r="AD15">
            <v>4.5791535999999997</v>
          </cell>
          <cell r="AE15">
            <v>4.6657288999999995</v>
          </cell>
          <cell r="AF15">
            <v>4.7523041999999993</v>
          </cell>
          <cell r="AG15">
            <v>4.8388794999999991</v>
          </cell>
          <cell r="AH15">
            <v>4.9254547999999989</v>
          </cell>
          <cell r="AI15">
            <v>5.0120300999999987</v>
          </cell>
          <cell r="AJ15">
            <v>5.0986053999999985</v>
          </cell>
          <cell r="AK15">
            <v>5.1851806999999983</v>
          </cell>
          <cell r="AL15">
            <v>5.2717559999999981</v>
          </cell>
          <cell r="AM15">
            <v>5.2717559999999981</v>
          </cell>
          <cell r="AN15">
            <v>4.4060030000000001</v>
          </cell>
          <cell r="AO15">
            <v>4.4060030000000001</v>
          </cell>
          <cell r="AR15">
            <v>2.7448269999999999</v>
          </cell>
          <cell r="AS15">
            <v>2.5603278999999999</v>
          </cell>
          <cell r="AT15">
            <v>2.3758287999999999</v>
          </cell>
          <cell r="AU15">
            <v>2.1913296999999998</v>
          </cell>
          <cell r="AV15">
            <v>2.0068305999999998</v>
          </cell>
          <cell r="AW15">
            <v>1.8223314999999998</v>
          </cell>
          <cell r="AX15">
            <v>1.6378323999999997</v>
          </cell>
          <cell r="AY15">
            <v>1.4533332999999997</v>
          </cell>
          <cell r="AZ15">
            <v>1.2688341999999997</v>
          </cell>
          <cell r="BA15">
            <v>1.0843350999999997</v>
          </cell>
          <cell r="BB15">
            <v>0.89983599999999964</v>
          </cell>
          <cell r="BC15">
            <v>0.89983599999999964</v>
          </cell>
          <cell r="BD15">
            <v>2.7448269999999999</v>
          </cell>
          <cell r="BE15">
            <v>2.7448269999999999</v>
          </cell>
        </row>
        <row r="16">
          <cell r="AB16">
            <v>-6.45</v>
          </cell>
          <cell r="AC16">
            <v>-6.3900000000000006</v>
          </cell>
          <cell r="AD16">
            <v>-6.33</v>
          </cell>
          <cell r="AE16">
            <v>-6.27</v>
          </cell>
          <cell r="AF16">
            <v>-6.2099999999999991</v>
          </cell>
          <cell r="AG16">
            <v>-6.1499999999999986</v>
          </cell>
          <cell r="AH16">
            <v>-6.0899999999999981</v>
          </cell>
          <cell r="AI16">
            <v>-6.0299999999999976</v>
          </cell>
          <cell r="AJ16">
            <v>-5.9699999999999971</v>
          </cell>
          <cell r="AK16">
            <v>-5.9099999999999966</v>
          </cell>
          <cell r="AL16">
            <v>-5.8499999999999961</v>
          </cell>
          <cell r="AM16">
            <v>-5.8499999999999961</v>
          </cell>
          <cell r="AN16">
            <v>-6.45</v>
          </cell>
          <cell r="AO16">
            <v>-6.45</v>
          </cell>
          <cell r="AR16">
            <v>0.9</v>
          </cell>
          <cell r="AS16">
            <v>0.9</v>
          </cell>
          <cell r="AT16">
            <v>0.9</v>
          </cell>
          <cell r="AU16">
            <v>0.9</v>
          </cell>
          <cell r="AV16">
            <v>0.9</v>
          </cell>
          <cell r="AW16">
            <v>0.9</v>
          </cell>
          <cell r="AX16">
            <v>0.9</v>
          </cell>
          <cell r="AY16">
            <v>0.9</v>
          </cell>
          <cell r="AZ16">
            <v>0.9</v>
          </cell>
          <cell r="BA16">
            <v>0.9</v>
          </cell>
          <cell r="BB16">
            <v>0.9</v>
          </cell>
          <cell r="BC16">
            <v>0.9</v>
          </cell>
          <cell r="BD16">
            <v>0.9</v>
          </cell>
          <cell r="BE16">
            <v>0.9</v>
          </cell>
        </row>
        <row r="17">
          <cell r="AB17">
            <v>-5.85</v>
          </cell>
          <cell r="AC17">
            <v>-5.6999999999999993</v>
          </cell>
          <cell r="AD17">
            <v>-5.5499999999999989</v>
          </cell>
          <cell r="AE17">
            <v>-5.3999999999999986</v>
          </cell>
          <cell r="AF17">
            <v>-5.2499999999999982</v>
          </cell>
          <cell r="AG17">
            <v>-5.0999999999999979</v>
          </cell>
          <cell r="AH17">
            <v>-4.9499999999999975</v>
          </cell>
          <cell r="AI17">
            <v>-4.7999999999999972</v>
          </cell>
          <cell r="AJ17">
            <v>-4.6499999999999968</v>
          </cell>
          <cell r="AK17">
            <v>-4.4999999999999964</v>
          </cell>
          <cell r="AL17">
            <v>-4.3499999999999961</v>
          </cell>
          <cell r="AM17">
            <v>-4.3499999999999961</v>
          </cell>
          <cell r="AN17">
            <v>-5.85</v>
          </cell>
          <cell r="AO17">
            <v>-5.85</v>
          </cell>
          <cell r="AR17">
            <v>0.9</v>
          </cell>
          <cell r="AS17">
            <v>0.9</v>
          </cell>
          <cell r="AT17">
            <v>0.9</v>
          </cell>
          <cell r="AU17">
            <v>0.9</v>
          </cell>
          <cell r="AV17">
            <v>0.9</v>
          </cell>
          <cell r="AW17">
            <v>0.9</v>
          </cell>
          <cell r="AX17">
            <v>0.9</v>
          </cell>
          <cell r="AY17">
            <v>0.9</v>
          </cell>
          <cell r="AZ17">
            <v>0.9</v>
          </cell>
          <cell r="BA17">
            <v>0.9</v>
          </cell>
          <cell r="BB17">
            <v>0.9</v>
          </cell>
          <cell r="BC17">
            <v>0.9</v>
          </cell>
          <cell r="BD17">
            <v>0.9</v>
          </cell>
          <cell r="BE17">
            <v>0.9</v>
          </cell>
        </row>
        <row r="18">
          <cell r="AB18">
            <v>-4.3499999999999996</v>
          </cell>
          <cell r="AC18">
            <v>-4.29</v>
          </cell>
          <cell r="AD18">
            <v>-4.2300000000000004</v>
          </cell>
          <cell r="AE18">
            <v>-4.1700000000000008</v>
          </cell>
          <cell r="AF18">
            <v>-4.1100000000000012</v>
          </cell>
          <cell r="AG18">
            <v>-4.0500000000000016</v>
          </cell>
          <cell r="AH18">
            <v>-3.9900000000000015</v>
          </cell>
          <cell r="AI18">
            <v>-3.9300000000000015</v>
          </cell>
          <cell r="AJ18">
            <v>-3.8700000000000014</v>
          </cell>
          <cell r="AK18">
            <v>-3.8100000000000014</v>
          </cell>
          <cell r="AL18">
            <v>-3.7500000000000013</v>
          </cell>
          <cell r="AM18">
            <v>-3.7500000000000013</v>
          </cell>
          <cell r="AN18">
            <v>-4.3499999999999996</v>
          </cell>
          <cell r="AO18">
            <v>-4.3499999999999996</v>
          </cell>
          <cell r="AR18">
            <v>0.9</v>
          </cell>
          <cell r="AS18">
            <v>0.9</v>
          </cell>
          <cell r="AT18">
            <v>0.9</v>
          </cell>
          <cell r="AU18">
            <v>0.9</v>
          </cell>
          <cell r="AV18">
            <v>0.9</v>
          </cell>
          <cell r="AW18">
            <v>0.9</v>
          </cell>
          <cell r="AX18">
            <v>0.9</v>
          </cell>
          <cell r="AY18">
            <v>0.9</v>
          </cell>
          <cell r="AZ18">
            <v>0.9</v>
          </cell>
          <cell r="BA18">
            <v>0.9</v>
          </cell>
          <cell r="BB18">
            <v>0.9</v>
          </cell>
          <cell r="BC18">
            <v>0.9</v>
          </cell>
          <cell r="BD18">
            <v>0.9</v>
          </cell>
          <cell r="BE18">
            <v>0.9</v>
          </cell>
        </row>
        <row r="19">
          <cell r="AB19">
            <v>-5.55</v>
          </cell>
          <cell r="AC19">
            <v>-5.58</v>
          </cell>
          <cell r="AD19">
            <v>-5.61</v>
          </cell>
          <cell r="AE19">
            <v>-5.6400000000000006</v>
          </cell>
          <cell r="AF19">
            <v>-5.6700000000000008</v>
          </cell>
          <cell r="AG19">
            <v>-5.7000000000000011</v>
          </cell>
          <cell r="AH19">
            <v>-5.7300000000000013</v>
          </cell>
          <cell r="AI19">
            <v>-5.7600000000000016</v>
          </cell>
          <cell r="AJ19">
            <v>-5.7900000000000018</v>
          </cell>
          <cell r="AK19">
            <v>-5.8200000000000021</v>
          </cell>
          <cell r="AL19">
            <v>-5.8500000000000023</v>
          </cell>
          <cell r="AM19">
            <v>-5.8500000000000023</v>
          </cell>
          <cell r="AN19">
            <v>-5.55</v>
          </cell>
          <cell r="AO19">
            <v>-5.55</v>
          </cell>
          <cell r="AR19">
            <v>2.85</v>
          </cell>
          <cell r="AS19">
            <v>2.6550000000000002</v>
          </cell>
          <cell r="AT19">
            <v>2.4600000000000004</v>
          </cell>
          <cell r="AU19">
            <v>2.2650000000000006</v>
          </cell>
          <cell r="AV19">
            <v>2.0700000000000007</v>
          </cell>
          <cell r="AW19">
            <v>1.8750000000000007</v>
          </cell>
          <cell r="AX19">
            <v>1.6800000000000006</v>
          </cell>
          <cell r="AY19">
            <v>1.4850000000000005</v>
          </cell>
          <cell r="AZ19">
            <v>1.2900000000000005</v>
          </cell>
          <cell r="BA19">
            <v>1.0950000000000004</v>
          </cell>
          <cell r="BB19">
            <v>0.90000000000000036</v>
          </cell>
          <cell r="BC19">
            <v>0.90000000000000036</v>
          </cell>
          <cell r="BD19">
            <v>2.85</v>
          </cell>
          <cell r="BE19">
            <v>2.85</v>
          </cell>
        </row>
        <row r="20">
          <cell r="AB20">
            <v>-4.6500000000000004</v>
          </cell>
          <cell r="AC20">
            <v>-4.62</v>
          </cell>
          <cell r="AD20">
            <v>-4.59</v>
          </cell>
          <cell r="AE20">
            <v>-4.5599999999999996</v>
          </cell>
          <cell r="AF20">
            <v>-4.5299999999999994</v>
          </cell>
          <cell r="AG20">
            <v>-4.4999999999999991</v>
          </cell>
          <cell r="AH20">
            <v>-4.4699999999999989</v>
          </cell>
          <cell r="AI20">
            <v>-4.4399999999999986</v>
          </cell>
          <cell r="AJ20">
            <v>-4.4099999999999984</v>
          </cell>
          <cell r="AK20">
            <v>-4.3799999999999981</v>
          </cell>
          <cell r="AL20">
            <v>-4.3499999999999979</v>
          </cell>
          <cell r="AM20">
            <v>-4.3499999999999979</v>
          </cell>
          <cell r="AN20">
            <v>-4.6500000000000004</v>
          </cell>
          <cell r="AO20">
            <v>-4.6500000000000004</v>
          </cell>
          <cell r="AR20">
            <v>2.85</v>
          </cell>
          <cell r="AS20">
            <v>2.6550000000000002</v>
          </cell>
          <cell r="AT20">
            <v>2.4600000000000004</v>
          </cell>
          <cell r="AU20">
            <v>2.2650000000000006</v>
          </cell>
          <cell r="AV20">
            <v>2.0700000000000007</v>
          </cell>
          <cell r="AW20">
            <v>1.8750000000000007</v>
          </cell>
          <cell r="AX20">
            <v>1.6800000000000006</v>
          </cell>
          <cell r="AY20">
            <v>1.4850000000000005</v>
          </cell>
          <cell r="AZ20">
            <v>1.2900000000000005</v>
          </cell>
          <cell r="BA20">
            <v>1.0950000000000004</v>
          </cell>
          <cell r="BB20">
            <v>0.90000000000000036</v>
          </cell>
          <cell r="BC20">
            <v>0.90000000000000036</v>
          </cell>
          <cell r="BD20">
            <v>2.85</v>
          </cell>
          <cell r="BE20">
            <v>2.85</v>
          </cell>
        </row>
        <row r="21">
          <cell r="AB21">
            <v>8.6999999999999993</v>
          </cell>
          <cell r="AC21">
            <v>9.0449999999999999</v>
          </cell>
          <cell r="AD21">
            <v>9.39</v>
          </cell>
          <cell r="AE21">
            <v>9.7350000000000012</v>
          </cell>
          <cell r="AF21">
            <v>10.080000000000002</v>
          </cell>
          <cell r="AG21">
            <v>10.425000000000002</v>
          </cell>
          <cell r="AH21">
            <v>10.770000000000003</v>
          </cell>
          <cell r="AI21">
            <v>11.115000000000004</v>
          </cell>
          <cell r="AJ21">
            <v>11.460000000000004</v>
          </cell>
          <cell r="AK21">
            <v>11.805000000000005</v>
          </cell>
          <cell r="AL21">
            <v>12.150000000000006</v>
          </cell>
          <cell r="AM21">
            <v>12.150000000000006</v>
          </cell>
          <cell r="AN21">
            <v>8.6999999999999993</v>
          </cell>
          <cell r="AO21">
            <v>8.6999999999999993</v>
          </cell>
          <cell r="AR21">
            <v>0.9</v>
          </cell>
          <cell r="AS21">
            <v>0.9</v>
          </cell>
          <cell r="AT21">
            <v>0.9</v>
          </cell>
          <cell r="AU21">
            <v>0.9</v>
          </cell>
          <cell r="AV21">
            <v>0.9</v>
          </cell>
          <cell r="AW21">
            <v>0.9</v>
          </cell>
          <cell r="AX21">
            <v>0.9</v>
          </cell>
          <cell r="AY21">
            <v>0.9</v>
          </cell>
          <cell r="AZ21">
            <v>0.9</v>
          </cell>
          <cell r="BA21">
            <v>0.9</v>
          </cell>
          <cell r="BB21">
            <v>0.9</v>
          </cell>
          <cell r="BC21">
            <v>0.9</v>
          </cell>
          <cell r="BD21">
            <v>0.9</v>
          </cell>
          <cell r="BE21">
            <v>0.9</v>
          </cell>
        </row>
        <row r="22">
          <cell r="AB22">
            <v>3.38565</v>
          </cell>
          <cell r="AC22">
            <v>3.4876852999999999</v>
          </cell>
          <cell r="AD22">
            <v>3.5897205999999997</v>
          </cell>
          <cell r="AE22">
            <v>3.6917558999999995</v>
          </cell>
          <cell r="AF22">
            <v>3.7937911999999994</v>
          </cell>
          <cell r="AG22">
            <v>3.8958264999999992</v>
          </cell>
          <cell r="AH22">
            <v>3.997861799999999</v>
          </cell>
          <cell r="AI22">
            <v>4.0998970999999989</v>
          </cell>
          <cell r="AJ22">
            <v>4.2019323999999987</v>
          </cell>
          <cell r="AK22">
            <v>4.3039676999999985</v>
          </cell>
          <cell r="AL22">
            <v>4.4060029999999983</v>
          </cell>
          <cell r="AM22">
            <v>4.4060029999999983</v>
          </cell>
          <cell r="AN22">
            <v>3.38565</v>
          </cell>
          <cell r="AO22">
            <v>3.38565</v>
          </cell>
          <cell r="AR22">
            <v>2.7293310000000002</v>
          </cell>
          <cell r="AS22">
            <v>2.7308806000000003</v>
          </cell>
          <cell r="AT22">
            <v>2.7324302000000005</v>
          </cell>
          <cell r="AU22">
            <v>2.7339798000000006</v>
          </cell>
          <cell r="AV22">
            <v>2.7355294000000008</v>
          </cell>
          <cell r="AW22">
            <v>2.7370790000000009</v>
          </cell>
          <cell r="AX22">
            <v>2.7386286000000011</v>
          </cell>
          <cell r="AY22">
            <v>2.7401782000000012</v>
          </cell>
          <cell r="AZ22">
            <v>2.7417278000000014</v>
          </cell>
          <cell r="BA22">
            <v>2.7432774000000015</v>
          </cell>
          <cell r="BB22">
            <v>2.7448270000000017</v>
          </cell>
          <cell r="BC22">
            <v>2.7448270000000017</v>
          </cell>
          <cell r="BD22">
            <v>2.7293310000000002</v>
          </cell>
          <cell r="BE22">
            <v>2.7293310000000002</v>
          </cell>
        </row>
        <row r="23">
          <cell r="AB23">
            <v>12.15</v>
          </cell>
          <cell r="AC23">
            <v>12.4950817</v>
          </cell>
          <cell r="AD23">
            <v>12.8401634</v>
          </cell>
          <cell r="AE23">
            <v>13.185245099999999</v>
          </cell>
          <cell r="AF23">
            <v>13.530326799999999</v>
          </cell>
          <cell r="AG23">
            <v>13.875408499999999</v>
          </cell>
          <cell r="AH23">
            <v>14.220490199999999</v>
          </cell>
          <cell r="AI23">
            <v>14.565571899999998</v>
          </cell>
          <cell r="AJ23">
            <v>14.910653599999998</v>
          </cell>
          <cell r="AK23">
            <v>15.255735299999998</v>
          </cell>
          <cell r="AL23">
            <v>15.600816999999997</v>
          </cell>
          <cell r="AM23">
            <v>15.600816999999997</v>
          </cell>
          <cell r="AN23">
            <v>12.15</v>
          </cell>
          <cell r="AO23">
            <v>12.15</v>
          </cell>
          <cell r="AR23">
            <v>0.9</v>
          </cell>
          <cell r="AS23">
            <v>0.89998359999999999</v>
          </cell>
          <cell r="AT23">
            <v>0.89996719999999997</v>
          </cell>
          <cell r="AU23">
            <v>0.89995079999999994</v>
          </cell>
          <cell r="AV23">
            <v>0.89993439999999991</v>
          </cell>
          <cell r="AW23">
            <v>0.89991799999999988</v>
          </cell>
          <cell r="AX23">
            <v>0.89990159999999986</v>
          </cell>
          <cell r="AY23">
            <v>0.89988519999999983</v>
          </cell>
          <cell r="AZ23">
            <v>0.8998687999999998</v>
          </cell>
          <cell r="BA23">
            <v>0.89985239999999977</v>
          </cell>
          <cell r="BB23">
            <v>0.89983599999999975</v>
          </cell>
          <cell r="BC23">
            <v>0.89983599999999975</v>
          </cell>
          <cell r="BD23">
            <v>0.9</v>
          </cell>
          <cell r="BE23">
            <v>0.9</v>
          </cell>
        </row>
        <row r="24">
          <cell r="AB24">
            <v>12.150026873585377</v>
          </cell>
          <cell r="AC24">
            <v>12.630026973585377</v>
          </cell>
          <cell r="AD24">
            <v>13.110027073585377</v>
          </cell>
          <cell r="AE24">
            <v>13.590027173585376</v>
          </cell>
          <cell r="AF24">
            <v>14.070027273585376</v>
          </cell>
          <cell r="AG24">
            <v>14.550027373585376</v>
          </cell>
          <cell r="AH24">
            <v>15.030027473585376</v>
          </cell>
          <cell r="AI24">
            <v>15.510027573585376</v>
          </cell>
          <cell r="AJ24">
            <v>15.990027673585375</v>
          </cell>
          <cell r="AK24">
            <v>16.470027773585375</v>
          </cell>
          <cell r="AL24">
            <v>16.950027873585377</v>
          </cell>
          <cell r="AM24">
            <v>16.950001</v>
          </cell>
          <cell r="AN24">
            <v>12.15</v>
          </cell>
          <cell r="AO24">
            <v>12.150026873585377</v>
          </cell>
          <cell r="AR24">
            <v>0.90004299774556085</v>
          </cell>
          <cell r="AS24">
            <v>0.6000429977455608</v>
          </cell>
          <cell r="AT24">
            <v>0.30004299774556081</v>
          </cell>
          <cell r="AU24">
            <v>4.2997745560758694E-5</v>
          </cell>
          <cell r="AV24">
            <v>-0.29995700225443928</v>
          </cell>
          <cell r="AW24">
            <v>-0.59995700225443938</v>
          </cell>
          <cell r="AX24">
            <v>-0.89995700225443942</v>
          </cell>
          <cell r="AY24">
            <v>-1.1999570022544392</v>
          </cell>
          <cell r="AZ24">
            <v>-1.4999570022544393</v>
          </cell>
          <cell r="BA24">
            <v>-1.7999570022544393</v>
          </cell>
          <cell r="BB24">
            <v>-2.0999570022544396</v>
          </cell>
          <cell r="BC24">
            <v>-2.1000000000000005</v>
          </cell>
          <cell r="BD24">
            <v>0.9</v>
          </cell>
          <cell r="BE24">
            <v>0.90004299774556085</v>
          </cell>
        </row>
        <row r="25">
          <cell r="AB25">
            <v>21.749972739396718</v>
          </cell>
          <cell r="AC25">
            <v>21.269972839396718</v>
          </cell>
          <cell r="AD25">
            <v>20.789972939396719</v>
          </cell>
          <cell r="AE25">
            <v>20.30997303939672</v>
          </cell>
          <cell r="AF25">
            <v>19.829973139396721</v>
          </cell>
          <cell r="AG25">
            <v>19.349973239396721</v>
          </cell>
          <cell r="AH25">
            <v>18.869973339396722</v>
          </cell>
          <cell r="AI25">
            <v>18.389973439396723</v>
          </cell>
          <cell r="AJ25">
            <v>17.909973539396724</v>
          </cell>
          <cell r="AK25">
            <v>17.429973639396724</v>
          </cell>
          <cell r="AL25">
            <v>16.949973739396725</v>
          </cell>
          <cell r="AM25">
            <v>16.950001000000007</v>
          </cell>
          <cell r="AN25">
            <v>21.75</v>
          </cell>
          <cell r="AO25">
            <v>21.749972739396718</v>
          </cell>
          <cell r="AR25">
            <v>0.90004361695616741</v>
          </cell>
          <cell r="AS25">
            <v>0.60004361695616737</v>
          </cell>
          <cell r="AT25">
            <v>0.30004361695616727</v>
          </cell>
          <cell r="AU25">
            <v>4.3616956167245096E-5</v>
          </cell>
          <cell r="AV25">
            <v>-0.29995638304383282</v>
          </cell>
          <cell r="AW25">
            <v>-0.59995638304383281</v>
          </cell>
          <cell r="AX25">
            <v>-0.89995638304383285</v>
          </cell>
          <cell r="AY25">
            <v>-1.1999563830438329</v>
          </cell>
          <cell r="AZ25">
            <v>-1.4999563830438329</v>
          </cell>
          <cell r="BA25">
            <v>-1.799956383043833</v>
          </cell>
          <cell r="BB25">
            <v>-2.0999563830438333</v>
          </cell>
          <cell r="BC25">
            <v>-2.1000000000000005</v>
          </cell>
          <cell r="BD25">
            <v>0.9</v>
          </cell>
          <cell r="BE25">
            <v>0.90004361695616741</v>
          </cell>
        </row>
        <row r="26">
          <cell r="AB26">
            <v>16.950001</v>
          </cell>
          <cell r="AC26">
            <v>17.087176500000002</v>
          </cell>
          <cell r="AD26">
            <v>17.224352000000003</v>
          </cell>
          <cell r="AE26">
            <v>17.361527500000005</v>
          </cell>
          <cell r="AF26">
            <v>17.498703000000006</v>
          </cell>
          <cell r="AG26">
            <v>17.635878500000008</v>
          </cell>
          <cell r="AH26">
            <v>17.773054000000009</v>
          </cell>
          <cell r="AI26">
            <v>17.91022950000001</v>
          </cell>
          <cell r="AJ26">
            <v>18.047405000000012</v>
          </cell>
          <cell r="AK26">
            <v>18.184580500000013</v>
          </cell>
          <cell r="AL26">
            <v>18.321756000000015</v>
          </cell>
          <cell r="AM26">
            <v>18.321756000000015</v>
          </cell>
          <cell r="AN26">
            <v>16.950001</v>
          </cell>
          <cell r="AO26">
            <v>16.950001</v>
          </cell>
          <cell r="AR26">
            <v>0.9</v>
          </cell>
          <cell r="AS26">
            <v>0.89998359999999999</v>
          </cell>
          <cell r="AT26">
            <v>0.89996719999999997</v>
          </cell>
          <cell r="AU26">
            <v>0.89995079999999994</v>
          </cell>
          <cell r="AV26">
            <v>0.89993439999999991</v>
          </cell>
          <cell r="AW26">
            <v>0.89991799999999988</v>
          </cell>
          <cell r="AX26">
            <v>0.89990159999999986</v>
          </cell>
          <cell r="AY26">
            <v>0.89988519999999983</v>
          </cell>
          <cell r="AZ26">
            <v>0.8998687999999998</v>
          </cell>
          <cell r="BA26">
            <v>0.89985239999999977</v>
          </cell>
          <cell r="BB26">
            <v>0.89983599999999975</v>
          </cell>
          <cell r="BC26">
            <v>0.89983599999999975</v>
          </cell>
          <cell r="BD26">
            <v>0.9</v>
          </cell>
          <cell r="BE26">
            <v>0.9</v>
          </cell>
        </row>
        <row r="27">
          <cell r="AB27">
            <v>16.350000000000001</v>
          </cell>
          <cell r="AC27">
            <v>16.358565000000002</v>
          </cell>
          <cell r="AD27">
            <v>16.367130000000003</v>
          </cell>
          <cell r="AE27">
            <v>16.375695000000004</v>
          </cell>
          <cell r="AF27">
            <v>16.384260000000005</v>
          </cell>
          <cell r="AG27">
            <v>16.392825000000006</v>
          </cell>
          <cell r="AH27">
            <v>16.401390000000006</v>
          </cell>
          <cell r="AI27">
            <v>16.409955000000007</v>
          </cell>
          <cell r="AJ27">
            <v>16.418520000000008</v>
          </cell>
          <cell r="AK27">
            <v>16.427085000000009</v>
          </cell>
          <cell r="AL27">
            <v>16.43565000000001</v>
          </cell>
          <cell r="AM27">
            <v>16.43565000000001</v>
          </cell>
          <cell r="AN27">
            <v>16.350000000000001</v>
          </cell>
          <cell r="AO27">
            <v>16.350000000000001</v>
          </cell>
          <cell r="AR27">
            <v>3.6</v>
          </cell>
          <cell r="AS27">
            <v>3.5129331000000001</v>
          </cell>
          <cell r="AT27">
            <v>3.4258662000000002</v>
          </cell>
          <cell r="AU27">
            <v>3.3387993000000002</v>
          </cell>
          <cell r="AV27">
            <v>3.2517324000000003</v>
          </cell>
          <cell r="AW27">
            <v>3.1646655000000004</v>
          </cell>
          <cell r="AX27">
            <v>3.0775986000000004</v>
          </cell>
          <cell r="AY27">
            <v>2.9905317000000005</v>
          </cell>
          <cell r="AZ27">
            <v>2.9034648000000005</v>
          </cell>
          <cell r="BA27">
            <v>2.8163979000000006</v>
          </cell>
          <cell r="BB27">
            <v>2.7293310000000006</v>
          </cell>
          <cell r="BC27">
            <v>2.7293310000000006</v>
          </cell>
          <cell r="BD27">
            <v>3.6</v>
          </cell>
          <cell r="BE27">
            <v>3.6</v>
          </cell>
        </row>
        <row r="28">
          <cell r="AB28">
            <v>17.549999</v>
          </cell>
          <cell r="AC28">
            <v>17.540599399999998</v>
          </cell>
          <cell r="AD28">
            <v>17.531199799999996</v>
          </cell>
          <cell r="AE28">
            <v>17.521800199999994</v>
          </cell>
          <cell r="AF28">
            <v>17.512400599999992</v>
          </cell>
          <cell r="AG28">
            <v>17.50300099999999</v>
          </cell>
          <cell r="AH28">
            <v>17.493601399999989</v>
          </cell>
          <cell r="AI28">
            <v>17.484201799999987</v>
          </cell>
          <cell r="AJ28">
            <v>17.474802199999985</v>
          </cell>
          <cell r="AK28">
            <v>17.465402599999983</v>
          </cell>
          <cell r="AL28">
            <v>17.456002999999981</v>
          </cell>
          <cell r="AM28">
            <v>17.456002999999981</v>
          </cell>
          <cell r="AN28">
            <v>17.549999</v>
          </cell>
          <cell r="AO28">
            <v>17.549999</v>
          </cell>
          <cell r="AR28">
            <v>3.6</v>
          </cell>
          <cell r="AS28">
            <v>3.5144827000000003</v>
          </cell>
          <cell r="AT28">
            <v>3.4289654000000001</v>
          </cell>
          <cell r="AU28">
            <v>3.3434480999999998</v>
          </cell>
          <cell r="AV28">
            <v>3.2579307999999996</v>
          </cell>
          <cell r="AW28">
            <v>3.1724134999999993</v>
          </cell>
          <cell r="AX28">
            <v>3.0868961999999991</v>
          </cell>
          <cell r="AY28">
            <v>3.0013788999999989</v>
          </cell>
          <cell r="AZ28">
            <v>2.9158615999999986</v>
          </cell>
          <cell r="BA28">
            <v>2.8303442999999984</v>
          </cell>
          <cell r="BB28">
            <v>2.7448269999999981</v>
          </cell>
          <cell r="BC28">
            <v>2.7448269999999981</v>
          </cell>
          <cell r="BD28">
            <v>3.6</v>
          </cell>
          <cell r="BE28">
            <v>3.6</v>
          </cell>
        </row>
        <row r="29">
          <cell r="AB29">
            <v>15.600816999999999</v>
          </cell>
          <cell r="AC29">
            <v>15.735735399999999</v>
          </cell>
          <cell r="AD29">
            <v>15.870653799999999</v>
          </cell>
          <cell r="AE29">
            <v>16.0055722</v>
          </cell>
          <cell r="AF29">
            <v>16.1404906</v>
          </cell>
          <cell r="AG29">
            <v>16.275409</v>
          </cell>
          <cell r="AH29">
            <v>16.4103274</v>
          </cell>
          <cell r="AI29">
            <v>16.5452458</v>
          </cell>
          <cell r="AJ29">
            <v>16.6801642</v>
          </cell>
          <cell r="AK29">
            <v>16.8150826</v>
          </cell>
          <cell r="AL29">
            <v>16.950001</v>
          </cell>
          <cell r="AM29">
            <v>16.950001</v>
          </cell>
          <cell r="AN29">
            <v>15.600816999999999</v>
          </cell>
          <cell r="AO29">
            <v>15.600816999999999</v>
          </cell>
          <cell r="AR29">
            <v>0.89983599999999997</v>
          </cell>
          <cell r="AS29">
            <v>0.8998524</v>
          </cell>
          <cell r="AT29">
            <v>0.89986880000000002</v>
          </cell>
          <cell r="AU29">
            <v>0.89988520000000005</v>
          </cell>
          <cell r="AV29">
            <v>0.89990160000000008</v>
          </cell>
          <cell r="AW29">
            <v>0.89991800000000011</v>
          </cell>
          <cell r="AX29">
            <v>0.89993440000000013</v>
          </cell>
          <cell r="AY29">
            <v>0.89995080000000016</v>
          </cell>
          <cell r="AZ29">
            <v>0.89996720000000019</v>
          </cell>
          <cell r="BA29">
            <v>0.89998360000000022</v>
          </cell>
          <cell r="BB29">
            <v>0.90000000000000024</v>
          </cell>
          <cell r="BC29">
            <v>0.90000000000000024</v>
          </cell>
          <cell r="BD29">
            <v>0.89983599999999997</v>
          </cell>
          <cell r="BE29">
            <v>0.89983599999999997</v>
          </cell>
        </row>
        <row r="30">
          <cell r="AB30">
            <v>18.321756000000001</v>
          </cell>
          <cell r="AC30">
            <v>18.664580400000002</v>
          </cell>
          <cell r="AD30">
            <v>19.007404800000003</v>
          </cell>
          <cell r="AE30">
            <v>19.350229200000005</v>
          </cell>
          <cell r="AF30">
            <v>19.693053600000006</v>
          </cell>
          <cell r="AG30">
            <v>20.035878000000007</v>
          </cell>
          <cell r="AH30">
            <v>20.378702400000009</v>
          </cell>
          <cell r="AI30">
            <v>20.72152680000001</v>
          </cell>
          <cell r="AJ30">
            <v>21.064351200000011</v>
          </cell>
          <cell r="AK30">
            <v>21.407175600000013</v>
          </cell>
          <cell r="AL30">
            <v>21.750000000000014</v>
          </cell>
          <cell r="AM30">
            <v>21.750000000000014</v>
          </cell>
          <cell r="AN30">
            <v>18.321756000000001</v>
          </cell>
          <cell r="AO30">
            <v>18.321756000000001</v>
          </cell>
          <cell r="AR30">
            <v>0.89983599999999997</v>
          </cell>
          <cell r="AS30">
            <v>0.8998524</v>
          </cell>
          <cell r="AT30">
            <v>0.89986880000000002</v>
          </cell>
          <cell r="AU30">
            <v>0.89988520000000005</v>
          </cell>
          <cell r="AV30">
            <v>0.89990160000000008</v>
          </cell>
          <cell r="AW30">
            <v>0.89991800000000011</v>
          </cell>
          <cell r="AX30">
            <v>0.89993440000000013</v>
          </cell>
          <cell r="AY30">
            <v>0.89995080000000016</v>
          </cell>
          <cell r="AZ30">
            <v>0.89996720000000019</v>
          </cell>
          <cell r="BA30">
            <v>0.89998360000000022</v>
          </cell>
          <cell r="BB30">
            <v>0.90000000000000024</v>
          </cell>
          <cell r="BC30">
            <v>0.90000000000000024</v>
          </cell>
          <cell r="BD30">
            <v>0.89983599999999997</v>
          </cell>
          <cell r="BE30">
            <v>0.89983599999999997</v>
          </cell>
        </row>
        <row r="31">
          <cell r="AB31">
            <v>16.435649999999999</v>
          </cell>
          <cell r="AC31">
            <v>16.487085099999998</v>
          </cell>
          <cell r="AD31">
            <v>16.538520199999997</v>
          </cell>
          <cell r="AE31">
            <v>16.589955299999996</v>
          </cell>
          <cell r="AF31">
            <v>16.641390399999995</v>
          </cell>
          <cell r="AG31">
            <v>16.692825499999994</v>
          </cell>
          <cell r="AH31">
            <v>16.744260599999993</v>
          </cell>
          <cell r="AI31">
            <v>16.795695699999992</v>
          </cell>
          <cell r="AJ31">
            <v>16.847130799999992</v>
          </cell>
          <cell r="AK31">
            <v>16.898565899999991</v>
          </cell>
          <cell r="AL31">
            <v>16.95000099999999</v>
          </cell>
          <cell r="AM31">
            <v>16.95000099999999</v>
          </cell>
          <cell r="AN31">
            <v>16.435649999999999</v>
          </cell>
          <cell r="AO31">
            <v>16.435649999999999</v>
          </cell>
          <cell r="AR31">
            <v>2.7293310000000002</v>
          </cell>
          <cell r="AS31">
            <v>2.2463979000000003</v>
          </cell>
          <cell r="AT31">
            <v>1.7634648000000002</v>
          </cell>
          <cell r="AU31">
            <v>1.2805317000000001</v>
          </cell>
          <cell r="AV31">
            <v>0.79759859999999994</v>
          </cell>
          <cell r="AW31">
            <v>0.31466549999999988</v>
          </cell>
          <cell r="AX31">
            <v>-0.16826760000000018</v>
          </cell>
          <cell r="AY31">
            <v>-0.65120070000000019</v>
          </cell>
          <cell r="AZ31">
            <v>-1.1341338000000003</v>
          </cell>
          <cell r="BA31">
            <v>-1.6170669000000004</v>
          </cell>
          <cell r="BB31">
            <v>-2.1000000000000005</v>
          </cell>
          <cell r="BC31">
            <v>-2.1000000000000005</v>
          </cell>
          <cell r="BD31">
            <v>2.7293310000000002</v>
          </cell>
          <cell r="BE31">
            <v>2.7293310000000002</v>
          </cell>
        </row>
        <row r="32">
          <cell r="AB32">
            <v>17.456002999999999</v>
          </cell>
          <cell r="AC32">
            <v>17.405402799999997</v>
          </cell>
          <cell r="AD32">
            <v>17.354802599999999</v>
          </cell>
          <cell r="AE32">
            <v>17.304202400000001</v>
          </cell>
          <cell r="AF32">
            <v>17.253602200000003</v>
          </cell>
          <cell r="AG32">
            <v>17.203002000000005</v>
          </cell>
          <cell r="AH32">
            <v>17.152401800000007</v>
          </cell>
          <cell r="AI32">
            <v>17.101801600000009</v>
          </cell>
          <cell r="AJ32">
            <v>17.051201400000011</v>
          </cell>
          <cell r="AK32">
            <v>17.000601200000013</v>
          </cell>
          <cell r="AL32">
            <v>16.950001000000015</v>
          </cell>
          <cell r="AM32">
            <v>16.950001000000015</v>
          </cell>
          <cell r="AN32">
            <v>17.456002999999999</v>
          </cell>
          <cell r="AO32">
            <v>17.456002999999999</v>
          </cell>
          <cell r="AR32">
            <v>2.7448269999999999</v>
          </cell>
          <cell r="AS32">
            <v>2.2603442999999999</v>
          </cell>
          <cell r="AT32">
            <v>1.7758615999999998</v>
          </cell>
          <cell r="AU32">
            <v>1.2913788999999998</v>
          </cell>
          <cell r="AV32">
            <v>0.80689619999999973</v>
          </cell>
          <cell r="AW32">
            <v>0.32241349999999969</v>
          </cell>
          <cell r="AX32">
            <v>-0.16206920000000036</v>
          </cell>
          <cell r="AY32">
            <v>-0.6465519000000004</v>
          </cell>
          <cell r="AZ32">
            <v>-1.1310346000000004</v>
          </cell>
          <cell r="BA32">
            <v>-1.6155173000000005</v>
          </cell>
          <cell r="BB32">
            <v>-2.1000000000000005</v>
          </cell>
          <cell r="BC32">
            <v>-2.1000000000000005</v>
          </cell>
          <cell r="BD32">
            <v>2.7448269999999999</v>
          </cell>
          <cell r="BE32">
            <v>2.7448269999999999</v>
          </cell>
        </row>
        <row r="33">
          <cell r="AB33">
            <v>16.435649999999999</v>
          </cell>
          <cell r="AC33">
            <v>16.352166699999998</v>
          </cell>
          <cell r="AD33">
            <v>16.268683399999997</v>
          </cell>
          <cell r="AE33">
            <v>16.185200099999996</v>
          </cell>
          <cell r="AF33">
            <v>16.101716799999995</v>
          </cell>
          <cell r="AG33">
            <v>16.018233499999994</v>
          </cell>
          <cell r="AH33">
            <v>15.934750199999995</v>
          </cell>
          <cell r="AI33">
            <v>15.851266899999995</v>
          </cell>
          <cell r="AJ33">
            <v>15.767783599999996</v>
          </cell>
          <cell r="AK33">
            <v>15.684300299999997</v>
          </cell>
          <cell r="AL33">
            <v>15.600816999999997</v>
          </cell>
          <cell r="AM33">
            <v>15.600816999999997</v>
          </cell>
          <cell r="AN33">
            <v>16.435649999999999</v>
          </cell>
          <cell r="AO33">
            <v>16.435649999999999</v>
          </cell>
          <cell r="AR33">
            <v>2.7293310000000002</v>
          </cell>
          <cell r="AS33">
            <v>2.5463815000000003</v>
          </cell>
          <cell r="AT33">
            <v>2.3634320000000004</v>
          </cell>
          <cell r="AU33">
            <v>2.1804825000000005</v>
          </cell>
          <cell r="AV33">
            <v>1.9975330000000004</v>
          </cell>
          <cell r="AW33">
            <v>1.8145835000000003</v>
          </cell>
          <cell r="AX33">
            <v>1.6316340000000003</v>
          </cell>
          <cell r="AY33">
            <v>1.4486845000000002</v>
          </cell>
          <cell r="AZ33">
            <v>1.2657350000000001</v>
          </cell>
          <cell r="BA33">
            <v>1.0827855</v>
          </cell>
          <cell r="BB33">
            <v>0.89983599999999986</v>
          </cell>
          <cell r="BC33">
            <v>0.89983599999999986</v>
          </cell>
          <cell r="BD33">
            <v>2.7293310000000002</v>
          </cell>
          <cell r="BE33">
            <v>2.7293310000000002</v>
          </cell>
        </row>
        <row r="34">
          <cell r="AB34">
            <v>17.456002999999999</v>
          </cell>
          <cell r="AC34">
            <v>17.542578299999999</v>
          </cell>
          <cell r="AD34">
            <v>17.629153599999999</v>
          </cell>
          <cell r="AE34">
            <v>17.715728899999998</v>
          </cell>
          <cell r="AF34">
            <v>17.802304199999998</v>
          </cell>
          <cell r="AG34">
            <v>17.888879499999998</v>
          </cell>
          <cell r="AH34">
            <v>17.975454799999998</v>
          </cell>
          <cell r="AI34">
            <v>18.062030099999998</v>
          </cell>
          <cell r="AJ34">
            <v>18.148605399999997</v>
          </cell>
          <cell r="AK34">
            <v>18.235180699999997</v>
          </cell>
          <cell r="AL34">
            <v>18.321755999999997</v>
          </cell>
          <cell r="AM34">
            <v>18.321755999999997</v>
          </cell>
          <cell r="AN34">
            <v>17.456002999999999</v>
          </cell>
          <cell r="AO34">
            <v>17.456002999999999</v>
          </cell>
          <cell r="AR34">
            <v>2.7448269999999999</v>
          </cell>
          <cell r="AS34">
            <v>2.5603278999999999</v>
          </cell>
          <cell r="AT34">
            <v>2.3758287999999999</v>
          </cell>
          <cell r="AU34">
            <v>2.1913296999999998</v>
          </cell>
          <cell r="AV34">
            <v>2.0068305999999998</v>
          </cell>
          <cell r="AW34">
            <v>1.8223314999999998</v>
          </cell>
          <cell r="AX34">
            <v>1.6378323999999997</v>
          </cell>
          <cell r="AY34">
            <v>1.4533332999999997</v>
          </cell>
          <cell r="AZ34">
            <v>1.2688341999999997</v>
          </cell>
          <cell r="BA34">
            <v>1.0843350999999997</v>
          </cell>
          <cell r="BB34">
            <v>0.89983599999999964</v>
          </cell>
          <cell r="BC34">
            <v>0.89983599999999964</v>
          </cell>
          <cell r="BD34">
            <v>2.7448269999999999</v>
          </cell>
          <cell r="BE34">
            <v>2.7448269999999999</v>
          </cell>
        </row>
        <row r="35">
          <cell r="AB35">
            <v>16.435649999999999</v>
          </cell>
          <cell r="AC35">
            <v>16.5376853</v>
          </cell>
          <cell r="AD35">
            <v>16.6397206</v>
          </cell>
          <cell r="AE35">
            <v>16.741755900000001</v>
          </cell>
          <cell r="AF35">
            <v>16.843791200000002</v>
          </cell>
          <cell r="AG35">
            <v>16.945826500000003</v>
          </cell>
          <cell r="AH35">
            <v>17.047861800000003</v>
          </cell>
          <cell r="AI35">
            <v>17.149897100000004</v>
          </cell>
          <cell r="AJ35">
            <v>17.251932400000005</v>
          </cell>
          <cell r="AK35">
            <v>17.353967700000005</v>
          </cell>
          <cell r="AL35">
            <v>17.456003000000006</v>
          </cell>
          <cell r="AM35">
            <v>17.456003000000006</v>
          </cell>
          <cell r="AN35">
            <v>16.435649999999999</v>
          </cell>
          <cell r="AO35">
            <v>16.435649999999999</v>
          </cell>
          <cell r="AR35">
            <v>2.7293310000000002</v>
          </cell>
          <cell r="AS35">
            <v>2.7308806000000003</v>
          </cell>
          <cell r="AT35">
            <v>2.7324302000000005</v>
          </cell>
          <cell r="AU35">
            <v>2.7339798000000006</v>
          </cell>
          <cell r="AV35">
            <v>2.7355294000000008</v>
          </cell>
          <cell r="AW35">
            <v>2.7370790000000009</v>
          </cell>
          <cell r="AX35">
            <v>2.7386286000000011</v>
          </cell>
          <cell r="AY35">
            <v>2.7401782000000012</v>
          </cell>
          <cell r="AZ35">
            <v>2.7417278000000014</v>
          </cell>
          <cell r="BA35">
            <v>2.7432774000000015</v>
          </cell>
          <cell r="BB35">
            <v>2.7448270000000017</v>
          </cell>
          <cell r="BC35">
            <v>2.7448270000000017</v>
          </cell>
          <cell r="BD35">
            <v>2.7293310000000002</v>
          </cell>
          <cell r="BE35">
            <v>2.7293310000000002</v>
          </cell>
        </row>
        <row r="36">
          <cell r="AB36">
            <v>7.6500000953674316</v>
          </cell>
          <cell r="AC36">
            <v>7.6500000953674316</v>
          </cell>
          <cell r="AD36">
            <v>7.6500000953674316</v>
          </cell>
          <cell r="AE36">
            <v>7.6500000953674316</v>
          </cell>
          <cell r="AF36">
            <v>7.6500000953674316</v>
          </cell>
          <cell r="AG36">
            <v>7.6500000953674316</v>
          </cell>
          <cell r="AH36">
            <v>7.6500000953674316</v>
          </cell>
          <cell r="AI36">
            <v>7.6500000953674316</v>
          </cell>
          <cell r="AJ36">
            <v>7.6500000953674316</v>
          </cell>
          <cell r="AK36">
            <v>7.6500000953674316</v>
          </cell>
          <cell r="AL36">
            <v>7.6500000953674316</v>
          </cell>
          <cell r="AM36">
            <v>7.6500000953674316</v>
          </cell>
          <cell r="AN36">
            <v>7.6500000953674316</v>
          </cell>
          <cell r="AO36">
            <v>7.6500000953674316</v>
          </cell>
          <cell r="AR36">
            <v>0.75</v>
          </cell>
          <cell r="AS36">
            <v>0.75</v>
          </cell>
          <cell r="AT36">
            <v>0.75</v>
          </cell>
          <cell r="AU36">
            <v>0.75</v>
          </cell>
          <cell r="AV36">
            <v>0.75</v>
          </cell>
          <cell r="AW36">
            <v>0.75</v>
          </cell>
          <cell r="AX36">
            <v>0.75</v>
          </cell>
          <cell r="AY36">
            <v>0.75</v>
          </cell>
          <cell r="AZ36">
            <v>0.75</v>
          </cell>
          <cell r="BA36">
            <v>0.75</v>
          </cell>
          <cell r="BB36">
            <v>0.75</v>
          </cell>
          <cell r="BC36">
            <v>0.75</v>
          </cell>
          <cell r="BD36">
            <v>0.75</v>
          </cell>
          <cell r="BE36">
            <v>0.75</v>
          </cell>
        </row>
        <row r="37">
          <cell r="AB37">
            <v>7.6500000953674316</v>
          </cell>
          <cell r="AC37">
            <v>7.6500000953674316</v>
          </cell>
          <cell r="AD37">
            <v>7.6500000953674316</v>
          </cell>
          <cell r="AE37">
            <v>7.6500000953674316</v>
          </cell>
          <cell r="AF37">
            <v>7.6500000953674316</v>
          </cell>
          <cell r="AG37">
            <v>7.6500000953674316</v>
          </cell>
          <cell r="AH37">
            <v>7.6500000953674316</v>
          </cell>
          <cell r="AI37">
            <v>7.6500000953674316</v>
          </cell>
          <cell r="AJ37">
            <v>7.6500000953674316</v>
          </cell>
          <cell r="AK37">
            <v>7.6500000953674316</v>
          </cell>
          <cell r="AL37">
            <v>7.6500000953674316</v>
          </cell>
          <cell r="AM37">
            <v>7.6500000953674316</v>
          </cell>
          <cell r="AN37">
            <v>7.6500000953674316</v>
          </cell>
          <cell r="AO37">
            <v>7.6500000953674316</v>
          </cell>
          <cell r="AR37">
            <v>0.75</v>
          </cell>
          <cell r="AS37">
            <v>0.75</v>
          </cell>
          <cell r="AT37">
            <v>0.75</v>
          </cell>
          <cell r="AU37">
            <v>0.75</v>
          </cell>
          <cell r="AV37">
            <v>0.75</v>
          </cell>
          <cell r="AW37">
            <v>0.75</v>
          </cell>
          <cell r="AX37">
            <v>0.75</v>
          </cell>
          <cell r="AY37">
            <v>0.75</v>
          </cell>
          <cell r="AZ37">
            <v>0.75</v>
          </cell>
          <cell r="BA37">
            <v>0.75</v>
          </cell>
          <cell r="BB37">
            <v>0.75</v>
          </cell>
          <cell r="BC37">
            <v>0.75</v>
          </cell>
          <cell r="BD37">
            <v>0.75</v>
          </cell>
          <cell r="BE37">
            <v>0.75</v>
          </cell>
        </row>
        <row r="38">
          <cell r="AB38">
            <v>7.6500000953674316</v>
          </cell>
          <cell r="AC38">
            <v>7.6500000953674316</v>
          </cell>
          <cell r="AD38">
            <v>7.6500000953674316</v>
          </cell>
          <cell r="AE38">
            <v>7.6500000953674316</v>
          </cell>
          <cell r="AF38">
            <v>7.6500000953674316</v>
          </cell>
          <cell r="AG38">
            <v>7.6500000953674316</v>
          </cell>
          <cell r="AH38">
            <v>7.6500000953674316</v>
          </cell>
          <cell r="AI38">
            <v>7.6500000953674316</v>
          </cell>
          <cell r="AJ38">
            <v>7.6500000953674316</v>
          </cell>
          <cell r="AK38">
            <v>7.6500000953674316</v>
          </cell>
          <cell r="AL38">
            <v>7.6500000953674316</v>
          </cell>
          <cell r="AM38">
            <v>7.6500000953674316</v>
          </cell>
          <cell r="AN38">
            <v>7.6500000953674316</v>
          </cell>
          <cell r="AO38">
            <v>7.6500000953674316</v>
          </cell>
          <cell r="AR38">
            <v>0.75</v>
          </cell>
          <cell r="AS38">
            <v>0.75</v>
          </cell>
          <cell r="AT38">
            <v>0.75</v>
          </cell>
          <cell r="AU38">
            <v>0.75</v>
          </cell>
          <cell r="AV38">
            <v>0.75</v>
          </cell>
          <cell r="AW38">
            <v>0.75</v>
          </cell>
          <cell r="AX38">
            <v>0.75</v>
          </cell>
          <cell r="AY38">
            <v>0.75</v>
          </cell>
          <cell r="AZ38">
            <v>0.75</v>
          </cell>
          <cell r="BA38">
            <v>0.75</v>
          </cell>
          <cell r="BB38">
            <v>0.75</v>
          </cell>
          <cell r="BC38">
            <v>0.75</v>
          </cell>
          <cell r="BD38">
            <v>0.75</v>
          </cell>
          <cell r="BE38">
            <v>0.75</v>
          </cell>
        </row>
        <row r="39">
          <cell r="AB39">
            <v>7.6500000953674316</v>
          </cell>
          <cell r="AC39">
            <v>7.6500000953674316</v>
          </cell>
          <cell r="AD39">
            <v>7.6500000953674316</v>
          </cell>
          <cell r="AE39">
            <v>7.6500000953674316</v>
          </cell>
          <cell r="AF39">
            <v>7.6500000953674316</v>
          </cell>
          <cell r="AG39">
            <v>7.6500000953674316</v>
          </cell>
          <cell r="AH39">
            <v>7.6500000953674316</v>
          </cell>
          <cell r="AI39">
            <v>7.6500000953674316</v>
          </cell>
          <cell r="AJ39">
            <v>7.6500000953674316</v>
          </cell>
          <cell r="AK39">
            <v>7.6500000953674316</v>
          </cell>
          <cell r="AL39">
            <v>7.6500000953674316</v>
          </cell>
          <cell r="AM39">
            <v>7.6500000953674316</v>
          </cell>
          <cell r="AN39">
            <v>7.6500000953674316</v>
          </cell>
          <cell r="AO39">
            <v>7.6500000953674316</v>
          </cell>
          <cell r="AR39">
            <v>0.75</v>
          </cell>
          <cell r="AS39">
            <v>0.75</v>
          </cell>
          <cell r="AT39">
            <v>0.75</v>
          </cell>
          <cell r="AU39">
            <v>0.75</v>
          </cell>
          <cell r="AV39">
            <v>0.75</v>
          </cell>
          <cell r="AW39">
            <v>0.75</v>
          </cell>
          <cell r="AX39">
            <v>0.75</v>
          </cell>
          <cell r="AY39">
            <v>0.75</v>
          </cell>
          <cell r="AZ39">
            <v>0.75</v>
          </cell>
          <cell r="BA39">
            <v>0.75</v>
          </cell>
          <cell r="BB39">
            <v>0.75</v>
          </cell>
          <cell r="BC39">
            <v>0.75</v>
          </cell>
          <cell r="BD39">
            <v>0.75</v>
          </cell>
          <cell r="BE39">
            <v>0.75</v>
          </cell>
        </row>
        <row r="40">
          <cell r="AB40">
            <v>7.6500000953674316</v>
          </cell>
          <cell r="AC40">
            <v>7.6500000953674316</v>
          </cell>
          <cell r="AD40">
            <v>7.6500000953674316</v>
          </cell>
          <cell r="AE40">
            <v>7.6500000953674316</v>
          </cell>
          <cell r="AF40">
            <v>7.6500000953674316</v>
          </cell>
          <cell r="AG40">
            <v>7.6500000953674316</v>
          </cell>
          <cell r="AH40">
            <v>7.6500000953674316</v>
          </cell>
          <cell r="AI40">
            <v>7.6500000953674316</v>
          </cell>
          <cell r="AJ40">
            <v>7.6500000953674316</v>
          </cell>
          <cell r="AK40">
            <v>7.6500000953674316</v>
          </cell>
          <cell r="AL40">
            <v>7.6500000953674316</v>
          </cell>
          <cell r="AM40">
            <v>7.6500000953674316</v>
          </cell>
          <cell r="AN40">
            <v>7.6500000953674316</v>
          </cell>
          <cell r="AO40">
            <v>7.6500000953674316</v>
          </cell>
          <cell r="AR40">
            <v>0.75</v>
          </cell>
          <cell r="AS40">
            <v>0.75</v>
          </cell>
          <cell r="AT40">
            <v>0.75</v>
          </cell>
          <cell r="AU40">
            <v>0.75</v>
          </cell>
          <cell r="AV40">
            <v>0.75</v>
          </cell>
          <cell r="AW40">
            <v>0.75</v>
          </cell>
          <cell r="AX40">
            <v>0.75</v>
          </cell>
          <cell r="AY40">
            <v>0.75</v>
          </cell>
          <cell r="AZ40">
            <v>0.75</v>
          </cell>
          <cell r="BA40">
            <v>0.75</v>
          </cell>
          <cell r="BB40">
            <v>0.75</v>
          </cell>
          <cell r="BC40">
            <v>0.75</v>
          </cell>
          <cell r="BD40">
            <v>0.75</v>
          </cell>
          <cell r="BE40">
            <v>0.75</v>
          </cell>
        </row>
        <row r="41">
          <cell r="AB41">
            <v>7.6500000953674316</v>
          </cell>
          <cell r="AC41">
            <v>7.6500000953674316</v>
          </cell>
          <cell r="AD41">
            <v>7.6500000953674316</v>
          </cell>
          <cell r="AE41">
            <v>7.6500000953674316</v>
          </cell>
          <cell r="AF41">
            <v>7.6500000953674316</v>
          </cell>
          <cell r="AG41">
            <v>7.6500000953674316</v>
          </cell>
          <cell r="AH41">
            <v>7.6500000953674316</v>
          </cell>
          <cell r="AI41">
            <v>7.6500000953674316</v>
          </cell>
          <cell r="AJ41">
            <v>7.6500000953674316</v>
          </cell>
          <cell r="AK41">
            <v>7.6500000953674316</v>
          </cell>
          <cell r="AL41">
            <v>7.6500000953674316</v>
          </cell>
          <cell r="AM41">
            <v>7.6500000953674316</v>
          </cell>
          <cell r="AN41">
            <v>7.6500000953674316</v>
          </cell>
          <cell r="AO41">
            <v>7.6500000953674316</v>
          </cell>
          <cell r="AR41">
            <v>0.75</v>
          </cell>
          <cell r="AS41">
            <v>0.75</v>
          </cell>
          <cell r="AT41">
            <v>0.75</v>
          </cell>
          <cell r="AU41">
            <v>0.75</v>
          </cell>
          <cell r="AV41">
            <v>0.75</v>
          </cell>
          <cell r="AW41">
            <v>0.75</v>
          </cell>
          <cell r="AX41">
            <v>0.75</v>
          </cell>
          <cell r="AY41">
            <v>0.75</v>
          </cell>
          <cell r="AZ41">
            <v>0.75</v>
          </cell>
          <cell r="BA41">
            <v>0.75</v>
          </cell>
          <cell r="BB41">
            <v>0.75</v>
          </cell>
          <cell r="BC41">
            <v>0.75</v>
          </cell>
          <cell r="BD41">
            <v>0.75</v>
          </cell>
          <cell r="BE41">
            <v>0.75</v>
          </cell>
        </row>
        <row r="42">
          <cell r="AB42">
            <v>7.6500000953674316</v>
          </cell>
          <cell r="AC42">
            <v>7.6500000953674316</v>
          </cell>
          <cell r="AD42">
            <v>7.6500000953674316</v>
          </cell>
          <cell r="AE42">
            <v>7.6500000953674316</v>
          </cell>
          <cell r="AF42">
            <v>7.6500000953674316</v>
          </cell>
          <cell r="AG42">
            <v>7.6500000953674316</v>
          </cell>
          <cell r="AH42">
            <v>7.6500000953674316</v>
          </cell>
          <cell r="AI42">
            <v>7.6500000953674316</v>
          </cell>
          <cell r="AJ42">
            <v>7.6500000953674316</v>
          </cell>
          <cell r="AK42">
            <v>7.6500000953674316</v>
          </cell>
          <cell r="AL42">
            <v>7.6500000953674316</v>
          </cell>
          <cell r="AM42">
            <v>7.6500000953674316</v>
          </cell>
          <cell r="AN42">
            <v>7.6500000953674316</v>
          </cell>
          <cell r="AO42">
            <v>7.6500000953674316</v>
          </cell>
          <cell r="AR42">
            <v>0.75</v>
          </cell>
          <cell r="AS42">
            <v>0.75</v>
          </cell>
          <cell r="AT42">
            <v>0.75</v>
          </cell>
          <cell r="AU42">
            <v>0.75</v>
          </cell>
          <cell r="AV42">
            <v>0.75</v>
          </cell>
          <cell r="AW42">
            <v>0.75</v>
          </cell>
          <cell r="AX42">
            <v>0.75</v>
          </cell>
          <cell r="AY42">
            <v>0.75</v>
          </cell>
          <cell r="AZ42">
            <v>0.75</v>
          </cell>
          <cell r="BA42">
            <v>0.75</v>
          </cell>
          <cell r="BB42">
            <v>0.75</v>
          </cell>
          <cell r="BC42">
            <v>0.75</v>
          </cell>
          <cell r="BD42">
            <v>0.75</v>
          </cell>
          <cell r="BE42">
            <v>0.75</v>
          </cell>
        </row>
      </sheetData>
      <sheetData sheetId="20">
        <row r="3">
          <cell r="AB3">
            <v>-3.75</v>
          </cell>
          <cell r="AC3">
            <v>-3.4649999999999999</v>
          </cell>
          <cell r="AD3">
            <v>-3.1799999999999997</v>
          </cell>
          <cell r="AE3">
            <v>-2.8949999999999996</v>
          </cell>
          <cell r="AF3">
            <v>-2.6099999999999994</v>
          </cell>
          <cell r="AG3">
            <v>-2.3249999999999993</v>
          </cell>
          <cell r="AH3">
            <v>-2.0399999999999991</v>
          </cell>
          <cell r="AI3">
            <v>-1.754999999999999</v>
          </cell>
          <cell r="AJ3">
            <v>-1.4699999999999989</v>
          </cell>
          <cell r="AK3">
            <v>-1.1849999999999987</v>
          </cell>
          <cell r="AL3">
            <v>-0.89999999999999869</v>
          </cell>
          <cell r="AM3">
            <v>-0.89999999999999869</v>
          </cell>
          <cell r="AN3">
            <v>-3.75</v>
          </cell>
          <cell r="AO3">
            <v>-3.75</v>
          </cell>
          <cell r="AR3">
            <v>0.9</v>
          </cell>
          <cell r="AS3">
            <v>0.9</v>
          </cell>
          <cell r="AT3">
            <v>0.9</v>
          </cell>
          <cell r="AU3">
            <v>0.9</v>
          </cell>
          <cell r="AV3">
            <v>0.9</v>
          </cell>
          <cell r="AW3">
            <v>0.9</v>
          </cell>
          <cell r="AX3">
            <v>0.9</v>
          </cell>
          <cell r="AY3">
            <v>0.9</v>
          </cell>
          <cell r="AZ3">
            <v>0.9</v>
          </cell>
          <cell r="BA3">
            <v>0.9</v>
          </cell>
          <cell r="BB3">
            <v>0.9</v>
          </cell>
          <cell r="BC3">
            <v>0.9</v>
          </cell>
          <cell r="BD3">
            <v>0.9</v>
          </cell>
          <cell r="BE3">
            <v>0.9</v>
          </cell>
        </row>
        <row r="4">
          <cell r="AB4">
            <v>-0.9</v>
          </cell>
          <cell r="AC4">
            <v>-0.55491829999999998</v>
          </cell>
          <cell r="AD4">
            <v>-0.20983659999999998</v>
          </cell>
          <cell r="AE4">
            <v>0.13524510000000001</v>
          </cell>
          <cell r="AF4">
            <v>0.4803268</v>
          </cell>
          <cell r="AG4">
            <v>0.82540849999999999</v>
          </cell>
          <cell r="AH4">
            <v>1.1704901999999999</v>
          </cell>
          <cell r="AI4">
            <v>1.5155718999999999</v>
          </cell>
          <cell r="AJ4">
            <v>1.8606535999999998</v>
          </cell>
          <cell r="AK4">
            <v>2.2057352999999997</v>
          </cell>
          <cell r="AL4">
            <v>2.5508169999999999</v>
          </cell>
          <cell r="AM4">
            <v>2.5508169999999999</v>
          </cell>
          <cell r="AN4">
            <v>-0.9</v>
          </cell>
          <cell r="AO4">
            <v>-0.9</v>
          </cell>
          <cell r="AR4">
            <v>0.9</v>
          </cell>
          <cell r="AS4">
            <v>0.89998359999999999</v>
          </cell>
          <cell r="AT4">
            <v>0.89996719999999997</v>
          </cell>
          <cell r="AU4">
            <v>0.89995079999999994</v>
          </cell>
          <cell r="AV4">
            <v>0.89993439999999991</v>
          </cell>
          <cell r="AW4">
            <v>0.89991799999999988</v>
          </cell>
          <cell r="AX4">
            <v>0.89990159999999986</v>
          </cell>
          <cell r="AY4">
            <v>0.89988519999999983</v>
          </cell>
          <cell r="AZ4">
            <v>0.8998687999999998</v>
          </cell>
          <cell r="BA4">
            <v>0.89985239999999977</v>
          </cell>
          <cell r="BB4">
            <v>0.89983599999999975</v>
          </cell>
          <cell r="BC4">
            <v>0.89983599999999975</v>
          </cell>
          <cell r="BD4">
            <v>0.9</v>
          </cell>
          <cell r="BE4">
            <v>0.9</v>
          </cell>
        </row>
        <row r="5">
          <cell r="AB5">
            <v>-0.9</v>
          </cell>
          <cell r="AC5">
            <v>-0.42</v>
          </cell>
          <cell r="AD5">
            <v>6.0000000000000053E-2</v>
          </cell>
          <cell r="AE5">
            <v>0.54</v>
          </cell>
          <cell r="AF5">
            <v>1.02</v>
          </cell>
          <cell r="AG5">
            <v>1.5</v>
          </cell>
          <cell r="AH5">
            <v>1.98</v>
          </cell>
          <cell r="AI5">
            <v>2.46</v>
          </cell>
          <cell r="AJ5">
            <v>2.94</v>
          </cell>
          <cell r="AK5">
            <v>3.42</v>
          </cell>
          <cell r="AL5">
            <v>3.9</v>
          </cell>
          <cell r="AM5">
            <v>3.9</v>
          </cell>
          <cell r="AN5">
            <v>-0.9</v>
          </cell>
          <cell r="AO5">
            <v>-0.9</v>
          </cell>
          <cell r="AR5">
            <v>0.9</v>
          </cell>
          <cell r="AS5">
            <v>0.6</v>
          </cell>
          <cell r="AT5">
            <v>0.29999999999999993</v>
          </cell>
          <cell r="AU5">
            <v>-1.1102230246251565E-16</v>
          </cell>
          <cell r="AV5">
            <v>-0.30000000000000016</v>
          </cell>
          <cell r="AW5">
            <v>-0.6000000000000002</v>
          </cell>
          <cell r="AX5">
            <v>-0.90000000000000024</v>
          </cell>
          <cell r="AY5">
            <v>-1.2000000000000002</v>
          </cell>
          <cell r="AZ5">
            <v>-1.5000000000000002</v>
          </cell>
          <cell r="BA5">
            <v>-1.8000000000000003</v>
          </cell>
          <cell r="BB5">
            <v>-2.1000000000000005</v>
          </cell>
          <cell r="BC5">
            <v>-2.1000000000000005</v>
          </cell>
          <cell r="BD5">
            <v>0.9</v>
          </cell>
          <cell r="BE5">
            <v>0.9</v>
          </cell>
        </row>
        <row r="6">
          <cell r="AB6">
            <v>8.6999999999999993</v>
          </cell>
          <cell r="AC6">
            <v>8.2199999999999989</v>
          </cell>
          <cell r="AD6">
            <v>7.7399999999999984</v>
          </cell>
          <cell r="AE6">
            <v>7.259999999999998</v>
          </cell>
          <cell r="AF6">
            <v>6.7799999999999976</v>
          </cell>
          <cell r="AG6">
            <v>6.2999999999999972</v>
          </cell>
          <cell r="AH6">
            <v>5.8199999999999967</v>
          </cell>
          <cell r="AI6">
            <v>5.3399999999999963</v>
          </cell>
          <cell r="AJ6">
            <v>4.8599999999999959</v>
          </cell>
          <cell r="AK6">
            <v>4.3799999999999955</v>
          </cell>
          <cell r="AL6">
            <v>3.8999999999999955</v>
          </cell>
          <cell r="AM6">
            <v>3.8999999999999955</v>
          </cell>
          <cell r="AN6">
            <v>8.6999999999999993</v>
          </cell>
          <cell r="AO6">
            <v>8.6999999999999993</v>
          </cell>
          <cell r="AR6">
            <v>0.9</v>
          </cell>
          <cell r="AS6">
            <v>0.6</v>
          </cell>
          <cell r="AT6">
            <v>0.29999999999999993</v>
          </cell>
          <cell r="AU6">
            <v>-1.1102230246251565E-16</v>
          </cell>
          <cell r="AV6">
            <v>-0.30000000000000016</v>
          </cell>
          <cell r="AW6">
            <v>-0.6000000000000002</v>
          </cell>
          <cell r="AX6">
            <v>-0.90000000000000024</v>
          </cell>
          <cell r="AY6">
            <v>-1.2000000000000002</v>
          </cell>
          <cell r="AZ6">
            <v>-1.5000000000000002</v>
          </cell>
          <cell r="BA6">
            <v>-1.8000000000000003</v>
          </cell>
          <cell r="BB6">
            <v>-2.1000000000000005</v>
          </cell>
          <cell r="BC6">
            <v>-2.1000000000000005</v>
          </cell>
          <cell r="BD6">
            <v>0.9</v>
          </cell>
          <cell r="BE6">
            <v>0.9</v>
          </cell>
          <cell r="BH6">
            <v>-6.7351485915161824</v>
          </cell>
          <cell r="BI6">
            <v>15.13514859151619</v>
          </cell>
        </row>
        <row r="7">
          <cell r="AB7">
            <v>3.9</v>
          </cell>
          <cell r="AC7">
            <v>4.0371756000000003</v>
          </cell>
          <cell r="AD7">
            <v>4.1743512000000003</v>
          </cell>
          <cell r="AE7">
            <v>4.3115268000000002</v>
          </cell>
          <cell r="AF7">
            <v>4.4487024000000002</v>
          </cell>
          <cell r="AG7">
            <v>4.5858780000000001</v>
          </cell>
          <cell r="AH7">
            <v>4.7230536000000001</v>
          </cell>
          <cell r="AI7">
            <v>4.8602292</v>
          </cell>
          <cell r="AJ7">
            <v>4.9974048</v>
          </cell>
          <cell r="AK7">
            <v>5.1345803999999999</v>
          </cell>
          <cell r="AL7">
            <v>5.2717559999999999</v>
          </cell>
          <cell r="AM7">
            <v>5.2717559999999999</v>
          </cell>
          <cell r="AN7">
            <v>3.9</v>
          </cell>
          <cell r="AO7">
            <v>3.9</v>
          </cell>
          <cell r="AR7">
            <v>0.9</v>
          </cell>
          <cell r="AS7">
            <v>0.89998359999999999</v>
          </cell>
          <cell r="AT7">
            <v>0.89996719999999997</v>
          </cell>
          <cell r="AU7">
            <v>0.89995079999999994</v>
          </cell>
          <cell r="AV7">
            <v>0.89993439999999991</v>
          </cell>
          <cell r="AW7">
            <v>0.89991799999999988</v>
          </cell>
          <cell r="AX7">
            <v>0.89990159999999986</v>
          </cell>
          <cell r="AY7">
            <v>0.89988519999999983</v>
          </cell>
          <cell r="AZ7">
            <v>0.8998687999999998</v>
          </cell>
          <cell r="BA7">
            <v>0.89985239999999977</v>
          </cell>
          <cell r="BB7">
            <v>0.89983599999999975</v>
          </cell>
          <cell r="BC7">
            <v>0.89983599999999975</v>
          </cell>
          <cell r="BD7">
            <v>0.9</v>
          </cell>
          <cell r="BE7">
            <v>0.9</v>
          </cell>
          <cell r="BH7">
            <v>22.035148591516197</v>
          </cell>
          <cell r="BI7">
            <v>15.13514859151619</v>
          </cell>
        </row>
        <row r="8">
          <cell r="AB8">
            <v>3.3</v>
          </cell>
          <cell r="AC8">
            <v>3.3085649999999998</v>
          </cell>
          <cell r="AD8">
            <v>3.3171299999999997</v>
          </cell>
          <cell r="AE8">
            <v>3.3256949999999996</v>
          </cell>
          <cell r="AF8">
            <v>3.3342599999999996</v>
          </cell>
          <cell r="AG8">
            <v>3.3428249999999995</v>
          </cell>
          <cell r="AH8">
            <v>3.3513899999999994</v>
          </cell>
          <cell r="AI8">
            <v>3.3599549999999994</v>
          </cell>
          <cell r="AJ8">
            <v>3.3685199999999993</v>
          </cell>
          <cell r="AK8">
            <v>3.3770849999999992</v>
          </cell>
          <cell r="AL8">
            <v>3.3856499999999992</v>
          </cell>
          <cell r="AM8">
            <v>3.3856499999999992</v>
          </cell>
          <cell r="AN8">
            <v>3.3</v>
          </cell>
          <cell r="AO8">
            <v>3.3</v>
          </cell>
          <cell r="AR8">
            <v>3.6</v>
          </cell>
          <cell r="AS8">
            <v>3.5129331000000001</v>
          </cell>
          <cell r="AT8">
            <v>3.4258662000000002</v>
          </cell>
          <cell r="AU8">
            <v>3.3387993000000002</v>
          </cell>
          <cell r="AV8">
            <v>3.2517324000000003</v>
          </cell>
          <cell r="AW8">
            <v>3.1646655000000004</v>
          </cell>
          <cell r="AX8">
            <v>3.0775986000000004</v>
          </cell>
          <cell r="AY8">
            <v>2.9905317000000005</v>
          </cell>
          <cell r="AZ8">
            <v>2.9034648000000005</v>
          </cell>
          <cell r="BA8">
            <v>2.8163979000000006</v>
          </cell>
          <cell r="BB8">
            <v>2.7293310000000006</v>
          </cell>
          <cell r="BC8">
            <v>2.7293310000000006</v>
          </cell>
          <cell r="BD8">
            <v>3.6</v>
          </cell>
          <cell r="BE8">
            <v>3.6</v>
          </cell>
          <cell r="BH8">
            <v>22.035148591516197</v>
          </cell>
          <cell r="BI8">
            <v>-13.63514859151619</v>
          </cell>
        </row>
        <row r="9">
          <cell r="AB9">
            <v>4.5</v>
          </cell>
          <cell r="AC9">
            <v>4.4906002999999997</v>
          </cell>
          <cell r="AD9">
            <v>4.4812005999999993</v>
          </cell>
          <cell r="AE9">
            <v>4.471800899999999</v>
          </cell>
          <cell r="AF9">
            <v>4.4624011999999986</v>
          </cell>
          <cell r="AG9">
            <v>4.4530014999999983</v>
          </cell>
          <cell r="AH9">
            <v>4.4436017999999979</v>
          </cell>
          <cell r="AI9">
            <v>4.4342020999999976</v>
          </cell>
          <cell r="AJ9">
            <v>4.4248023999999972</v>
          </cell>
          <cell r="AK9">
            <v>4.4154026999999969</v>
          </cell>
          <cell r="AL9">
            <v>4.4060029999999966</v>
          </cell>
          <cell r="AM9">
            <v>4.4060029999999966</v>
          </cell>
          <cell r="AN9">
            <v>4.5</v>
          </cell>
          <cell r="AO9">
            <v>4.5</v>
          </cell>
          <cell r="AR9">
            <v>3.6</v>
          </cell>
          <cell r="AS9">
            <v>3.5144827000000003</v>
          </cell>
          <cell r="AT9">
            <v>3.4289654000000001</v>
          </cell>
          <cell r="AU9">
            <v>3.3434480999999998</v>
          </cell>
          <cell r="AV9">
            <v>3.2579307999999996</v>
          </cell>
          <cell r="AW9">
            <v>3.1724134999999993</v>
          </cell>
          <cell r="AX9">
            <v>3.0868961999999991</v>
          </cell>
          <cell r="AY9">
            <v>3.0013788999999989</v>
          </cell>
          <cell r="AZ9">
            <v>2.9158615999999986</v>
          </cell>
          <cell r="BA9">
            <v>2.8303442999999984</v>
          </cell>
          <cell r="BB9">
            <v>2.7448269999999981</v>
          </cell>
          <cell r="BC9">
            <v>2.7448269999999981</v>
          </cell>
          <cell r="BD9">
            <v>3.6</v>
          </cell>
          <cell r="BE9">
            <v>3.6</v>
          </cell>
          <cell r="BH9">
            <v>-6.7351485915161824</v>
          </cell>
          <cell r="BI9">
            <v>-13.63514859151619</v>
          </cell>
        </row>
        <row r="10">
          <cell r="AB10">
            <v>2.5508169999999999</v>
          </cell>
          <cell r="AC10">
            <v>2.6857352999999997</v>
          </cell>
          <cell r="AD10">
            <v>2.8206535999999995</v>
          </cell>
          <cell r="AE10">
            <v>2.9555718999999994</v>
          </cell>
          <cell r="AF10">
            <v>3.0904901999999992</v>
          </cell>
          <cell r="AG10">
            <v>3.225408499999999</v>
          </cell>
          <cell r="AH10">
            <v>3.3603267999999988</v>
          </cell>
          <cell r="AI10">
            <v>3.4952450999999987</v>
          </cell>
          <cell r="AJ10">
            <v>3.6301633999999985</v>
          </cell>
          <cell r="AK10">
            <v>3.7650816999999983</v>
          </cell>
          <cell r="AL10">
            <v>3.8999999999999981</v>
          </cell>
          <cell r="AM10">
            <v>3.8999999999999981</v>
          </cell>
          <cell r="AN10">
            <v>2.5508169999999999</v>
          </cell>
          <cell r="AO10">
            <v>2.5508169999999999</v>
          </cell>
          <cell r="AR10">
            <v>0.89983599999999997</v>
          </cell>
          <cell r="AS10">
            <v>0.8998524</v>
          </cell>
          <cell r="AT10">
            <v>0.89986880000000002</v>
          </cell>
          <cell r="AU10">
            <v>0.89988520000000005</v>
          </cell>
          <cell r="AV10">
            <v>0.89990160000000008</v>
          </cell>
          <cell r="AW10">
            <v>0.89991800000000011</v>
          </cell>
          <cell r="AX10">
            <v>0.89993440000000013</v>
          </cell>
          <cell r="AY10">
            <v>0.89995080000000016</v>
          </cell>
          <cell r="AZ10">
            <v>0.89996720000000019</v>
          </cell>
          <cell r="BA10">
            <v>0.89998360000000022</v>
          </cell>
          <cell r="BB10">
            <v>0.90000000000000024</v>
          </cell>
          <cell r="BC10">
            <v>0.90000000000000024</v>
          </cell>
          <cell r="BD10">
            <v>0.89983599999999997</v>
          </cell>
          <cell r="BE10">
            <v>0.89983599999999997</v>
          </cell>
        </row>
        <row r="11">
          <cell r="AB11">
            <v>5.2717559999999999</v>
          </cell>
          <cell r="AC11">
            <v>5.6145803999999995</v>
          </cell>
          <cell r="AD11">
            <v>5.9574047999999991</v>
          </cell>
          <cell r="AE11">
            <v>6.3002291999999986</v>
          </cell>
          <cell r="AF11">
            <v>6.6430535999999982</v>
          </cell>
          <cell r="AG11">
            <v>6.9858779999999978</v>
          </cell>
          <cell r="AH11">
            <v>7.3287023999999974</v>
          </cell>
          <cell r="AI11">
            <v>7.671526799999997</v>
          </cell>
          <cell r="AJ11">
            <v>8.0143511999999966</v>
          </cell>
          <cell r="AK11">
            <v>8.3571755999999962</v>
          </cell>
          <cell r="AL11">
            <v>8.6999999999999957</v>
          </cell>
          <cell r="AM11">
            <v>8.6999999999999957</v>
          </cell>
          <cell r="AN11">
            <v>5.2717559999999999</v>
          </cell>
          <cell r="AO11">
            <v>5.2717559999999999</v>
          </cell>
          <cell r="AR11">
            <v>0.89983599999999997</v>
          </cell>
          <cell r="AS11">
            <v>0.8998524</v>
          </cell>
          <cell r="AT11">
            <v>0.89986880000000002</v>
          </cell>
          <cell r="AU11">
            <v>0.89988520000000005</v>
          </cell>
          <cell r="AV11">
            <v>0.89990160000000008</v>
          </cell>
          <cell r="AW11">
            <v>0.89991800000000011</v>
          </cell>
          <cell r="AX11">
            <v>0.89993440000000013</v>
          </cell>
          <cell r="AY11">
            <v>0.89995080000000016</v>
          </cell>
          <cell r="AZ11">
            <v>0.89996720000000019</v>
          </cell>
          <cell r="BA11">
            <v>0.89998360000000022</v>
          </cell>
          <cell r="BB11">
            <v>0.90000000000000024</v>
          </cell>
          <cell r="BC11">
            <v>0.90000000000000024</v>
          </cell>
          <cell r="BD11">
            <v>0.89983599999999997</v>
          </cell>
          <cell r="BE11">
            <v>0.89983599999999997</v>
          </cell>
        </row>
        <row r="12">
          <cell r="AB12">
            <v>3.38565</v>
          </cell>
          <cell r="AC12">
            <v>3.4370850000000002</v>
          </cell>
          <cell r="AD12">
            <v>3.4885200000000003</v>
          </cell>
          <cell r="AE12">
            <v>3.5399550000000004</v>
          </cell>
          <cell r="AF12">
            <v>3.5913900000000005</v>
          </cell>
          <cell r="AG12">
            <v>3.6428250000000006</v>
          </cell>
          <cell r="AH12">
            <v>3.6942600000000008</v>
          </cell>
          <cell r="AI12">
            <v>3.7456950000000009</v>
          </cell>
          <cell r="AJ12">
            <v>3.797130000000001</v>
          </cell>
          <cell r="AK12">
            <v>3.8485650000000011</v>
          </cell>
          <cell r="AL12">
            <v>3.9000000000000012</v>
          </cell>
          <cell r="AM12">
            <v>3.9000000000000012</v>
          </cell>
          <cell r="AN12">
            <v>3.38565</v>
          </cell>
          <cell r="AO12">
            <v>3.38565</v>
          </cell>
          <cell r="AR12">
            <v>2.7293310000000002</v>
          </cell>
          <cell r="AS12">
            <v>2.2463979000000003</v>
          </cell>
          <cell r="AT12">
            <v>1.7634648000000002</v>
          </cell>
          <cell r="AU12">
            <v>1.2805317000000001</v>
          </cell>
          <cell r="AV12">
            <v>0.79759859999999994</v>
          </cell>
          <cell r="AW12">
            <v>0.31466549999999988</v>
          </cell>
          <cell r="AX12">
            <v>-0.16826760000000018</v>
          </cell>
          <cell r="AY12">
            <v>-0.65120070000000019</v>
          </cell>
          <cell r="AZ12">
            <v>-1.1341338000000003</v>
          </cell>
          <cell r="BA12">
            <v>-1.6170669000000004</v>
          </cell>
          <cell r="BB12">
            <v>-2.1000000000000005</v>
          </cell>
          <cell r="BC12">
            <v>-2.1000000000000005</v>
          </cell>
          <cell r="BD12">
            <v>2.7293310000000002</v>
          </cell>
          <cell r="BE12">
            <v>2.7293310000000002</v>
          </cell>
        </row>
        <row r="13">
          <cell r="AB13">
            <v>4.4060030000000001</v>
          </cell>
          <cell r="AC13">
            <v>4.3554027</v>
          </cell>
          <cell r="AD13">
            <v>4.3048023999999998</v>
          </cell>
          <cell r="AE13">
            <v>4.2542020999999997</v>
          </cell>
          <cell r="AF13">
            <v>4.2036017999999995</v>
          </cell>
          <cell r="AG13">
            <v>4.1530014999999993</v>
          </cell>
          <cell r="AH13">
            <v>4.1024011999999992</v>
          </cell>
          <cell r="AI13">
            <v>4.051800899999999</v>
          </cell>
          <cell r="AJ13">
            <v>4.0012005999999989</v>
          </cell>
          <cell r="AK13">
            <v>3.9506002999999987</v>
          </cell>
          <cell r="AL13">
            <v>3.8999999999999986</v>
          </cell>
          <cell r="AM13">
            <v>3.8999999999999986</v>
          </cell>
          <cell r="AN13">
            <v>4.4060030000000001</v>
          </cell>
          <cell r="AO13">
            <v>4.4060030000000001</v>
          </cell>
          <cell r="AR13">
            <v>2.7448269999999999</v>
          </cell>
          <cell r="AS13">
            <v>2.2603442999999999</v>
          </cell>
          <cell r="AT13">
            <v>1.7758615999999998</v>
          </cell>
          <cell r="AU13">
            <v>1.2913788999999998</v>
          </cell>
          <cell r="AV13">
            <v>0.80689619999999973</v>
          </cell>
          <cell r="AW13">
            <v>0.32241349999999969</v>
          </cell>
          <cell r="AX13">
            <v>-0.16206920000000036</v>
          </cell>
          <cell r="AY13">
            <v>-0.6465519000000004</v>
          </cell>
          <cell r="AZ13">
            <v>-1.1310346000000004</v>
          </cell>
          <cell r="BA13">
            <v>-1.6155173000000005</v>
          </cell>
          <cell r="BB13">
            <v>-2.1000000000000005</v>
          </cell>
          <cell r="BC13">
            <v>-2.1000000000000005</v>
          </cell>
          <cell r="BD13">
            <v>2.7448269999999999</v>
          </cell>
          <cell r="BE13">
            <v>2.7448269999999999</v>
          </cell>
        </row>
        <row r="14">
          <cell r="AB14">
            <v>3.38565</v>
          </cell>
          <cell r="AC14">
            <v>3.3021666999999999</v>
          </cell>
          <cell r="AD14">
            <v>3.2186833999999998</v>
          </cell>
          <cell r="AE14">
            <v>3.1352000999999996</v>
          </cell>
          <cell r="AF14">
            <v>3.0517167999999995</v>
          </cell>
          <cell r="AG14">
            <v>2.9682334999999993</v>
          </cell>
          <cell r="AH14">
            <v>2.8847501999999992</v>
          </cell>
          <cell r="AI14">
            <v>2.801266899999999</v>
          </cell>
          <cell r="AJ14">
            <v>2.7177835999999989</v>
          </cell>
          <cell r="AK14">
            <v>2.6343002999999987</v>
          </cell>
          <cell r="AL14">
            <v>2.5508169999999986</v>
          </cell>
          <cell r="AM14">
            <v>2.5508169999999986</v>
          </cell>
          <cell r="AN14">
            <v>3.38565</v>
          </cell>
          <cell r="AO14">
            <v>3.38565</v>
          </cell>
          <cell r="AR14">
            <v>2.7293310000000002</v>
          </cell>
          <cell r="AS14">
            <v>2.5463815000000003</v>
          </cell>
          <cell r="AT14">
            <v>2.3634320000000004</v>
          </cell>
          <cell r="AU14">
            <v>2.1804825000000005</v>
          </cell>
          <cell r="AV14">
            <v>1.9975330000000004</v>
          </cell>
          <cell r="AW14">
            <v>1.8145835000000003</v>
          </cell>
          <cell r="AX14">
            <v>1.6316340000000003</v>
          </cell>
          <cell r="AY14">
            <v>1.4486845000000002</v>
          </cell>
          <cell r="AZ14">
            <v>1.2657350000000001</v>
          </cell>
          <cell r="BA14">
            <v>1.0827855</v>
          </cell>
          <cell r="BB14">
            <v>0.89983599999999986</v>
          </cell>
          <cell r="BC14">
            <v>0.89983599999999986</v>
          </cell>
          <cell r="BD14">
            <v>2.7293310000000002</v>
          </cell>
          <cell r="BE14">
            <v>2.7293310000000002</v>
          </cell>
        </row>
        <row r="15">
          <cell r="AB15">
            <v>4.4060030000000001</v>
          </cell>
          <cell r="AC15">
            <v>4.4925782999999999</v>
          </cell>
          <cell r="AD15">
            <v>4.5791535999999997</v>
          </cell>
          <cell r="AE15">
            <v>4.6657288999999995</v>
          </cell>
          <cell r="AF15">
            <v>4.7523041999999993</v>
          </cell>
          <cell r="AG15">
            <v>4.8388794999999991</v>
          </cell>
          <cell r="AH15">
            <v>4.9254547999999989</v>
          </cell>
          <cell r="AI15">
            <v>5.0120300999999987</v>
          </cell>
          <cell r="AJ15">
            <v>5.0986053999999985</v>
          </cell>
          <cell r="AK15">
            <v>5.1851806999999983</v>
          </cell>
          <cell r="AL15">
            <v>5.2717559999999981</v>
          </cell>
          <cell r="AM15">
            <v>5.2717559999999981</v>
          </cell>
          <cell r="AN15">
            <v>4.4060030000000001</v>
          </cell>
          <cell r="AO15">
            <v>4.4060030000000001</v>
          </cell>
          <cell r="AR15">
            <v>2.7448269999999999</v>
          </cell>
          <cell r="AS15">
            <v>2.5603278999999999</v>
          </cell>
          <cell r="AT15">
            <v>2.3758287999999999</v>
          </cell>
          <cell r="AU15">
            <v>2.1913296999999998</v>
          </cell>
          <cell r="AV15">
            <v>2.0068305999999998</v>
          </cell>
          <cell r="AW15">
            <v>1.8223314999999998</v>
          </cell>
          <cell r="AX15">
            <v>1.6378323999999997</v>
          </cell>
          <cell r="AY15">
            <v>1.4533332999999997</v>
          </cell>
          <cell r="AZ15">
            <v>1.2688341999999997</v>
          </cell>
          <cell r="BA15">
            <v>1.0843350999999997</v>
          </cell>
          <cell r="BB15">
            <v>0.89983599999999964</v>
          </cell>
          <cell r="BC15">
            <v>0.89983599999999964</v>
          </cell>
          <cell r="BD15">
            <v>2.7448269999999999</v>
          </cell>
          <cell r="BE15">
            <v>2.7448269999999999</v>
          </cell>
        </row>
        <row r="16">
          <cell r="AB16">
            <v>-6.45</v>
          </cell>
          <cell r="AC16">
            <v>-6.3900000000000006</v>
          </cell>
          <cell r="AD16">
            <v>-6.33</v>
          </cell>
          <cell r="AE16">
            <v>-6.27</v>
          </cell>
          <cell r="AF16">
            <v>-6.2099999999999991</v>
          </cell>
          <cell r="AG16">
            <v>-6.1499999999999986</v>
          </cell>
          <cell r="AH16">
            <v>-6.0899999999999981</v>
          </cell>
          <cell r="AI16">
            <v>-6.0299999999999976</v>
          </cell>
          <cell r="AJ16">
            <v>-5.9699999999999971</v>
          </cell>
          <cell r="AK16">
            <v>-5.9099999999999966</v>
          </cell>
          <cell r="AL16">
            <v>-5.8499999999999961</v>
          </cell>
          <cell r="AM16">
            <v>-5.8499999999999961</v>
          </cell>
          <cell r="AN16">
            <v>-6.45</v>
          </cell>
          <cell r="AO16">
            <v>-6.45</v>
          </cell>
          <cell r="AR16">
            <v>0.9</v>
          </cell>
          <cell r="AS16">
            <v>0.9</v>
          </cell>
          <cell r="AT16">
            <v>0.9</v>
          </cell>
          <cell r="AU16">
            <v>0.9</v>
          </cell>
          <cell r="AV16">
            <v>0.9</v>
          </cell>
          <cell r="AW16">
            <v>0.9</v>
          </cell>
          <cell r="AX16">
            <v>0.9</v>
          </cell>
          <cell r="AY16">
            <v>0.9</v>
          </cell>
          <cell r="AZ16">
            <v>0.9</v>
          </cell>
          <cell r="BA16">
            <v>0.9</v>
          </cell>
          <cell r="BB16">
            <v>0.9</v>
          </cell>
          <cell r="BC16">
            <v>0.9</v>
          </cell>
          <cell r="BD16">
            <v>0.9</v>
          </cell>
          <cell r="BE16">
            <v>0.9</v>
          </cell>
        </row>
        <row r="17">
          <cell r="AB17">
            <v>-5.85</v>
          </cell>
          <cell r="AC17">
            <v>-5.6999999999999993</v>
          </cell>
          <cell r="AD17">
            <v>-5.5499999999999989</v>
          </cell>
          <cell r="AE17">
            <v>-5.3999999999999986</v>
          </cell>
          <cell r="AF17">
            <v>-5.2499999999999982</v>
          </cell>
          <cell r="AG17">
            <v>-5.0999999999999979</v>
          </cell>
          <cell r="AH17">
            <v>-4.9499999999999975</v>
          </cell>
          <cell r="AI17">
            <v>-4.7999999999999972</v>
          </cell>
          <cell r="AJ17">
            <v>-4.6499999999999968</v>
          </cell>
          <cell r="AK17">
            <v>-4.4999999999999964</v>
          </cell>
          <cell r="AL17">
            <v>-4.3499999999999961</v>
          </cell>
          <cell r="AM17">
            <v>-4.3499999999999961</v>
          </cell>
          <cell r="AN17">
            <v>-5.85</v>
          </cell>
          <cell r="AO17">
            <v>-5.85</v>
          </cell>
          <cell r="AR17">
            <v>0.9</v>
          </cell>
          <cell r="AS17">
            <v>0.9</v>
          </cell>
          <cell r="AT17">
            <v>0.9</v>
          </cell>
          <cell r="AU17">
            <v>0.9</v>
          </cell>
          <cell r="AV17">
            <v>0.9</v>
          </cell>
          <cell r="AW17">
            <v>0.9</v>
          </cell>
          <cell r="AX17">
            <v>0.9</v>
          </cell>
          <cell r="AY17">
            <v>0.9</v>
          </cell>
          <cell r="AZ17">
            <v>0.9</v>
          </cell>
          <cell r="BA17">
            <v>0.9</v>
          </cell>
          <cell r="BB17">
            <v>0.9</v>
          </cell>
          <cell r="BC17">
            <v>0.9</v>
          </cell>
          <cell r="BD17">
            <v>0.9</v>
          </cell>
          <cell r="BE17">
            <v>0.9</v>
          </cell>
        </row>
        <row r="18">
          <cell r="AB18">
            <v>-4.3499999999999996</v>
          </cell>
          <cell r="AC18">
            <v>-4.29</v>
          </cell>
          <cell r="AD18">
            <v>-4.2300000000000004</v>
          </cell>
          <cell r="AE18">
            <v>-4.1700000000000008</v>
          </cell>
          <cell r="AF18">
            <v>-4.1100000000000012</v>
          </cell>
          <cell r="AG18">
            <v>-4.0500000000000016</v>
          </cell>
          <cell r="AH18">
            <v>-3.9900000000000015</v>
          </cell>
          <cell r="AI18">
            <v>-3.9300000000000015</v>
          </cell>
          <cell r="AJ18">
            <v>-3.8700000000000014</v>
          </cell>
          <cell r="AK18">
            <v>-3.8100000000000014</v>
          </cell>
          <cell r="AL18">
            <v>-3.7500000000000013</v>
          </cell>
          <cell r="AM18">
            <v>-3.7500000000000013</v>
          </cell>
          <cell r="AN18">
            <v>-4.3499999999999996</v>
          </cell>
          <cell r="AO18">
            <v>-4.3499999999999996</v>
          </cell>
          <cell r="AR18">
            <v>0.9</v>
          </cell>
          <cell r="AS18">
            <v>0.9</v>
          </cell>
          <cell r="AT18">
            <v>0.9</v>
          </cell>
          <cell r="AU18">
            <v>0.9</v>
          </cell>
          <cell r="AV18">
            <v>0.9</v>
          </cell>
          <cell r="AW18">
            <v>0.9</v>
          </cell>
          <cell r="AX18">
            <v>0.9</v>
          </cell>
          <cell r="AY18">
            <v>0.9</v>
          </cell>
          <cell r="AZ18">
            <v>0.9</v>
          </cell>
          <cell r="BA18">
            <v>0.9</v>
          </cell>
          <cell r="BB18">
            <v>0.9</v>
          </cell>
          <cell r="BC18">
            <v>0.9</v>
          </cell>
          <cell r="BD18">
            <v>0.9</v>
          </cell>
          <cell r="BE18">
            <v>0.9</v>
          </cell>
        </row>
        <row r="19">
          <cell r="AB19">
            <v>-5.55</v>
          </cell>
          <cell r="AC19">
            <v>-5.58</v>
          </cell>
          <cell r="AD19">
            <v>-5.61</v>
          </cell>
          <cell r="AE19">
            <v>-5.6400000000000006</v>
          </cell>
          <cell r="AF19">
            <v>-5.6700000000000008</v>
          </cell>
          <cell r="AG19">
            <v>-5.7000000000000011</v>
          </cell>
          <cell r="AH19">
            <v>-5.7300000000000013</v>
          </cell>
          <cell r="AI19">
            <v>-5.7600000000000016</v>
          </cell>
          <cell r="AJ19">
            <v>-5.7900000000000018</v>
          </cell>
          <cell r="AK19">
            <v>-5.8200000000000021</v>
          </cell>
          <cell r="AL19">
            <v>-5.8500000000000023</v>
          </cell>
          <cell r="AM19">
            <v>-5.8500000000000023</v>
          </cell>
          <cell r="AN19">
            <v>-5.55</v>
          </cell>
          <cell r="AO19">
            <v>-5.55</v>
          </cell>
          <cell r="AR19">
            <v>2.85</v>
          </cell>
          <cell r="AS19">
            <v>2.6550000000000002</v>
          </cell>
          <cell r="AT19">
            <v>2.4600000000000004</v>
          </cell>
          <cell r="AU19">
            <v>2.2650000000000006</v>
          </cell>
          <cell r="AV19">
            <v>2.0700000000000007</v>
          </cell>
          <cell r="AW19">
            <v>1.8750000000000007</v>
          </cell>
          <cell r="AX19">
            <v>1.6800000000000006</v>
          </cell>
          <cell r="AY19">
            <v>1.4850000000000005</v>
          </cell>
          <cell r="AZ19">
            <v>1.2900000000000005</v>
          </cell>
          <cell r="BA19">
            <v>1.0950000000000004</v>
          </cell>
          <cell r="BB19">
            <v>0.90000000000000036</v>
          </cell>
          <cell r="BC19">
            <v>0.90000000000000036</v>
          </cell>
          <cell r="BD19">
            <v>2.85</v>
          </cell>
          <cell r="BE19">
            <v>2.85</v>
          </cell>
        </row>
        <row r="20">
          <cell r="AB20">
            <v>-4.6500000000000004</v>
          </cell>
          <cell r="AC20">
            <v>-4.62</v>
          </cell>
          <cell r="AD20">
            <v>-4.59</v>
          </cell>
          <cell r="AE20">
            <v>-4.5599999999999996</v>
          </cell>
          <cell r="AF20">
            <v>-4.5299999999999994</v>
          </cell>
          <cell r="AG20">
            <v>-4.4999999999999991</v>
          </cell>
          <cell r="AH20">
            <v>-4.4699999999999989</v>
          </cell>
          <cell r="AI20">
            <v>-4.4399999999999986</v>
          </cell>
          <cell r="AJ20">
            <v>-4.4099999999999984</v>
          </cell>
          <cell r="AK20">
            <v>-4.3799999999999981</v>
          </cell>
          <cell r="AL20">
            <v>-4.3499999999999979</v>
          </cell>
          <cell r="AM20">
            <v>-4.3499999999999979</v>
          </cell>
          <cell r="AN20">
            <v>-4.6500000000000004</v>
          </cell>
          <cell r="AO20">
            <v>-4.6500000000000004</v>
          </cell>
          <cell r="AR20">
            <v>2.85</v>
          </cell>
          <cell r="AS20">
            <v>2.6550000000000002</v>
          </cell>
          <cell r="AT20">
            <v>2.4600000000000004</v>
          </cell>
          <cell r="AU20">
            <v>2.2650000000000006</v>
          </cell>
          <cell r="AV20">
            <v>2.0700000000000007</v>
          </cell>
          <cell r="AW20">
            <v>1.8750000000000007</v>
          </cell>
          <cell r="AX20">
            <v>1.6800000000000006</v>
          </cell>
          <cell r="AY20">
            <v>1.4850000000000005</v>
          </cell>
          <cell r="AZ20">
            <v>1.2900000000000005</v>
          </cell>
          <cell r="BA20">
            <v>1.0950000000000004</v>
          </cell>
          <cell r="BB20">
            <v>0.90000000000000036</v>
          </cell>
          <cell r="BC20">
            <v>0.90000000000000036</v>
          </cell>
          <cell r="BD20">
            <v>2.85</v>
          </cell>
          <cell r="BE20">
            <v>2.85</v>
          </cell>
        </row>
        <row r="21">
          <cell r="AB21">
            <v>8.6999999999999993</v>
          </cell>
          <cell r="AC21">
            <v>9.0449999999999999</v>
          </cell>
          <cell r="AD21">
            <v>9.39</v>
          </cell>
          <cell r="AE21">
            <v>9.7350000000000012</v>
          </cell>
          <cell r="AF21">
            <v>10.080000000000002</v>
          </cell>
          <cell r="AG21">
            <v>10.425000000000002</v>
          </cell>
          <cell r="AH21">
            <v>10.770000000000003</v>
          </cell>
          <cell r="AI21">
            <v>11.115000000000004</v>
          </cell>
          <cell r="AJ21">
            <v>11.460000000000004</v>
          </cell>
          <cell r="AK21">
            <v>11.805000000000005</v>
          </cell>
          <cell r="AL21">
            <v>12.150000000000006</v>
          </cell>
          <cell r="AM21">
            <v>12.150000000000006</v>
          </cell>
          <cell r="AN21">
            <v>8.6999999999999993</v>
          </cell>
          <cell r="AO21">
            <v>8.6999999999999993</v>
          </cell>
          <cell r="AR21">
            <v>0.9</v>
          </cell>
          <cell r="AS21">
            <v>0.9</v>
          </cell>
          <cell r="AT21">
            <v>0.9</v>
          </cell>
          <cell r="AU21">
            <v>0.9</v>
          </cell>
          <cell r="AV21">
            <v>0.9</v>
          </cell>
          <cell r="AW21">
            <v>0.9</v>
          </cell>
          <cell r="AX21">
            <v>0.9</v>
          </cell>
          <cell r="AY21">
            <v>0.9</v>
          </cell>
          <cell r="AZ21">
            <v>0.9</v>
          </cell>
          <cell r="BA21">
            <v>0.9</v>
          </cell>
          <cell r="BB21">
            <v>0.9</v>
          </cell>
          <cell r="BC21">
            <v>0.9</v>
          </cell>
          <cell r="BD21">
            <v>0.9</v>
          </cell>
          <cell r="BE21">
            <v>0.9</v>
          </cell>
        </row>
        <row r="22">
          <cell r="AB22">
            <v>3.38565</v>
          </cell>
          <cell r="AC22">
            <v>3.4876852999999999</v>
          </cell>
          <cell r="AD22">
            <v>3.5897205999999997</v>
          </cell>
          <cell r="AE22">
            <v>3.6917558999999995</v>
          </cell>
          <cell r="AF22">
            <v>3.7937911999999994</v>
          </cell>
          <cell r="AG22">
            <v>3.8958264999999992</v>
          </cell>
          <cell r="AH22">
            <v>3.997861799999999</v>
          </cell>
          <cell r="AI22">
            <v>4.0998970999999989</v>
          </cell>
          <cell r="AJ22">
            <v>4.2019323999999987</v>
          </cell>
          <cell r="AK22">
            <v>4.3039676999999985</v>
          </cell>
          <cell r="AL22">
            <v>4.4060029999999983</v>
          </cell>
          <cell r="AM22">
            <v>4.4060029999999983</v>
          </cell>
          <cell r="AN22">
            <v>3.38565</v>
          </cell>
          <cell r="AO22">
            <v>3.38565</v>
          </cell>
          <cell r="AR22">
            <v>2.7293310000000002</v>
          </cell>
          <cell r="AS22">
            <v>2.7308806000000003</v>
          </cell>
          <cell r="AT22">
            <v>2.7324302000000005</v>
          </cell>
          <cell r="AU22">
            <v>2.7339798000000006</v>
          </cell>
          <cell r="AV22">
            <v>2.7355294000000008</v>
          </cell>
          <cell r="AW22">
            <v>2.7370790000000009</v>
          </cell>
          <cell r="AX22">
            <v>2.7386286000000011</v>
          </cell>
          <cell r="AY22">
            <v>2.7401782000000012</v>
          </cell>
          <cell r="AZ22">
            <v>2.7417278000000014</v>
          </cell>
          <cell r="BA22">
            <v>2.7432774000000015</v>
          </cell>
          <cell r="BB22">
            <v>2.7448270000000017</v>
          </cell>
          <cell r="BC22">
            <v>2.7448270000000017</v>
          </cell>
          <cell r="BD22">
            <v>2.7293310000000002</v>
          </cell>
          <cell r="BE22">
            <v>2.7293310000000002</v>
          </cell>
        </row>
        <row r="23">
          <cell r="AB23">
            <v>12.15</v>
          </cell>
          <cell r="AC23">
            <v>12.4950817</v>
          </cell>
          <cell r="AD23">
            <v>12.8401634</v>
          </cell>
          <cell r="AE23">
            <v>13.185245099999999</v>
          </cell>
          <cell r="AF23">
            <v>13.530326799999999</v>
          </cell>
          <cell r="AG23">
            <v>13.875408499999999</v>
          </cell>
          <cell r="AH23">
            <v>14.220490199999999</v>
          </cell>
          <cell r="AI23">
            <v>14.565571899999998</v>
          </cell>
          <cell r="AJ23">
            <v>14.910653599999998</v>
          </cell>
          <cell r="AK23">
            <v>15.255735299999998</v>
          </cell>
          <cell r="AL23">
            <v>15.600816999999997</v>
          </cell>
          <cell r="AM23">
            <v>15.600816999999997</v>
          </cell>
          <cell r="AN23">
            <v>12.15</v>
          </cell>
          <cell r="AO23">
            <v>12.15</v>
          </cell>
          <cell r="AR23">
            <v>0.9</v>
          </cell>
          <cell r="AS23">
            <v>0.89998359999999999</v>
          </cell>
          <cell r="AT23">
            <v>0.89996719999999997</v>
          </cell>
          <cell r="AU23">
            <v>0.89995079999999994</v>
          </cell>
          <cell r="AV23">
            <v>0.89993439999999991</v>
          </cell>
          <cell r="AW23">
            <v>0.89991799999999988</v>
          </cell>
          <cell r="AX23">
            <v>0.89990159999999986</v>
          </cell>
          <cell r="AY23">
            <v>0.89988519999999983</v>
          </cell>
          <cell r="AZ23">
            <v>0.8998687999999998</v>
          </cell>
          <cell r="BA23">
            <v>0.89985239999999977</v>
          </cell>
          <cell r="BB23">
            <v>0.89983599999999975</v>
          </cell>
          <cell r="BC23">
            <v>0.89983599999999975</v>
          </cell>
          <cell r="BD23">
            <v>0.9</v>
          </cell>
          <cell r="BE23">
            <v>0.9</v>
          </cell>
        </row>
        <row r="24">
          <cell r="AB24">
            <v>12.15</v>
          </cell>
          <cell r="AC24">
            <v>12.6300001</v>
          </cell>
          <cell r="AD24">
            <v>13.1100002</v>
          </cell>
          <cell r="AE24">
            <v>13.5900003</v>
          </cell>
          <cell r="AF24">
            <v>14.0700004</v>
          </cell>
          <cell r="AG24">
            <v>14.550000499999999</v>
          </cell>
          <cell r="AH24">
            <v>15.030000599999999</v>
          </cell>
          <cell r="AI24">
            <v>15.510000699999999</v>
          </cell>
          <cell r="AJ24">
            <v>15.990000799999999</v>
          </cell>
          <cell r="AK24">
            <v>16.470000899999999</v>
          </cell>
          <cell r="AL24">
            <v>16.950001</v>
          </cell>
          <cell r="AM24">
            <v>16.950001</v>
          </cell>
          <cell r="AN24">
            <v>12.15</v>
          </cell>
          <cell r="AO24">
            <v>12.15</v>
          </cell>
          <cell r="AR24">
            <v>0.9</v>
          </cell>
          <cell r="AS24">
            <v>0.6</v>
          </cell>
          <cell r="AT24">
            <v>0.29999999999999993</v>
          </cell>
          <cell r="AU24">
            <v>-1.1102230246251565E-16</v>
          </cell>
          <cell r="AV24">
            <v>-0.30000000000000016</v>
          </cell>
          <cell r="AW24">
            <v>-0.6000000000000002</v>
          </cell>
          <cell r="AX24">
            <v>-0.90000000000000024</v>
          </cell>
          <cell r="AY24">
            <v>-1.2000000000000002</v>
          </cell>
          <cell r="AZ24">
            <v>-1.5000000000000002</v>
          </cell>
          <cell r="BA24">
            <v>-1.8000000000000003</v>
          </cell>
          <cell r="BB24">
            <v>-2.1000000000000005</v>
          </cell>
          <cell r="BC24">
            <v>-2.1000000000000005</v>
          </cell>
          <cell r="BD24">
            <v>0.9</v>
          </cell>
          <cell r="BE24">
            <v>0.9</v>
          </cell>
        </row>
        <row r="25">
          <cell r="AB25">
            <v>21.75</v>
          </cell>
          <cell r="AC25">
            <v>21.270000100000001</v>
          </cell>
          <cell r="AD25">
            <v>20.790000200000001</v>
          </cell>
          <cell r="AE25">
            <v>20.310000300000002</v>
          </cell>
          <cell r="AF25">
            <v>19.830000400000003</v>
          </cell>
          <cell r="AG25">
            <v>19.350000500000004</v>
          </cell>
          <cell r="AH25">
            <v>18.870000600000004</v>
          </cell>
          <cell r="AI25">
            <v>18.390000700000005</v>
          </cell>
          <cell r="AJ25">
            <v>17.910000800000006</v>
          </cell>
          <cell r="AK25">
            <v>17.430000900000007</v>
          </cell>
          <cell r="AL25">
            <v>16.950001000000007</v>
          </cell>
          <cell r="AM25">
            <v>16.950001000000007</v>
          </cell>
          <cell r="AN25">
            <v>21.75</v>
          </cell>
          <cell r="AO25">
            <v>21.75</v>
          </cell>
          <cell r="AR25">
            <v>0.9</v>
          </cell>
          <cell r="AS25">
            <v>0.6</v>
          </cell>
          <cell r="AT25">
            <v>0.29999999999999993</v>
          </cell>
          <cell r="AU25">
            <v>-1.1102230246251565E-16</v>
          </cell>
          <cell r="AV25">
            <v>-0.30000000000000016</v>
          </cell>
          <cell r="AW25">
            <v>-0.6000000000000002</v>
          </cell>
          <cell r="AX25">
            <v>-0.90000000000000024</v>
          </cell>
          <cell r="AY25">
            <v>-1.2000000000000002</v>
          </cell>
          <cell r="AZ25">
            <v>-1.5000000000000002</v>
          </cell>
          <cell r="BA25">
            <v>-1.8000000000000003</v>
          </cell>
          <cell r="BB25">
            <v>-2.1000000000000005</v>
          </cell>
          <cell r="BC25">
            <v>-2.1000000000000005</v>
          </cell>
          <cell r="BD25">
            <v>0.9</v>
          </cell>
          <cell r="BE25">
            <v>0.9</v>
          </cell>
        </row>
        <row r="26">
          <cell r="AB26">
            <v>16.950001</v>
          </cell>
          <cell r="AC26">
            <v>17.087176500000002</v>
          </cell>
          <cell r="AD26">
            <v>17.224352000000003</v>
          </cell>
          <cell r="AE26">
            <v>17.361527500000005</v>
          </cell>
          <cell r="AF26">
            <v>17.498703000000006</v>
          </cell>
          <cell r="AG26">
            <v>17.635878500000008</v>
          </cell>
          <cell r="AH26">
            <v>17.773054000000009</v>
          </cell>
          <cell r="AI26">
            <v>17.91022950000001</v>
          </cell>
          <cell r="AJ26">
            <v>18.047405000000012</v>
          </cell>
          <cell r="AK26">
            <v>18.184580500000013</v>
          </cell>
          <cell r="AL26">
            <v>18.321756000000015</v>
          </cell>
          <cell r="AM26">
            <v>18.321756000000015</v>
          </cell>
          <cell r="AN26">
            <v>16.950001</v>
          </cell>
          <cell r="AO26">
            <v>16.950001</v>
          </cell>
          <cell r="AR26">
            <v>0.9</v>
          </cell>
          <cell r="AS26">
            <v>0.89998359999999999</v>
          </cell>
          <cell r="AT26">
            <v>0.89996719999999997</v>
          </cell>
          <cell r="AU26">
            <v>0.89995079999999994</v>
          </cell>
          <cell r="AV26">
            <v>0.89993439999999991</v>
          </cell>
          <cell r="AW26">
            <v>0.89991799999999988</v>
          </cell>
          <cell r="AX26">
            <v>0.89990159999999986</v>
          </cell>
          <cell r="AY26">
            <v>0.89988519999999983</v>
          </cell>
          <cell r="AZ26">
            <v>0.8998687999999998</v>
          </cell>
          <cell r="BA26">
            <v>0.89985239999999977</v>
          </cell>
          <cell r="BB26">
            <v>0.89983599999999975</v>
          </cell>
          <cell r="BC26">
            <v>0.89983599999999975</v>
          </cell>
          <cell r="BD26">
            <v>0.9</v>
          </cell>
          <cell r="BE26">
            <v>0.9</v>
          </cell>
        </row>
        <row r="27">
          <cell r="AB27">
            <v>16.350000000000001</v>
          </cell>
          <cell r="AC27">
            <v>16.358565000000002</v>
          </cell>
          <cell r="AD27">
            <v>16.367130000000003</v>
          </cell>
          <cell r="AE27">
            <v>16.375695000000004</v>
          </cell>
          <cell r="AF27">
            <v>16.384260000000005</v>
          </cell>
          <cell r="AG27">
            <v>16.392825000000006</v>
          </cell>
          <cell r="AH27">
            <v>16.401390000000006</v>
          </cell>
          <cell r="AI27">
            <v>16.409955000000007</v>
          </cell>
          <cell r="AJ27">
            <v>16.418520000000008</v>
          </cell>
          <cell r="AK27">
            <v>16.427085000000009</v>
          </cell>
          <cell r="AL27">
            <v>16.43565000000001</v>
          </cell>
          <cell r="AM27">
            <v>16.43565000000001</v>
          </cell>
          <cell r="AN27">
            <v>16.350000000000001</v>
          </cell>
          <cell r="AO27">
            <v>16.350000000000001</v>
          </cell>
          <cell r="AR27">
            <v>3.6</v>
          </cell>
          <cell r="AS27">
            <v>3.5129331000000001</v>
          </cell>
          <cell r="AT27">
            <v>3.4258662000000002</v>
          </cell>
          <cell r="AU27">
            <v>3.3387993000000002</v>
          </cell>
          <cell r="AV27">
            <v>3.2517324000000003</v>
          </cell>
          <cell r="AW27">
            <v>3.1646655000000004</v>
          </cell>
          <cell r="AX27">
            <v>3.0775986000000004</v>
          </cell>
          <cell r="AY27">
            <v>2.9905317000000005</v>
          </cell>
          <cell r="AZ27">
            <v>2.9034648000000005</v>
          </cell>
          <cell r="BA27">
            <v>2.8163979000000006</v>
          </cell>
          <cell r="BB27">
            <v>2.7293310000000006</v>
          </cell>
          <cell r="BC27">
            <v>2.7293310000000006</v>
          </cell>
          <cell r="BD27">
            <v>3.6</v>
          </cell>
          <cell r="BE27">
            <v>3.6</v>
          </cell>
        </row>
        <row r="28">
          <cell r="AB28">
            <v>17.549999</v>
          </cell>
          <cell r="AC28">
            <v>17.540599399999998</v>
          </cell>
          <cell r="AD28">
            <v>17.531199799999996</v>
          </cell>
          <cell r="AE28">
            <v>17.521800199999994</v>
          </cell>
          <cell r="AF28">
            <v>17.512400599999992</v>
          </cell>
          <cell r="AG28">
            <v>17.50300099999999</v>
          </cell>
          <cell r="AH28">
            <v>17.493601399999989</v>
          </cell>
          <cell r="AI28">
            <v>17.484201799999987</v>
          </cell>
          <cell r="AJ28">
            <v>17.474802199999985</v>
          </cell>
          <cell r="AK28">
            <v>17.465402599999983</v>
          </cell>
          <cell r="AL28">
            <v>17.456002999999981</v>
          </cell>
          <cell r="AM28">
            <v>17.456002999999981</v>
          </cell>
          <cell r="AN28">
            <v>17.549999</v>
          </cell>
          <cell r="AO28">
            <v>17.549999</v>
          </cell>
          <cell r="AR28">
            <v>3.6</v>
          </cell>
          <cell r="AS28">
            <v>3.5144827000000003</v>
          </cell>
          <cell r="AT28">
            <v>3.4289654000000001</v>
          </cell>
          <cell r="AU28">
            <v>3.3434480999999998</v>
          </cell>
          <cell r="AV28">
            <v>3.2579307999999996</v>
          </cell>
          <cell r="AW28">
            <v>3.1724134999999993</v>
          </cell>
          <cell r="AX28">
            <v>3.0868961999999991</v>
          </cell>
          <cell r="AY28">
            <v>3.0013788999999989</v>
          </cell>
          <cell r="AZ28">
            <v>2.9158615999999986</v>
          </cell>
          <cell r="BA28">
            <v>2.8303442999999984</v>
          </cell>
          <cell r="BB28">
            <v>2.7448269999999981</v>
          </cell>
          <cell r="BC28">
            <v>2.7448269999999981</v>
          </cell>
          <cell r="BD28">
            <v>3.6</v>
          </cell>
          <cell r="BE28">
            <v>3.6</v>
          </cell>
        </row>
        <row r="29">
          <cell r="AB29">
            <v>15.600816999999999</v>
          </cell>
          <cell r="AC29">
            <v>15.735735399999999</v>
          </cell>
          <cell r="AD29">
            <v>15.870653799999999</v>
          </cell>
          <cell r="AE29">
            <v>16.0055722</v>
          </cell>
          <cell r="AF29">
            <v>16.1404906</v>
          </cell>
          <cell r="AG29">
            <v>16.275409</v>
          </cell>
          <cell r="AH29">
            <v>16.4103274</v>
          </cell>
          <cell r="AI29">
            <v>16.5452458</v>
          </cell>
          <cell r="AJ29">
            <v>16.6801642</v>
          </cell>
          <cell r="AK29">
            <v>16.8150826</v>
          </cell>
          <cell r="AL29">
            <v>16.950001</v>
          </cell>
          <cell r="AM29">
            <v>16.950001</v>
          </cell>
          <cell r="AN29">
            <v>15.600816999999999</v>
          </cell>
          <cell r="AO29">
            <v>15.600816999999999</v>
          </cell>
          <cell r="AR29">
            <v>0.89983599999999997</v>
          </cell>
          <cell r="AS29">
            <v>0.8998524</v>
          </cell>
          <cell r="AT29">
            <v>0.89986880000000002</v>
          </cell>
          <cell r="AU29">
            <v>0.89988520000000005</v>
          </cell>
          <cell r="AV29">
            <v>0.89990160000000008</v>
          </cell>
          <cell r="AW29">
            <v>0.89991800000000011</v>
          </cell>
          <cell r="AX29">
            <v>0.89993440000000013</v>
          </cell>
          <cell r="AY29">
            <v>0.89995080000000016</v>
          </cell>
          <cell r="AZ29">
            <v>0.89996720000000019</v>
          </cell>
          <cell r="BA29">
            <v>0.89998360000000022</v>
          </cell>
          <cell r="BB29">
            <v>0.90000000000000024</v>
          </cell>
          <cell r="BC29">
            <v>0.90000000000000024</v>
          </cell>
          <cell r="BD29">
            <v>0.89983599999999997</v>
          </cell>
          <cell r="BE29">
            <v>0.89983599999999997</v>
          </cell>
        </row>
        <row r="30">
          <cell r="AB30">
            <v>18.321756000000001</v>
          </cell>
          <cell r="AC30">
            <v>18.664580400000002</v>
          </cell>
          <cell r="AD30">
            <v>19.007404800000003</v>
          </cell>
          <cell r="AE30">
            <v>19.350229200000005</v>
          </cell>
          <cell r="AF30">
            <v>19.693053600000006</v>
          </cell>
          <cell r="AG30">
            <v>20.035878000000007</v>
          </cell>
          <cell r="AH30">
            <v>20.378702400000009</v>
          </cell>
          <cell r="AI30">
            <v>20.72152680000001</v>
          </cell>
          <cell r="AJ30">
            <v>21.064351200000011</v>
          </cell>
          <cell r="AK30">
            <v>21.407175600000013</v>
          </cell>
          <cell r="AL30">
            <v>21.750000000000014</v>
          </cell>
          <cell r="AM30">
            <v>21.750000000000014</v>
          </cell>
          <cell r="AN30">
            <v>18.321756000000001</v>
          </cell>
          <cell r="AO30">
            <v>18.321756000000001</v>
          </cell>
          <cell r="AR30">
            <v>0.89983599999999997</v>
          </cell>
          <cell r="AS30">
            <v>0.8998524</v>
          </cell>
          <cell r="AT30">
            <v>0.89986880000000002</v>
          </cell>
          <cell r="AU30">
            <v>0.89988520000000005</v>
          </cell>
          <cell r="AV30">
            <v>0.89990160000000008</v>
          </cell>
          <cell r="AW30">
            <v>0.89991800000000011</v>
          </cell>
          <cell r="AX30">
            <v>0.89993440000000013</v>
          </cell>
          <cell r="AY30">
            <v>0.89995080000000016</v>
          </cell>
          <cell r="AZ30">
            <v>0.89996720000000019</v>
          </cell>
          <cell r="BA30">
            <v>0.89998360000000022</v>
          </cell>
          <cell r="BB30">
            <v>0.90000000000000024</v>
          </cell>
          <cell r="BC30">
            <v>0.90000000000000024</v>
          </cell>
          <cell r="BD30">
            <v>0.89983599999999997</v>
          </cell>
          <cell r="BE30">
            <v>0.89983599999999997</v>
          </cell>
        </row>
        <row r="31">
          <cell r="AB31">
            <v>16.435649999999999</v>
          </cell>
          <cell r="AC31">
            <v>16.487085099999998</v>
          </cell>
          <cell r="AD31">
            <v>16.538520199999997</v>
          </cell>
          <cell r="AE31">
            <v>16.589955299999996</v>
          </cell>
          <cell r="AF31">
            <v>16.641390399999995</v>
          </cell>
          <cell r="AG31">
            <v>16.692825499999994</v>
          </cell>
          <cell r="AH31">
            <v>16.744260599999993</v>
          </cell>
          <cell r="AI31">
            <v>16.795695699999992</v>
          </cell>
          <cell r="AJ31">
            <v>16.847130799999992</v>
          </cell>
          <cell r="AK31">
            <v>16.898565899999991</v>
          </cell>
          <cell r="AL31">
            <v>16.95000099999999</v>
          </cell>
          <cell r="AM31">
            <v>16.95000099999999</v>
          </cell>
          <cell r="AN31">
            <v>16.435649999999999</v>
          </cell>
          <cell r="AO31">
            <v>16.435649999999999</v>
          </cell>
          <cell r="AR31">
            <v>2.7293310000000002</v>
          </cell>
          <cell r="AS31">
            <v>2.2463979000000003</v>
          </cell>
          <cell r="AT31">
            <v>1.7634648000000002</v>
          </cell>
          <cell r="AU31">
            <v>1.2805317000000001</v>
          </cell>
          <cell r="AV31">
            <v>0.79759859999999994</v>
          </cell>
          <cell r="AW31">
            <v>0.31466549999999988</v>
          </cell>
          <cell r="AX31">
            <v>-0.16826760000000018</v>
          </cell>
          <cell r="AY31">
            <v>-0.65120070000000019</v>
          </cell>
          <cell r="AZ31">
            <v>-1.1341338000000003</v>
          </cell>
          <cell r="BA31">
            <v>-1.6170669000000004</v>
          </cell>
          <cell r="BB31">
            <v>-2.1000000000000005</v>
          </cell>
          <cell r="BC31">
            <v>-2.1000000000000005</v>
          </cell>
          <cell r="BD31">
            <v>2.7293310000000002</v>
          </cell>
          <cell r="BE31">
            <v>2.7293310000000002</v>
          </cell>
        </row>
        <row r="32">
          <cell r="AB32">
            <v>17.456002999999999</v>
          </cell>
          <cell r="AC32">
            <v>17.405402799999997</v>
          </cell>
          <cell r="AD32">
            <v>17.354802599999999</v>
          </cell>
          <cell r="AE32">
            <v>17.304202400000001</v>
          </cell>
          <cell r="AF32">
            <v>17.253602200000003</v>
          </cell>
          <cell r="AG32">
            <v>17.203002000000005</v>
          </cell>
          <cell r="AH32">
            <v>17.152401800000007</v>
          </cell>
          <cell r="AI32">
            <v>17.101801600000009</v>
          </cell>
          <cell r="AJ32">
            <v>17.051201400000011</v>
          </cell>
          <cell r="AK32">
            <v>17.000601200000013</v>
          </cell>
          <cell r="AL32">
            <v>16.950001000000015</v>
          </cell>
          <cell r="AM32">
            <v>16.950001000000015</v>
          </cell>
          <cell r="AN32">
            <v>17.456002999999999</v>
          </cell>
          <cell r="AO32">
            <v>17.456002999999999</v>
          </cell>
          <cell r="AR32">
            <v>2.7448269999999999</v>
          </cell>
          <cell r="AS32">
            <v>2.2603442999999999</v>
          </cell>
          <cell r="AT32">
            <v>1.7758615999999998</v>
          </cell>
          <cell r="AU32">
            <v>1.2913788999999998</v>
          </cell>
          <cell r="AV32">
            <v>0.80689619999999973</v>
          </cell>
          <cell r="AW32">
            <v>0.32241349999999969</v>
          </cell>
          <cell r="AX32">
            <v>-0.16206920000000036</v>
          </cell>
          <cell r="AY32">
            <v>-0.6465519000000004</v>
          </cell>
          <cell r="AZ32">
            <v>-1.1310346000000004</v>
          </cell>
          <cell r="BA32">
            <v>-1.6155173000000005</v>
          </cell>
          <cell r="BB32">
            <v>-2.1000000000000005</v>
          </cell>
          <cell r="BC32">
            <v>-2.1000000000000005</v>
          </cell>
          <cell r="BD32">
            <v>2.7448269999999999</v>
          </cell>
          <cell r="BE32">
            <v>2.7448269999999999</v>
          </cell>
        </row>
        <row r="33">
          <cell r="AB33">
            <v>16.435649999999999</v>
          </cell>
          <cell r="AC33">
            <v>16.352166699999998</v>
          </cell>
          <cell r="AD33">
            <v>16.268683399999997</v>
          </cell>
          <cell r="AE33">
            <v>16.185200099999996</v>
          </cell>
          <cell r="AF33">
            <v>16.101716799999995</v>
          </cell>
          <cell r="AG33">
            <v>16.018233499999994</v>
          </cell>
          <cell r="AH33">
            <v>15.934750199999995</v>
          </cell>
          <cell r="AI33">
            <v>15.851266899999995</v>
          </cell>
          <cell r="AJ33">
            <v>15.767783599999996</v>
          </cell>
          <cell r="AK33">
            <v>15.684300299999997</v>
          </cell>
          <cell r="AL33">
            <v>15.600816999999997</v>
          </cell>
          <cell r="AM33">
            <v>15.600816999999997</v>
          </cell>
          <cell r="AN33">
            <v>16.435649999999999</v>
          </cell>
          <cell r="AO33">
            <v>16.435649999999999</v>
          </cell>
          <cell r="AR33">
            <v>2.7293310000000002</v>
          </cell>
          <cell r="AS33">
            <v>2.5463815000000003</v>
          </cell>
          <cell r="AT33">
            <v>2.3634320000000004</v>
          </cell>
          <cell r="AU33">
            <v>2.1804825000000005</v>
          </cell>
          <cell r="AV33">
            <v>1.9975330000000004</v>
          </cell>
          <cell r="AW33">
            <v>1.8145835000000003</v>
          </cell>
          <cell r="AX33">
            <v>1.6316340000000003</v>
          </cell>
          <cell r="AY33">
            <v>1.4486845000000002</v>
          </cell>
          <cell r="AZ33">
            <v>1.2657350000000001</v>
          </cell>
          <cell r="BA33">
            <v>1.0827855</v>
          </cell>
          <cell r="BB33">
            <v>0.89983599999999986</v>
          </cell>
          <cell r="BC33">
            <v>0.89983599999999986</v>
          </cell>
          <cell r="BD33">
            <v>2.7293310000000002</v>
          </cell>
          <cell r="BE33">
            <v>2.7293310000000002</v>
          </cell>
        </row>
        <row r="34">
          <cell r="AB34">
            <v>17.456002999999999</v>
          </cell>
          <cell r="AC34">
            <v>17.542578299999999</v>
          </cell>
          <cell r="AD34">
            <v>17.629153599999999</v>
          </cell>
          <cell r="AE34">
            <v>17.715728899999998</v>
          </cell>
          <cell r="AF34">
            <v>17.802304199999998</v>
          </cell>
          <cell r="AG34">
            <v>17.888879499999998</v>
          </cell>
          <cell r="AH34">
            <v>17.975454799999998</v>
          </cell>
          <cell r="AI34">
            <v>18.062030099999998</v>
          </cell>
          <cell r="AJ34">
            <v>18.148605399999997</v>
          </cell>
          <cell r="AK34">
            <v>18.235180699999997</v>
          </cell>
          <cell r="AL34">
            <v>18.321755999999997</v>
          </cell>
          <cell r="AM34">
            <v>18.321755999999997</v>
          </cell>
          <cell r="AN34">
            <v>17.456002999999999</v>
          </cell>
          <cell r="AO34">
            <v>17.456002999999999</v>
          </cell>
          <cell r="AR34">
            <v>2.7448269999999999</v>
          </cell>
          <cell r="AS34">
            <v>2.5603278999999999</v>
          </cell>
          <cell r="AT34">
            <v>2.3758287999999999</v>
          </cell>
          <cell r="AU34">
            <v>2.1913296999999998</v>
          </cell>
          <cell r="AV34">
            <v>2.0068305999999998</v>
          </cell>
          <cell r="AW34">
            <v>1.8223314999999998</v>
          </cell>
          <cell r="AX34">
            <v>1.6378323999999997</v>
          </cell>
          <cell r="AY34">
            <v>1.4533332999999997</v>
          </cell>
          <cell r="AZ34">
            <v>1.2688341999999997</v>
          </cell>
          <cell r="BA34">
            <v>1.0843350999999997</v>
          </cell>
          <cell r="BB34">
            <v>0.89983599999999964</v>
          </cell>
          <cell r="BC34">
            <v>0.89983599999999964</v>
          </cell>
          <cell r="BD34">
            <v>2.7448269999999999</v>
          </cell>
          <cell r="BE34">
            <v>2.7448269999999999</v>
          </cell>
        </row>
        <row r="35">
          <cell r="AB35">
            <v>16.435649999999999</v>
          </cell>
          <cell r="AC35">
            <v>16.5376853</v>
          </cell>
          <cell r="AD35">
            <v>16.6397206</v>
          </cell>
          <cell r="AE35">
            <v>16.741755900000001</v>
          </cell>
          <cell r="AF35">
            <v>16.843791200000002</v>
          </cell>
          <cell r="AG35">
            <v>16.945826500000003</v>
          </cell>
          <cell r="AH35">
            <v>17.047861800000003</v>
          </cell>
          <cell r="AI35">
            <v>17.149897100000004</v>
          </cell>
          <cell r="AJ35">
            <v>17.251932400000005</v>
          </cell>
          <cell r="AK35">
            <v>17.353967700000005</v>
          </cell>
          <cell r="AL35">
            <v>17.456003000000006</v>
          </cell>
          <cell r="AM35">
            <v>17.456003000000006</v>
          </cell>
          <cell r="AN35">
            <v>16.435649999999999</v>
          </cell>
          <cell r="AO35">
            <v>16.435649999999999</v>
          </cell>
          <cell r="AR35">
            <v>2.7293310000000002</v>
          </cell>
          <cell r="AS35">
            <v>2.7308806000000003</v>
          </cell>
          <cell r="AT35">
            <v>2.7324302000000005</v>
          </cell>
          <cell r="AU35">
            <v>2.7339798000000006</v>
          </cell>
          <cell r="AV35">
            <v>2.7355294000000008</v>
          </cell>
          <cell r="AW35">
            <v>2.7370790000000009</v>
          </cell>
          <cell r="AX35">
            <v>2.7386286000000011</v>
          </cell>
          <cell r="AY35">
            <v>2.7401782000000012</v>
          </cell>
          <cell r="AZ35">
            <v>2.7417278000000014</v>
          </cell>
          <cell r="BA35">
            <v>2.7432774000000015</v>
          </cell>
          <cell r="BB35">
            <v>2.7448270000000017</v>
          </cell>
          <cell r="BC35">
            <v>2.7448270000000017</v>
          </cell>
          <cell r="BD35">
            <v>2.7293310000000002</v>
          </cell>
          <cell r="BE35">
            <v>2.7293310000000002</v>
          </cell>
        </row>
        <row r="36">
          <cell r="AB36">
            <v>7.6500000953674316</v>
          </cell>
          <cell r="AC36">
            <v>7.6500000953674316</v>
          </cell>
          <cell r="AD36">
            <v>7.6500000953674316</v>
          </cell>
          <cell r="AE36">
            <v>7.6500000953674316</v>
          </cell>
          <cell r="AF36">
            <v>7.6500000953674316</v>
          </cell>
          <cell r="AG36">
            <v>7.6500000953674316</v>
          </cell>
          <cell r="AH36">
            <v>7.6500000953674316</v>
          </cell>
          <cell r="AI36">
            <v>7.6500000953674316</v>
          </cell>
          <cell r="AJ36">
            <v>7.6500000953674316</v>
          </cell>
          <cell r="AK36">
            <v>7.6500000953674316</v>
          </cell>
          <cell r="AL36">
            <v>7.6500000953674316</v>
          </cell>
          <cell r="AM36">
            <v>7.6500000953674316</v>
          </cell>
          <cell r="AN36">
            <v>7.6500000953674316</v>
          </cell>
          <cell r="AO36">
            <v>7.6500000953674316</v>
          </cell>
          <cell r="AR36">
            <v>0.75</v>
          </cell>
          <cell r="AS36">
            <v>0.75</v>
          </cell>
          <cell r="AT36">
            <v>0.75</v>
          </cell>
          <cell r="AU36">
            <v>0.75</v>
          </cell>
          <cell r="AV36">
            <v>0.75</v>
          </cell>
          <cell r="AW36">
            <v>0.75</v>
          </cell>
          <cell r="AX36">
            <v>0.75</v>
          </cell>
          <cell r="AY36">
            <v>0.75</v>
          </cell>
          <cell r="AZ36">
            <v>0.75</v>
          </cell>
          <cell r="BA36">
            <v>0.75</v>
          </cell>
          <cell r="BB36">
            <v>0.75</v>
          </cell>
          <cell r="BC36">
            <v>0.75</v>
          </cell>
          <cell r="BD36">
            <v>0.75</v>
          </cell>
          <cell r="BE36">
            <v>0.75</v>
          </cell>
        </row>
        <row r="37">
          <cell r="AB37">
            <v>7.6500000953674316</v>
          </cell>
          <cell r="AC37">
            <v>7.6500000953674316</v>
          </cell>
          <cell r="AD37">
            <v>7.6500000953674316</v>
          </cell>
          <cell r="AE37">
            <v>7.6500000953674316</v>
          </cell>
          <cell r="AF37">
            <v>7.6500000953674316</v>
          </cell>
          <cell r="AG37">
            <v>7.6500000953674316</v>
          </cell>
          <cell r="AH37">
            <v>7.6500000953674316</v>
          </cell>
          <cell r="AI37">
            <v>7.6500000953674316</v>
          </cell>
          <cell r="AJ37">
            <v>7.6500000953674316</v>
          </cell>
          <cell r="AK37">
            <v>7.6500000953674316</v>
          </cell>
          <cell r="AL37">
            <v>7.6500000953674316</v>
          </cell>
          <cell r="AM37">
            <v>7.6500000953674316</v>
          </cell>
          <cell r="AN37">
            <v>7.6500000953674316</v>
          </cell>
          <cell r="AO37">
            <v>7.6500000953674316</v>
          </cell>
          <cell r="AR37">
            <v>0.75</v>
          </cell>
          <cell r="AS37">
            <v>0.75</v>
          </cell>
          <cell r="AT37">
            <v>0.75</v>
          </cell>
          <cell r="AU37">
            <v>0.75</v>
          </cell>
          <cell r="AV37">
            <v>0.75</v>
          </cell>
          <cell r="AW37">
            <v>0.75</v>
          </cell>
          <cell r="AX37">
            <v>0.75</v>
          </cell>
          <cell r="AY37">
            <v>0.75</v>
          </cell>
          <cell r="AZ37">
            <v>0.75</v>
          </cell>
          <cell r="BA37">
            <v>0.75</v>
          </cell>
          <cell r="BB37">
            <v>0.75</v>
          </cell>
          <cell r="BC37">
            <v>0.75</v>
          </cell>
          <cell r="BD37">
            <v>0.75</v>
          </cell>
          <cell r="BE37">
            <v>0.75</v>
          </cell>
        </row>
        <row r="38">
          <cell r="AB38">
            <v>7.6500000953674316</v>
          </cell>
          <cell r="AC38">
            <v>7.6500000953674316</v>
          </cell>
          <cell r="AD38">
            <v>7.6500000953674316</v>
          </cell>
          <cell r="AE38">
            <v>7.6500000953674316</v>
          </cell>
          <cell r="AF38">
            <v>7.6500000953674316</v>
          </cell>
          <cell r="AG38">
            <v>7.6500000953674316</v>
          </cell>
          <cell r="AH38">
            <v>7.6500000953674316</v>
          </cell>
          <cell r="AI38">
            <v>7.6500000953674316</v>
          </cell>
          <cell r="AJ38">
            <v>7.6500000953674316</v>
          </cell>
          <cell r="AK38">
            <v>7.6500000953674316</v>
          </cell>
          <cell r="AL38">
            <v>7.6500000953674316</v>
          </cell>
          <cell r="AM38">
            <v>7.6500000953674316</v>
          </cell>
          <cell r="AN38">
            <v>7.6500000953674316</v>
          </cell>
          <cell r="AO38">
            <v>7.6500000953674316</v>
          </cell>
          <cell r="AR38">
            <v>0.75</v>
          </cell>
          <cell r="AS38">
            <v>0.75</v>
          </cell>
          <cell r="AT38">
            <v>0.75</v>
          </cell>
          <cell r="AU38">
            <v>0.75</v>
          </cell>
          <cell r="AV38">
            <v>0.75</v>
          </cell>
          <cell r="AW38">
            <v>0.75</v>
          </cell>
          <cell r="AX38">
            <v>0.75</v>
          </cell>
          <cell r="AY38">
            <v>0.75</v>
          </cell>
          <cell r="AZ38">
            <v>0.75</v>
          </cell>
          <cell r="BA38">
            <v>0.75</v>
          </cell>
          <cell r="BB38">
            <v>0.75</v>
          </cell>
          <cell r="BC38">
            <v>0.75</v>
          </cell>
          <cell r="BD38">
            <v>0.75</v>
          </cell>
          <cell r="BE38">
            <v>0.75</v>
          </cell>
        </row>
        <row r="39">
          <cell r="AB39">
            <v>7.6500000953674316</v>
          </cell>
          <cell r="AC39">
            <v>7.6500000953674316</v>
          </cell>
          <cell r="AD39">
            <v>7.6500000953674316</v>
          </cell>
          <cell r="AE39">
            <v>7.6500000953674316</v>
          </cell>
          <cell r="AF39">
            <v>7.6500000953674316</v>
          </cell>
          <cell r="AG39">
            <v>7.6500000953674316</v>
          </cell>
          <cell r="AH39">
            <v>7.6500000953674316</v>
          </cell>
          <cell r="AI39">
            <v>7.6500000953674316</v>
          </cell>
          <cell r="AJ39">
            <v>7.6500000953674316</v>
          </cell>
          <cell r="AK39">
            <v>7.6500000953674316</v>
          </cell>
          <cell r="AL39">
            <v>7.6500000953674316</v>
          </cell>
          <cell r="AM39">
            <v>7.6500000953674316</v>
          </cell>
          <cell r="AN39">
            <v>7.6500000953674316</v>
          </cell>
          <cell r="AO39">
            <v>7.6500000953674316</v>
          </cell>
          <cell r="AR39">
            <v>0.75</v>
          </cell>
          <cell r="AS39">
            <v>0.75</v>
          </cell>
          <cell r="AT39">
            <v>0.75</v>
          </cell>
          <cell r="AU39">
            <v>0.75</v>
          </cell>
          <cell r="AV39">
            <v>0.75</v>
          </cell>
          <cell r="AW39">
            <v>0.75</v>
          </cell>
          <cell r="AX39">
            <v>0.75</v>
          </cell>
          <cell r="AY39">
            <v>0.75</v>
          </cell>
          <cell r="AZ39">
            <v>0.75</v>
          </cell>
          <cell r="BA39">
            <v>0.75</v>
          </cell>
          <cell r="BB39">
            <v>0.75</v>
          </cell>
          <cell r="BC39">
            <v>0.75</v>
          </cell>
          <cell r="BD39">
            <v>0.75</v>
          </cell>
          <cell r="BE39">
            <v>0.75</v>
          </cell>
        </row>
        <row r="40">
          <cell r="AB40">
            <v>7.6500000953674316</v>
          </cell>
          <cell r="AC40">
            <v>7.6500000953674316</v>
          </cell>
          <cell r="AD40">
            <v>7.6500000953674316</v>
          </cell>
          <cell r="AE40">
            <v>7.6500000953674316</v>
          </cell>
          <cell r="AF40">
            <v>7.6500000953674316</v>
          </cell>
          <cell r="AG40">
            <v>7.6500000953674316</v>
          </cell>
          <cell r="AH40">
            <v>7.6500000953674316</v>
          </cell>
          <cell r="AI40">
            <v>7.6500000953674316</v>
          </cell>
          <cell r="AJ40">
            <v>7.6500000953674316</v>
          </cell>
          <cell r="AK40">
            <v>7.6500000953674316</v>
          </cell>
          <cell r="AL40">
            <v>7.6500000953674316</v>
          </cell>
          <cell r="AM40">
            <v>7.6500000953674316</v>
          </cell>
          <cell r="AN40">
            <v>7.6500000953674316</v>
          </cell>
          <cell r="AO40">
            <v>7.6500000953674316</v>
          </cell>
          <cell r="AR40">
            <v>0.75</v>
          </cell>
          <cell r="AS40">
            <v>0.75</v>
          </cell>
          <cell r="AT40">
            <v>0.75</v>
          </cell>
          <cell r="AU40">
            <v>0.75</v>
          </cell>
          <cell r="AV40">
            <v>0.75</v>
          </cell>
          <cell r="AW40">
            <v>0.75</v>
          </cell>
          <cell r="AX40">
            <v>0.75</v>
          </cell>
          <cell r="AY40">
            <v>0.75</v>
          </cell>
          <cell r="AZ40">
            <v>0.75</v>
          </cell>
          <cell r="BA40">
            <v>0.75</v>
          </cell>
          <cell r="BB40">
            <v>0.75</v>
          </cell>
          <cell r="BC40">
            <v>0.75</v>
          </cell>
          <cell r="BD40">
            <v>0.75</v>
          </cell>
          <cell r="BE40">
            <v>0.75</v>
          </cell>
        </row>
        <row r="41">
          <cell r="AB41">
            <v>7.6500000953674316</v>
          </cell>
          <cell r="AC41">
            <v>7.6500000953674316</v>
          </cell>
          <cell r="AD41">
            <v>7.6500000953674316</v>
          </cell>
          <cell r="AE41">
            <v>7.6500000953674316</v>
          </cell>
          <cell r="AF41">
            <v>7.6500000953674316</v>
          </cell>
          <cell r="AG41">
            <v>7.6500000953674316</v>
          </cell>
          <cell r="AH41">
            <v>7.6500000953674316</v>
          </cell>
          <cell r="AI41">
            <v>7.6500000953674316</v>
          </cell>
          <cell r="AJ41">
            <v>7.6500000953674316</v>
          </cell>
          <cell r="AK41">
            <v>7.6500000953674316</v>
          </cell>
          <cell r="AL41">
            <v>7.6500000953674316</v>
          </cell>
          <cell r="AM41">
            <v>7.6500000953674316</v>
          </cell>
          <cell r="AN41">
            <v>7.6500000953674316</v>
          </cell>
          <cell r="AO41">
            <v>7.6500000953674316</v>
          </cell>
          <cell r="AR41">
            <v>0.75</v>
          </cell>
          <cell r="AS41">
            <v>0.75</v>
          </cell>
          <cell r="AT41">
            <v>0.75</v>
          </cell>
          <cell r="AU41">
            <v>0.75</v>
          </cell>
          <cell r="AV41">
            <v>0.75</v>
          </cell>
          <cell r="AW41">
            <v>0.75</v>
          </cell>
          <cell r="AX41">
            <v>0.75</v>
          </cell>
          <cell r="AY41">
            <v>0.75</v>
          </cell>
          <cell r="AZ41">
            <v>0.75</v>
          </cell>
          <cell r="BA41">
            <v>0.75</v>
          </cell>
          <cell r="BB41">
            <v>0.75</v>
          </cell>
          <cell r="BC41">
            <v>0.75</v>
          </cell>
          <cell r="BD41">
            <v>0.75</v>
          </cell>
          <cell r="BE41">
            <v>0.75</v>
          </cell>
        </row>
        <row r="42">
          <cell r="AB42">
            <v>7.6500000953674316</v>
          </cell>
          <cell r="AC42">
            <v>7.6500000953674316</v>
          </cell>
          <cell r="AD42">
            <v>7.6500000953674316</v>
          </cell>
          <cell r="AE42">
            <v>7.6500000953674316</v>
          </cell>
          <cell r="AF42">
            <v>7.6500000953674316</v>
          </cell>
          <cell r="AG42">
            <v>7.6500000953674316</v>
          </cell>
          <cell r="AH42">
            <v>7.6500000953674316</v>
          </cell>
          <cell r="AI42">
            <v>7.6500000953674316</v>
          </cell>
          <cell r="AJ42">
            <v>7.6500000953674316</v>
          </cell>
          <cell r="AK42">
            <v>7.6500000953674316</v>
          </cell>
          <cell r="AL42">
            <v>7.6500000953674316</v>
          </cell>
          <cell r="AM42">
            <v>7.6500000953674316</v>
          </cell>
          <cell r="AN42">
            <v>7.6500000953674316</v>
          </cell>
          <cell r="AO42">
            <v>7.6500000953674316</v>
          </cell>
          <cell r="AR42">
            <v>0.75</v>
          </cell>
          <cell r="AS42">
            <v>0.75</v>
          </cell>
          <cell r="AT42">
            <v>0.75</v>
          </cell>
          <cell r="AU42">
            <v>0.75</v>
          </cell>
          <cell r="AV42">
            <v>0.75</v>
          </cell>
          <cell r="AW42">
            <v>0.75</v>
          </cell>
          <cell r="AX42">
            <v>0.75</v>
          </cell>
          <cell r="AY42">
            <v>0.75</v>
          </cell>
          <cell r="AZ42">
            <v>0.75</v>
          </cell>
          <cell r="BA42">
            <v>0.75</v>
          </cell>
          <cell r="BB42">
            <v>0.75</v>
          </cell>
          <cell r="BC42">
            <v>0.75</v>
          </cell>
          <cell r="BD42">
            <v>0.75</v>
          </cell>
          <cell r="BE42">
            <v>0.75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BY161"/>
  <sheetViews>
    <sheetView showRowColHeaders="0" tabSelected="1" zoomScale="80" zoomScaleNormal="80" workbookViewId="0">
      <pane xSplit="2" ySplit="2" topLeftCell="C15" activePane="bottomRight" state="frozen"/>
      <selection activeCell="U4" sqref="U4"/>
      <selection pane="topRight" activeCell="U4" sqref="U4"/>
      <selection pane="bottomLeft" activeCell="U4" sqref="U4"/>
      <selection pane="bottomRight"/>
    </sheetView>
  </sheetViews>
  <sheetFormatPr baseColWidth="10" defaultColWidth="11.46484375" defaultRowHeight="12.75" x14ac:dyDescent="0.35"/>
  <cols>
    <col min="1" max="1" width="6.3984375" style="99" customWidth="1"/>
    <col min="2" max="3" width="9.33203125" style="99" customWidth="1"/>
    <col min="4" max="4" width="9" style="99" customWidth="1"/>
    <col min="5" max="5" width="6.3984375" style="99" customWidth="1"/>
    <col min="6" max="6" width="7.46484375" style="99" customWidth="1"/>
    <col min="7" max="7" width="7.19921875" style="99" customWidth="1"/>
    <col min="8" max="8" width="7.796875" style="99" customWidth="1"/>
    <col min="9" max="9" width="8.46484375" style="99" customWidth="1"/>
    <col min="10" max="10" width="8.53125" style="99" customWidth="1"/>
    <col min="11" max="11" width="12.46484375" style="99" customWidth="1"/>
    <col min="12" max="12" width="11.46484375" style="99"/>
    <col min="13" max="13" width="11.46484375" style="99" customWidth="1"/>
    <col min="14" max="14" width="10.46484375" style="99" customWidth="1"/>
    <col min="15" max="15" width="9.796875" style="99" customWidth="1"/>
    <col min="16" max="16" width="10.46484375" style="99" customWidth="1"/>
    <col min="17" max="18" width="9.46484375" style="99" customWidth="1"/>
    <col min="19" max="19" width="9.53125" style="99" customWidth="1"/>
    <col min="20" max="20" width="8.46484375" style="99" customWidth="1"/>
    <col min="21" max="21" width="8.53125" style="99" customWidth="1"/>
    <col min="22" max="22" width="8.796875" style="99" customWidth="1"/>
    <col min="23" max="23" width="13.46484375" style="99" customWidth="1"/>
    <col min="24" max="26" width="11.46484375" style="99" customWidth="1"/>
    <col min="27" max="29" width="11.46484375" style="99"/>
    <col min="30" max="30" width="12.53125" style="99" customWidth="1"/>
    <col min="31" max="33" width="11.46484375" style="99"/>
    <col min="34" max="77" width="11.46484375" style="65"/>
    <col min="78" max="16384" width="11.46484375" style="99"/>
  </cols>
  <sheetData>
    <row r="1" spans="1:77" s="2" customFormat="1" ht="30.4" thickBot="1" x14ac:dyDescent="0.4">
      <c r="A1" s="1"/>
      <c r="C1" s="3" t="s">
        <v>0</v>
      </c>
      <c r="D1" s="4"/>
      <c r="E1" s="5" t="s">
        <v>1</v>
      </c>
      <c r="F1" s="6"/>
      <c r="G1" s="7"/>
      <c r="H1" s="8" t="s">
        <v>2</v>
      </c>
      <c r="I1" s="9"/>
      <c r="J1" s="9"/>
      <c r="K1" s="10" t="s">
        <v>3</v>
      </c>
      <c r="L1" s="11"/>
      <c r="M1" s="12"/>
      <c r="N1" s="13" t="s">
        <v>4</v>
      </c>
      <c r="O1" s="14"/>
      <c r="P1" s="15"/>
      <c r="Q1" s="16" t="s">
        <v>5</v>
      </c>
      <c r="R1" s="17"/>
      <c r="S1" s="18"/>
      <c r="T1" s="19" t="s">
        <v>6</v>
      </c>
      <c r="U1" s="20"/>
      <c r="V1" s="21"/>
      <c r="W1" s="22" t="s">
        <v>7</v>
      </c>
      <c r="X1" s="23" t="s">
        <v>8</v>
      </c>
      <c r="Y1" s="24" t="s">
        <v>9</v>
      </c>
      <c r="Z1" s="25"/>
      <c r="AA1" s="26" t="s">
        <v>10</v>
      </c>
      <c r="AB1" s="27"/>
      <c r="AC1" s="27"/>
      <c r="AD1" s="28" t="s">
        <v>11</v>
      </c>
      <c r="AE1" s="29"/>
      <c r="AF1" s="29"/>
      <c r="AG1" s="29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</row>
    <row r="2" spans="1:77" s="64" customFormat="1" ht="18" customHeight="1" thickBot="1" x14ac:dyDescent="0.4">
      <c r="A2" s="31"/>
      <c r="B2" s="32" t="s">
        <v>12</v>
      </c>
      <c r="C2" s="33" t="s">
        <v>13</v>
      </c>
      <c r="D2" s="34" t="s">
        <v>14</v>
      </c>
      <c r="E2" s="35" t="s">
        <v>15</v>
      </c>
      <c r="F2" s="36" t="s">
        <v>16</v>
      </c>
      <c r="G2" s="37" t="s">
        <v>17</v>
      </c>
      <c r="H2" s="38" t="s">
        <v>18</v>
      </c>
      <c r="I2" s="39" t="s">
        <v>19</v>
      </c>
      <c r="J2" s="40" t="s">
        <v>20</v>
      </c>
      <c r="K2" s="41" t="s">
        <v>15</v>
      </c>
      <c r="L2" s="42" t="s">
        <v>16</v>
      </c>
      <c r="M2" s="43" t="s">
        <v>17</v>
      </c>
      <c r="N2" s="44" t="s">
        <v>21</v>
      </c>
      <c r="O2" s="45" t="s">
        <v>22</v>
      </c>
      <c r="P2" s="46" t="s">
        <v>20</v>
      </c>
      <c r="Q2" s="47" t="s">
        <v>23</v>
      </c>
      <c r="R2" s="48" t="s">
        <v>24</v>
      </c>
      <c r="S2" s="49" t="s">
        <v>25</v>
      </c>
      <c r="T2" s="50" t="s">
        <v>21</v>
      </c>
      <c r="U2" s="51" t="s">
        <v>22</v>
      </c>
      <c r="V2" s="52" t="s">
        <v>20</v>
      </c>
      <c r="W2" s="53" t="s">
        <v>26</v>
      </c>
      <c r="X2" s="54" t="s">
        <v>27</v>
      </c>
      <c r="Y2" s="55" t="s">
        <v>28</v>
      </c>
      <c r="Z2" s="56" t="s">
        <v>29</v>
      </c>
      <c r="AA2" s="57" t="s">
        <v>30</v>
      </c>
      <c r="AB2" s="58" t="s">
        <v>31</v>
      </c>
      <c r="AC2" s="59" t="s">
        <v>32</v>
      </c>
      <c r="AD2" s="60" t="s">
        <v>33</v>
      </c>
      <c r="AE2" s="61"/>
      <c r="AF2" s="62"/>
      <c r="AG2" s="62"/>
      <c r="AH2" s="61"/>
      <c r="AI2" s="61"/>
      <c r="AJ2" s="61"/>
      <c r="AK2" s="61"/>
      <c r="AL2" s="61"/>
      <c r="AM2" s="61"/>
      <c r="AN2" s="61"/>
      <c r="AO2" s="62"/>
      <c r="AP2" s="62"/>
      <c r="AQ2" s="62"/>
      <c r="AR2" s="62"/>
      <c r="AS2" s="62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31"/>
      <c r="BU2" s="31"/>
      <c r="BV2" s="31"/>
      <c r="BW2" s="31"/>
      <c r="BX2" s="31"/>
      <c r="BY2" s="31"/>
    </row>
    <row r="3" spans="1:77" x14ac:dyDescent="0.35">
      <c r="A3" s="65"/>
      <c r="B3" s="66">
        <v>1</v>
      </c>
      <c r="C3" s="67">
        <v>-3.75</v>
      </c>
      <c r="D3" s="68">
        <v>0.89999997615814209</v>
      </c>
      <c r="E3" s="69">
        <v>1</v>
      </c>
      <c r="F3" s="70">
        <v>2</v>
      </c>
      <c r="G3" s="71">
        <v>3</v>
      </c>
      <c r="H3" s="72"/>
      <c r="I3" s="73"/>
      <c r="J3" s="74"/>
      <c r="K3" s="75">
        <v>0</v>
      </c>
      <c r="L3" s="76">
        <v>0</v>
      </c>
      <c r="M3" s="77">
        <v>0</v>
      </c>
      <c r="N3" s="78" t="s">
        <v>34</v>
      </c>
      <c r="O3" s="79" t="s">
        <v>34</v>
      </c>
      <c r="P3" s="80" t="s">
        <v>34</v>
      </c>
      <c r="Q3" s="81"/>
      <c r="R3" s="82"/>
      <c r="S3" s="83"/>
      <c r="T3" s="84"/>
      <c r="U3" s="85"/>
      <c r="V3" s="86"/>
      <c r="W3" s="87"/>
      <c r="X3" s="88"/>
      <c r="Y3" s="89"/>
      <c r="Z3" s="90"/>
      <c r="AA3" s="91"/>
      <c r="AB3" s="92"/>
      <c r="AC3" s="93"/>
      <c r="AD3" s="94">
        <v>0</v>
      </c>
      <c r="AE3" s="95"/>
      <c r="AF3" s="96"/>
      <c r="AG3" s="96"/>
      <c r="AH3" s="97"/>
      <c r="AI3" s="97"/>
      <c r="AJ3" s="97"/>
      <c r="AK3" s="97"/>
      <c r="AL3" s="97"/>
      <c r="AM3" s="97"/>
      <c r="AN3" s="97"/>
      <c r="AO3" s="96"/>
      <c r="AP3" s="96"/>
      <c r="AQ3" s="96"/>
      <c r="AR3" s="96"/>
      <c r="AS3" s="96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</row>
    <row r="4" spans="1:77" x14ac:dyDescent="0.35">
      <c r="A4" s="65"/>
      <c r="B4" s="100">
        <v>2</v>
      </c>
      <c r="C4" s="101">
        <v>-0.89999997615814209</v>
      </c>
      <c r="D4" s="102">
        <v>0.89999997615814209</v>
      </c>
      <c r="E4" s="103">
        <v>4</v>
      </c>
      <c r="F4" s="104">
        <v>5</v>
      </c>
      <c r="G4" s="105">
        <v>6</v>
      </c>
      <c r="H4" s="106"/>
      <c r="I4" s="107"/>
      <c r="J4" s="108"/>
      <c r="K4" s="109">
        <v>0</v>
      </c>
      <c r="L4" s="110">
        <v>5.2635624592824101E-2</v>
      </c>
      <c r="M4" s="111">
        <v>-3.0665834987726081E-2</v>
      </c>
      <c r="N4" s="112" t="s">
        <v>34</v>
      </c>
      <c r="O4" s="113" t="s">
        <v>34</v>
      </c>
      <c r="P4" s="114" t="s">
        <v>34</v>
      </c>
      <c r="Q4" s="115"/>
      <c r="R4" s="116"/>
      <c r="S4" s="117"/>
      <c r="T4" s="118"/>
      <c r="U4" s="119"/>
      <c r="V4" s="120"/>
      <c r="W4" s="121"/>
      <c r="X4" s="122"/>
      <c r="Y4" s="123"/>
      <c r="Z4" s="124"/>
      <c r="AA4" s="125"/>
      <c r="AB4" s="126"/>
      <c r="AC4" s="127"/>
      <c r="AD4" s="128">
        <v>0</v>
      </c>
      <c r="AE4" s="95"/>
      <c r="AF4" s="96"/>
      <c r="AG4" s="96"/>
      <c r="AH4" s="97"/>
      <c r="AI4" s="97"/>
      <c r="AJ4" s="97"/>
      <c r="AK4" s="97"/>
      <c r="AL4" s="97"/>
      <c r="AM4" s="97"/>
      <c r="AN4" s="97"/>
      <c r="AO4" s="96"/>
      <c r="AP4" s="96"/>
      <c r="AQ4" s="96"/>
      <c r="AR4" s="96"/>
      <c r="AS4" s="96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</row>
    <row r="5" spans="1:77" x14ac:dyDescent="0.35">
      <c r="A5" s="65"/>
      <c r="B5" s="129">
        <v>3</v>
      </c>
      <c r="C5" s="101">
        <v>8.6999998092651367</v>
      </c>
      <c r="D5" s="130">
        <v>0.89999997615814209</v>
      </c>
      <c r="E5" s="131">
        <v>7</v>
      </c>
      <c r="F5" s="132">
        <v>8</v>
      </c>
      <c r="G5" s="133">
        <v>9</v>
      </c>
      <c r="H5" s="106"/>
      <c r="I5" s="134">
        <v>1</v>
      </c>
      <c r="J5" s="108"/>
      <c r="K5" s="109">
        <v>-1.1529855538167791E-4</v>
      </c>
      <c r="L5" s="110">
        <v>3.253041629605308</v>
      </c>
      <c r="M5" s="111">
        <v>-1.21449536245208</v>
      </c>
      <c r="N5" s="112" t="s">
        <v>34</v>
      </c>
      <c r="O5" s="113" t="s">
        <v>34</v>
      </c>
      <c r="P5" s="114" t="s">
        <v>34</v>
      </c>
      <c r="Q5" s="115"/>
      <c r="R5" s="116"/>
      <c r="S5" s="117"/>
      <c r="T5" s="118"/>
      <c r="U5" s="119"/>
      <c r="V5" s="120"/>
      <c r="W5" s="121"/>
      <c r="X5" s="122"/>
      <c r="Y5" s="123"/>
      <c r="Z5" s="124"/>
      <c r="AA5" s="125"/>
      <c r="AB5" s="126"/>
      <c r="AC5" s="127"/>
      <c r="AD5" s="128">
        <v>0</v>
      </c>
      <c r="AE5" s="95"/>
      <c r="AF5" s="96"/>
      <c r="AG5" s="96"/>
      <c r="AH5" s="97"/>
      <c r="AI5" s="97"/>
      <c r="AJ5" s="97"/>
      <c r="AK5" s="97"/>
      <c r="AL5" s="97"/>
      <c r="AM5" s="97"/>
      <c r="AN5" s="97"/>
      <c r="AO5" s="96"/>
      <c r="AP5" s="96"/>
      <c r="AQ5" s="96"/>
      <c r="AR5" s="96"/>
      <c r="AS5" s="96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</row>
    <row r="6" spans="1:77" x14ac:dyDescent="0.35">
      <c r="A6" s="65"/>
      <c r="B6" s="129">
        <v>4</v>
      </c>
      <c r="C6" s="101">
        <v>3.9000000953674316</v>
      </c>
      <c r="D6" s="102">
        <v>-2.0999999046325684</v>
      </c>
      <c r="E6" s="131">
        <v>10</v>
      </c>
      <c r="F6" s="132">
        <v>11</v>
      </c>
      <c r="G6" s="135">
        <v>12</v>
      </c>
      <c r="H6" s="106"/>
      <c r="I6" s="107"/>
      <c r="J6" s="108"/>
      <c r="K6" s="109">
        <v>-3.8143163450155541E-4</v>
      </c>
      <c r="L6" s="110">
        <v>2.0709698053448324E-4</v>
      </c>
      <c r="M6" s="111">
        <v>-1.184242201879313E-2</v>
      </c>
      <c r="N6" s="112" t="s">
        <v>34</v>
      </c>
      <c r="O6" s="113" t="s">
        <v>34</v>
      </c>
      <c r="P6" s="114" t="s">
        <v>34</v>
      </c>
      <c r="Q6" s="115"/>
      <c r="R6" s="116"/>
      <c r="S6" s="117"/>
      <c r="T6" s="118"/>
      <c r="U6" s="119"/>
      <c r="V6" s="120"/>
      <c r="W6" s="121"/>
      <c r="X6" s="122"/>
      <c r="Y6" s="123"/>
      <c r="Z6" s="124"/>
      <c r="AA6" s="125"/>
      <c r="AB6" s="126"/>
      <c r="AC6" s="127"/>
      <c r="AD6" s="128">
        <v>0</v>
      </c>
      <c r="AE6" s="95"/>
      <c r="AF6" s="96"/>
      <c r="AG6" s="96"/>
      <c r="AH6" s="97"/>
      <c r="AI6" s="97"/>
      <c r="AJ6" s="97"/>
      <c r="AK6" s="97"/>
      <c r="AL6" s="97"/>
      <c r="AM6" s="97"/>
      <c r="AN6" s="97"/>
      <c r="AO6" s="96"/>
      <c r="AP6" s="96"/>
      <c r="AQ6" s="96"/>
      <c r="AR6" s="96"/>
      <c r="AS6" s="96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</row>
    <row r="7" spans="1:77" x14ac:dyDescent="0.35">
      <c r="B7" s="129">
        <v>5</v>
      </c>
      <c r="C7" s="136">
        <v>3.9000000953674316</v>
      </c>
      <c r="D7" s="102">
        <v>0.89999997615814209</v>
      </c>
      <c r="E7" s="131">
        <v>13</v>
      </c>
      <c r="F7" s="132">
        <v>14</v>
      </c>
      <c r="G7" s="133">
        <v>15</v>
      </c>
      <c r="H7" s="106"/>
      <c r="I7" s="107"/>
      <c r="J7" s="108"/>
      <c r="K7" s="109">
        <v>1.6175540116208039E-5</v>
      </c>
      <c r="L7" s="110">
        <v>-0.1771502679097598</v>
      </c>
      <c r="M7" s="111">
        <v>5.3182605723830143E-2</v>
      </c>
      <c r="N7" s="112" t="s">
        <v>34</v>
      </c>
      <c r="O7" s="113" t="s">
        <v>34</v>
      </c>
      <c r="P7" s="114" t="s">
        <v>34</v>
      </c>
      <c r="Q7" s="115"/>
      <c r="R7" s="116"/>
      <c r="S7" s="117"/>
      <c r="T7" s="118"/>
      <c r="U7" s="119"/>
      <c r="V7" s="120"/>
      <c r="W7" s="121"/>
      <c r="X7" s="122"/>
      <c r="Y7" s="123"/>
      <c r="Z7" s="124"/>
      <c r="AA7" s="125"/>
      <c r="AB7" s="126"/>
      <c r="AC7" s="127"/>
      <c r="AD7" s="128">
        <v>0</v>
      </c>
      <c r="AE7" s="95"/>
      <c r="AF7" s="97"/>
      <c r="AG7" s="96"/>
      <c r="AH7" s="97"/>
      <c r="AI7" s="97"/>
      <c r="AJ7" s="97"/>
      <c r="AK7" s="97"/>
      <c r="AL7" s="97"/>
      <c r="AM7" s="97"/>
      <c r="AN7" s="97"/>
      <c r="AO7" s="96"/>
      <c r="AP7" s="96"/>
      <c r="AQ7" s="96"/>
      <c r="AR7" s="96"/>
      <c r="AS7" s="96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</row>
    <row r="8" spans="1:77" x14ac:dyDescent="0.35">
      <c r="B8" s="129">
        <v>6</v>
      </c>
      <c r="C8" s="136">
        <v>3.2999999523162842</v>
      </c>
      <c r="D8" s="130">
        <v>3.5999999046325684</v>
      </c>
      <c r="E8" s="131">
        <v>0</v>
      </c>
      <c r="F8" s="137">
        <v>0</v>
      </c>
      <c r="G8" s="138">
        <v>18</v>
      </c>
      <c r="H8" s="106"/>
      <c r="I8" s="107"/>
      <c r="J8" s="108"/>
      <c r="K8" s="109">
        <v>0</v>
      </c>
      <c r="L8" s="110">
        <v>0</v>
      </c>
      <c r="M8" s="111">
        <v>5.01339708209146E-2</v>
      </c>
      <c r="N8" s="112">
        <v>-99.515495873147586</v>
      </c>
      <c r="O8" s="113">
        <v>1132.925686279516</v>
      </c>
      <c r="P8" s="114" t="s">
        <v>34</v>
      </c>
      <c r="Q8" s="115"/>
      <c r="R8" s="116"/>
      <c r="S8" s="117"/>
      <c r="T8" s="118"/>
      <c r="U8" s="119"/>
      <c r="V8" s="120"/>
      <c r="W8" s="121"/>
      <c r="X8" s="122"/>
      <c r="Y8" s="123"/>
      <c r="Z8" s="124"/>
      <c r="AA8" s="125"/>
      <c r="AB8" s="126"/>
      <c r="AC8" s="127"/>
      <c r="AD8" s="128">
        <v>0</v>
      </c>
      <c r="AE8" s="95"/>
      <c r="AF8" s="96"/>
      <c r="AG8" s="96"/>
      <c r="AH8" s="97"/>
      <c r="AI8" s="97"/>
      <c r="AJ8" s="97"/>
      <c r="AK8" s="97"/>
      <c r="AL8" s="97"/>
      <c r="AM8" s="97"/>
      <c r="AN8" s="97"/>
      <c r="AO8" s="96"/>
      <c r="AP8" s="96"/>
      <c r="AQ8" s="96"/>
      <c r="AR8" s="96"/>
      <c r="AS8" s="96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</row>
    <row r="9" spans="1:77" x14ac:dyDescent="0.35">
      <c r="B9" s="129">
        <v>7</v>
      </c>
      <c r="C9" s="136">
        <v>4.5</v>
      </c>
      <c r="D9" s="130">
        <v>3.5999999046325684</v>
      </c>
      <c r="E9" s="131">
        <v>0</v>
      </c>
      <c r="F9" s="137">
        <v>0</v>
      </c>
      <c r="G9" s="138">
        <v>21</v>
      </c>
      <c r="H9" s="106"/>
      <c r="I9" s="107"/>
      <c r="J9" s="108"/>
      <c r="K9" s="109">
        <v>0</v>
      </c>
      <c r="L9" s="110">
        <v>0</v>
      </c>
      <c r="M9" s="111">
        <v>5.0937735307708766E-2</v>
      </c>
      <c r="N9" s="112">
        <v>-131.38814247330424</v>
      </c>
      <c r="O9" s="113">
        <v>-1308.1806862795165</v>
      </c>
      <c r="P9" s="114" t="s">
        <v>34</v>
      </c>
      <c r="Q9" s="115"/>
      <c r="R9" s="116"/>
      <c r="S9" s="117"/>
      <c r="T9" s="118"/>
      <c r="U9" s="119"/>
      <c r="V9" s="120"/>
      <c r="W9" s="121"/>
      <c r="X9" s="122"/>
      <c r="Y9" s="123"/>
      <c r="Z9" s="124"/>
      <c r="AA9" s="125"/>
      <c r="AB9" s="126"/>
      <c r="AC9" s="127"/>
      <c r="AD9" s="128">
        <v>0</v>
      </c>
      <c r="AE9" s="95"/>
      <c r="AF9" s="96"/>
      <c r="AG9" s="96"/>
      <c r="AH9" s="97"/>
      <c r="AI9" s="97"/>
      <c r="AJ9" s="97"/>
      <c r="AK9" s="97"/>
      <c r="AL9" s="97"/>
      <c r="AM9" s="97"/>
      <c r="AN9" s="97"/>
      <c r="AO9" s="96"/>
      <c r="AP9" s="96"/>
      <c r="AQ9" s="96"/>
      <c r="AR9" s="96"/>
      <c r="AS9" s="96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</row>
    <row r="10" spans="1:77" x14ac:dyDescent="0.35">
      <c r="B10" s="129">
        <v>8</v>
      </c>
      <c r="C10" s="136">
        <v>2.5508170127868652</v>
      </c>
      <c r="D10" s="130">
        <v>0.89983600378036499</v>
      </c>
      <c r="E10" s="131">
        <v>22</v>
      </c>
      <c r="F10" s="137">
        <v>23</v>
      </c>
      <c r="G10" s="138">
        <v>24</v>
      </c>
      <c r="H10" s="106"/>
      <c r="I10" s="107"/>
      <c r="J10" s="108"/>
      <c r="K10" s="109">
        <v>-3.3044005475005838E-6</v>
      </c>
      <c r="L10" s="110">
        <v>-1.6894141173850435E-2</v>
      </c>
      <c r="M10" s="111">
        <v>0.12177802146265754</v>
      </c>
      <c r="N10" s="112" t="s">
        <v>34</v>
      </c>
      <c r="O10" s="113" t="s">
        <v>34</v>
      </c>
      <c r="P10" s="114" t="s">
        <v>34</v>
      </c>
      <c r="Q10" s="115"/>
      <c r="R10" s="116"/>
      <c r="S10" s="117"/>
      <c r="T10" s="118"/>
      <c r="U10" s="119"/>
      <c r="V10" s="120"/>
      <c r="W10" s="121"/>
      <c r="X10" s="122"/>
      <c r="Y10" s="123"/>
      <c r="Z10" s="124"/>
      <c r="AA10" s="125"/>
      <c r="AB10" s="126"/>
      <c r="AC10" s="127"/>
      <c r="AD10" s="128">
        <v>0</v>
      </c>
      <c r="AE10" s="95"/>
      <c r="AF10" s="96"/>
      <c r="AG10" s="96"/>
      <c r="AH10" s="97"/>
      <c r="AI10" s="97"/>
      <c r="AJ10" s="97"/>
      <c r="AK10" s="97"/>
      <c r="AL10" s="97"/>
      <c r="AM10" s="97"/>
      <c r="AN10" s="97"/>
      <c r="AO10" s="96"/>
      <c r="AP10" s="96"/>
      <c r="AQ10" s="96"/>
      <c r="AR10" s="96"/>
      <c r="AS10" s="96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</row>
    <row r="11" spans="1:77" x14ac:dyDescent="0.35">
      <c r="B11" s="129">
        <v>9</v>
      </c>
      <c r="C11" s="136">
        <v>5.2717561721801758</v>
      </c>
      <c r="D11" s="130">
        <v>0.89983600378036499</v>
      </c>
      <c r="E11" s="131">
        <v>25</v>
      </c>
      <c r="F11" s="137">
        <v>26</v>
      </c>
      <c r="G11" s="138">
        <v>27</v>
      </c>
      <c r="H11" s="106"/>
      <c r="I11" s="107"/>
      <c r="J11" s="108"/>
      <c r="K11" s="109">
        <v>3.9472663479923004E-5</v>
      </c>
      <c r="L11" s="110">
        <v>1.7715395241905695E-2</v>
      </c>
      <c r="M11" s="111">
        <v>-0.40219010793335286</v>
      </c>
      <c r="N11" s="112" t="s">
        <v>34</v>
      </c>
      <c r="O11" s="113" t="s">
        <v>34</v>
      </c>
      <c r="P11" s="114" t="s">
        <v>34</v>
      </c>
      <c r="Q11" s="115"/>
      <c r="R11" s="116"/>
      <c r="S11" s="117"/>
      <c r="T11" s="118"/>
      <c r="U11" s="119"/>
      <c r="V11" s="120"/>
      <c r="W11" s="121"/>
      <c r="X11" s="122"/>
      <c r="Y11" s="123"/>
      <c r="Z11" s="124"/>
      <c r="AA11" s="125"/>
      <c r="AB11" s="126"/>
      <c r="AC11" s="127"/>
      <c r="AD11" s="128">
        <v>0</v>
      </c>
      <c r="AE11" s="95"/>
      <c r="AF11" s="96"/>
      <c r="AG11" s="96"/>
      <c r="AH11" s="97"/>
      <c r="AI11" s="97"/>
      <c r="AJ11" s="97"/>
      <c r="AK11" s="97"/>
      <c r="AL11" s="97"/>
      <c r="AM11" s="97"/>
      <c r="AN11" s="97"/>
      <c r="AO11" s="96"/>
      <c r="AP11" s="96"/>
      <c r="AQ11" s="96"/>
      <c r="AR11" s="96"/>
      <c r="AS11" s="96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</row>
    <row r="12" spans="1:77" x14ac:dyDescent="0.35">
      <c r="B12" s="129">
        <v>10</v>
      </c>
      <c r="C12" s="136">
        <v>3.3856499195098877</v>
      </c>
      <c r="D12" s="130">
        <v>2.7293310165405273</v>
      </c>
      <c r="E12" s="131">
        <v>28</v>
      </c>
      <c r="F12" s="137">
        <v>29</v>
      </c>
      <c r="G12" s="138">
        <v>30</v>
      </c>
      <c r="H12" s="106"/>
      <c r="I12" s="107"/>
      <c r="J12" s="108"/>
      <c r="K12" s="109">
        <v>-3.0459544681863064E-2</v>
      </c>
      <c r="L12" s="110">
        <v>-2.9963855403164733E-3</v>
      </c>
      <c r="M12" s="111">
        <v>4.6842664252884436E-3</v>
      </c>
      <c r="N12" s="112" t="s">
        <v>34</v>
      </c>
      <c r="O12" s="113" t="s">
        <v>34</v>
      </c>
      <c r="P12" s="114" t="s">
        <v>34</v>
      </c>
      <c r="Q12" s="115"/>
      <c r="R12" s="116"/>
      <c r="S12" s="117"/>
      <c r="T12" s="118"/>
      <c r="U12" s="119"/>
      <c r="V12" s="120"/>
      <c r="W12" s="121"/>
      <c r="X12" s="122"/>
      <c r="Y12" s="123"/>
      <c r="Z12" s="124"/>
      <c r="AA12" s="125"/>
      <c r="AB12" s="126"/>
      <c r="AC12" s="127"/>
      <c r="AD12" s="128">
        <v>0</v>
      </c>
      <c r="AE12" s="95"/>
      <c r="AF12" s="139"/>
      <c r="AG12" s="96"/>
      <c r="AH12" s="97"/>
      <c r="AI12" s="97"/>
      <c r="AJ12" s="97"/>
      <c r="AK12" s="97"/>
      <c r="AL12" s="97"/>
      <c r="AM12" s="97"/>
      <c r="AN12" s="97"/>
      <c r="AO12" s="96"/>
      <c r="AP12" s="96"/>
      <c r="AQ12" s="96"/>
      <c r="AR12" s="96"/>
      <c r="AS12" s="96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</row>
    <row r="13" spans="1:77" x14ac:dyDescent="0.35">
      <c r="B13" s="129">
        <v>11</v>
      </c>
      <c r="C13" s="136">
        <v>4.4060029983520508</v>
      </c>
      <c r="D13" s="130">
        <v>2.7448270320892334</v>
      </c>
      <c r="E13" s="131">
        <v>31</v>
      </c>
      <c r="F13" s="137">
        <v>32</v>
      </c>
      <c r="G13" s="138">
        <v>33</v>
      </c>
      <c r="H13" s="106"/>
      <c r="I13" s="107"/>
      <c r="J13" s="108"/>
      <c r="K13" s="109">
        <v>-3.0556057105588341E-2</v>
      </c>
      <c r="L13" s="110">
        <v>3.3585925885804961E-3</v>
      </c>
      <c r="M13" s="111">
        <v>5.3170755907478795E-3</v>
      </c>
      <c r="N13" s="112" t="s">
        <v>34</v>
      </c>
      <c r="O13" s="113" t="s">
        <v>34</v>
      </c>
      <c r="P13" s="114" t="s">
        <v>34</v>
      </c>
      <c r="Q13" s="115"/>
      <c r="R13" s="116"/>
      <c r="S13" s="117"/>
      <c r="T13" s="118"/>
      <c r="U13" s="119"/>
      <c r="V13" s="120"/>
      <c r="W13" s="121"/>
      <c r="X13" s="122"/>
      <c r="Y13" s="123"/>
      <c r="Z13" s="124"/>
      <c r="AA13" s="125"/>
      <c r="AB13" s="126"/>
      <c r="AC13" s="127"/>
      <c r="AD13" s="128">
        <v>0</v>
      </c>
      <c r="AE13" s="95"/>
      <c r="AF13" s="96"/>
      <c r="AG13" s="96"/>
      <c r="AH13" s="97"/>
      <c r="AI13" s="97"/>
      <c r="AJ13" s="97"/>
      <c r="AK13" s="97"/>
      <c r="AL13" s="97"/>
      <c r="AM13" s="97"/>
      <c r="AN13" s="97"/>
      <c r="AO13" s="96"/>
      <c r="AP13" s="96"/>
      <c r="AQ13" s="96"/>
      <c r="AR13" s="96"/>
      <c r="AS13" s="96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</row>
    <row r="14" spans="1:77" x14ac:dyDescent="0.35">
      <c r="B14" s="129">
        <v>12</v>
      </c>
      <c r="C14" s="136">
        <v>-6.4499998092651367</v>
      </c>
      <c r="D14" s="130">
        <v>0.89999997615814209</v>
      </c>
      <c r="E14" s="131">
        <v>0</v>
      </c>
      <c r="F14" s="137">
        <v>0</v>
      </c>
      <c r="G14" s="138">
        <v>36</v>
      </c>
      <c r="H14" s="106"/>
      <c r="I14" s="107"/>
      <c r="J14" s="108"/>
      <c r="K14" s="109">
        <v>0</v>
      </c>
      <c r="L14" s="110">
        <v>0</v>
      </c>
      <c r="M14" s="111">
        <v>0</v>
      </c>
      <c r="N14" s="112">
        <v>230.88675040739633</v>
      </c>
      <c r="O14" s="113">
        <v>0</v>
      </c>
      <c r="P14" s="114" t="s">
        <v>34</v>
      </c>
      <c r="Q14" s="115"/>
      <c r="R14" s="116"/>
      <c r="S14" s="117"/>
      <c r="T14" s="118"/>
      <c r="U14" s="119"/>
      <c r="V14" s="120"/>
      <c r="W14" s="121"/>
      <c r="X14" s="122"/>
      <c r="Y14" s="123"/>
      <c r="Z14" s="124"/>
      <c r="AA14" s="125"/>
      <c r="AB14" s="126"/>
      <c r="AC14" s="127"/>
      <c r="AD14" s="128">
        <v>0</v>
      </c>
      <c r="AE14" s="95"/>
      <c r="AF14" s="96"/>
      <c r="AG14" s="96"/>
      <c r="AH14" s="97"/>
      <c r="AI14" s="97"/>
      <c r="AJ14" s="97"/>
      <c r="AK14" s="97"/>
      <c r="AL14" s="97"/>
      <c r="AM14" s="97"/>
      <c r="AN14" s="97"/>
      <c r="AO14" s="96"/>
      <c r="AP14" s="96"/>
      <c r="AQ14" s="96"/>
      <c r="AR14" s="96"/>
      <c r="AS14" s="96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</row>
    <row r="15" spans="1:77" x14ac:dyDescent="0.35">
      <c r="B15" s="129">
        <v>13</v>
      </c>
      <c r="C15" s="136">
        <v>-5.8499999046325684</v>
      </c>
      <c r="D15" s="130">
        <v>0.89999997615814209</v>
      </c>
      <c r="E15" s="131">
        <v>37</v>
      </c>
      <c r="F15" s="137">
        <v>38</v>
      </c>
      <c r="G15" s="138">
        <v>39</v>
      </c>
      <c r="H15" s="140"/>
      <c r="I15" s="141"/>
      <c r="J15" s="142"/>
      <c r="K15" s="109">
        <v>0</v>
      </c>
      <c r="L15" s="110">
        <v>0</v>
      </c>
      <c r="M15" s="111">
        <v>0</v>
      </c>
      <c r="N15" s="112" t="s">
        <v>34</v>
      </c>
      <c r="O15" s="113" t="s">
        <v>34</v>
      </c>
      <c r="P15" s="114" t="s">
        <v>34</v>
      </c>
      <c r="Q15" s="115"/>
      <c r="R15" s="116"/>
      <c r="S15" s="117"/>
      <c r="T15" s="118"/>
      <c r="U15" s="119"/>
      <c r="V15" s="120"/>
      <c r="W15" s="121"/>
      <c r="X15" s="122"/>
      <c r="Y15" s="123"/>
      <c r="Z15" s="124"/>
      <c r="AA15" s="125"/>
      <c r="AB15" s="126"/>
      <c r="AC15" s="127"/>
      <c r="AD15" s="128">
        <v>0</v>
      </c>
      <c r="AE15" s="95"/>
      <c r="AF15" s="96"/>
      <c r="AG15" s="96"/>
      <c r="AH15" s="97"/>
      <c r="AI15" s="97"/>
      <c r="AJ15" s="97"/>
      <c r="AK15" s="97"/>
      <c r="AL15" s="97"/>
      <c r="AM15" s="97"/>
      <c r="AN15" s="97"/>
      <c r="AO15" s="96"/>
      <c r="AP15" s="96"/>
      <c r="AQ15" s="96"/>
      <c r="AR15" s="96"/>
      <c r="AS15" s="96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</row>
    <row r="16" spans="1:77" ht="13.15" thickBot="1" x14ac:dyDescent="0.4">
      <c r="B16" s="129">
        <v>14</v>
      </c>
      <c r="C16" s="136">
        <v>-4.3499999046325684</v>
      </c>
      <c r="D16" s="130">
        <v>0.89999997615814209</v>
      </c>
      <c r="E16" s="131">
        <v>40</v>
      </c>
      <c r="F16" s="137">
        <v>41</v>
      </c>
      <c r="G16" s="138">
        <v>42</v>
      </c>
      <c r="H16" s="140"/>
      <c r="I16" s="141"/>
      <c r="J16" s="142"/>
      <c r="K16" s="109">
        <v>0</v>
      </c>
      <c r="L16" s="110">
        <v>0</v>
      </c>
      <c r="M16" s="111">
        <v>0</v>
      </c>
      <c r="N16" s="112" t="s">
        <v>34</v>
      </c>
      <c r="O16" s="113" t="s">
        <v>34</v>
      </c>
      <c r="P16" s="114" t="s">
        <v>34</v>
      </c>
      <c r="Q16" s="115"/>
      <c r="R16" s="116"/>
      <c r="S16" s="117"/>
      <c r="T16" s="118"/>
      <c r="U16" s="119"/>
      <c r="V16" s="120"/>
      <c r="W16" s="121"/>
      <c r="X16" s="122"/>
      <c r="Y16" s="123"/>
      <c r="Z16" s="124"/>
      <c r="AA16" s="125"/>
      <c r="AB16" s="126"/>
      <c r="AC16" s="127"/>
      <c r="AD16" s="128">
        <v>0</v>
      </c>
      <c r="AE16" s="97"/>
      <c r="AF16" s="97"/>
      <c r="AG16" s="96"/>
      <c r="AH16" s="97"/>
      <c r="AI16" s="97"/>
      <c r="AJ16" s="97"/>
      <c r="AK16" s="97"/>
      <c r="AL16" s="97"/>
      <c r="AM16" s="97"/>
      <c r="AN16" s="97"/>
      <c r="AO16" s="96"/>
      <c r="AP16" s="96"/>
      <c r="AQ16" s="96"/>
      <c r="AR16" s="96"/>
      <c r="AS16" s="96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</row>
    <row r="17" spans="2:71" x14ac:dyDescent="0.35">
      <c r="B17" s="129">
        <v>15</v>
      </c>
      <c r="C17" s="136">
        <v>-5.5500001907348633</v>
      </c>
      <c r="D17" s="130">
        <v>2.8499999046325684</v>
      </c>
      <c r="E17" s="131">
        <v>0</v>
      </c>
      <c r="F17" s="137">
        <v>0</v>
      </c>
      <c r="G17" s="138">
        <v>45</v>
      </c>
      <c r="H17" s="140"/>
      <c r="I17" s="141"/>
      <c r="J17" s="142"/>
      <c r="K17" s="109">
        <v>0</v>
      </c>
      <c r="L17" s="110">
        <v>0</v>
      </c>
      <c r="M17" s="111">
        <v>0</v>
      </c>
      <c r="N17" s="112">
        <v>0</v>
      </c>
      <c r="O17" s="113">
        <v>0</v>
      </c>
      <c r="P17" s="114" t="s">
        <v>34</v>
      </c>
      <c r="Q17" s="115"/>
      <c r="R17" s="116"/>
      <c r="S17" s="117"/>
      <c r="T17" s="118"/>
      <c r="U17" s="119"/>
      <c r="V17" s="120"/>
      <c r="W17" s="121"/>
      <c r="X17" s="122"/>
      <c r="Y17" s="123"/>
      <c r="Z17" s="124"/>
      <c r="AA17" s="125"/>
      <c r="AB17" s="126"/>
      <c r="AC17" s="127"/>
      <c r="AD17" s="143">
        <v>0</v>
      </c>
      <c r="AE17" s="144" t="s">
        <v>35</v>
      </c>
      <c r="AF17" s="145">
        <f>IF(PlotData!AD1=0,1,PlotData!AD1)</f>
        <v>3.2530416296053102</v>
      </c>
      <c r="AK17" s="97"/>
      <c r="AL17" s="97"/>
      <c r="AM17" s="97"/>
      <c r="AN17" s="97"/>
      <c r="AO17" s="96"/>
      <c r="AP17" s="96"/>
      <c r="AQ17" s="96"/>
      <c r="AR17" s="96"/>
      <c r="AS17" s="96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</row>
    <row r="18" spans="2:71" x14ac:dyDescent="0.35">
      <c r="B18" s="129">
        <v>16</v>
      </c>
      <c r="C18" s="136">
        <v>-4.6500000953674316</v>
      </c>
      <c r="D18" s="130">
        <v>2.8499999046325684</v>
      </c>
      <c r="E18" s="131">
        <v>0</v>
      </c>
      <c r="F18" s="137">
        <v>0</v>
      </c>
      <c r="G18" s="138">
        <v>48</v>
      </c>
      <c r="H18" s="140"/>
      <c r="I18" s="141"/>
      <c r="J18" s="142"/>
      <c r="K18" s="109">
        <v>0</v>
      </c>
      <c r="L18" s="110">
        <v>0</v>
      </c>
      <c r="M18" s="111">
        <v>0</v>
      </c>
      <c r="N18" s="112">
        <v>0</v>
      </c>
      <c r="O18" s="113">
        <v>0</v>
      </c>
      <c r="P18" s="114" t="s">
        <v>34</v>
      </c>
      <c r="Q18" s="115"/>
      <c r="R18" s="116"/>
      <c r="S18" s="117"/>
      <c r="T18" s="118"/>
      <c r="U18" s="119"/>
      <c r="V18" s="120"/>
      <c r="W18" s="121"/>
      <c r="X18" s="122"/>
      <c r="Y18" s="123"/>
      <c r="Z18" s="124"/>
      <c r="AA18" s="125"/>
      <c r="AB18" s="126"/>
      <c r="AC18" s="127"/>
      <c r="AD18" s="143">
        <v>0</v>
      </c>
      <c r="AE18" s="146" t="s">
        <v>36</v>
      </c>
      <c r="AF18" s="147">
        <v>0.2</v>
      </c>
      <c r="AK18" s="97"/>
      <c r="AL18" s="97"/>
      <c r="AM18" s="97"/>
      <c r="AN18" s="97"/>
      <c r="AO18" s="96"/>
      <c r="AP18" s="96"/>
      <c r="AQ18" s="96"/>
      <c r="AR18" s="96"/>
      <c r="AS18" s="96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</row>
    <row r="19" spans="2:71" ht="13.15" thickBot="1" x14ac:dyDescent="0.4">
      <c r="B19" s="129">
        <v>17</v>
      </c>
      <c r="C19" s="136">
        <v>12.149999618530273</v>
      </c>
      <c r="D19" s="130">
        <v>0.89999997615814209</v>
      </c>
      <c r="E19" s="131">
        <v>52</v>
      </c>
      <c r="F19" s="137">
        <v>53</v>
      </c>
      <c r="G19" s="138">
        <v>54</v>
      </c>
      <c r="H19" s="140"/>
      <c r="I19" s="141"/>
      <c r="J19" s="142"/>
      <c r="K19" s="109">
        <v>-1.1529855538149734E-4</v>
      </c>
      <c r="L19" s="110">
        <v>-1.521040696163271E-4</v>
      </c>
      <c r="M19" s="111">
        <v>-8.7592348768284975E-5</v>
      </c>
      <c r="N19" s="112" t="s">
        <v>34</v>
      </c>
      <c r="O19" s="113" t="s">
        <v>34</v>
      </c>
      <c r="P19" s="114" t="s">
        <v>34</v>
      </c>
      <c r="Q19" s="115"/>
      <c r="R19" s="116"/>
      <c r="S19" s="117"/>
      <c r="T19" s="118"/>
      <c r="U19" s="119"/>
      <c r="V19" s="120"/>
      <c r="W19" s="121"/>
      <c r="X19" s="122"/>
      <c r="Y19" s="123"/>
      <c r="Z19" s="124"/>
      <c r="AA19" s="125"/>
      <c r="AB19" s="126"/>
      <c r="AC19" s="127"/>
      <c r="AD19" s="143">
        <v>0</v>
      </c>
      <c r="AE19" s="148" t="s">
        <v>37</v>
      </c>
      <c r="AF19" s="149">
        <f>A53/AF17*PlotData!CB5*AF18</f>
        <v>1.0612946368637932</v>
      </c>
      <c r="AK19" s="97"/>
      <c r="AL19" s="97"/>
      <c r="AM19" s="97"/>
      <c r="AN19" s="97"/>
      <c r="AO19" s="96"/>
      <c r="AP19" s="96"/>
      <c r="AQ19" s="96"/>
      <c r="AR19" s="96"/>
      <c r="AS19" s="96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</row>
    <row r="20" spans="2:71" x14ac:dyDescent="0.35">
      <c r="B20" s="129">
        <v>18</v>
      </c>
      <c r="C20" s="136">
        <v>21.75</v>
      </c>
      <c r="D20" s="130">
        <v>0.89999997615814209</v>
      </c>
      <c r="E20" s="131">
        <v>55</v>
      </c>
      <c r="F20" s="137">
        <v>56</v>
      </c>
      <c r="G20" s="138">
        <v>57</v>
      </c>
      <c r="H20" s="140"/>
      <c r="I20" s="141"/>
      <c r="J20" s="142"/>
      <c r="K20" s="109">
        <v>-1.1529864120914042E-4</v>
      </c>
      <c r="L20" s="110">
        <v>1.5190907114792239E-4</v>
      </c>
      <c r="M20" s="111">
        <v>-8.8212364940248487E-5</v>
      </c>
      <c r="N20" s="112" t="s">
        <v>34</v>
      </c>
      <c r="O20" s="113" t="s">
        <v>34</v>
      </c>
      <c r="P20" s="114" t="s">
        <v>34</v>
      </c>
      <c r="Q20" s="115"/>
      <c r="R20" s="116"/>
      <c r="S20" s="117"/>
      <c r="T20" s="118"/>
      <c r="U20" s="119"/>
      <c r="V20" s="120"/>
      <c r="W20" s="121"/>
      <c r="X20" s="122"/>
      <c r="Y20" s="123"/>
      <c r="Z20" s="124"/>
      <c r="AA20" s="125"/>
      <c r="AB20" s="126"/>
      <c r="AC20" s="127"/>
      <c r="AD20" s="143">
        <v>0</v>
      </c>
      <c r="AE20" s="97"/>
      <c r="AF20" s="97"/>
      <c r="AK20" s="97"/>
      <c r="AL20" s="97"/>
      <c r="AM20" s="97"/>
      <c r="AN20" s="97"/>
      <c r="AO20" s="96"/>
      <c r="AP20" s="96"/>
      <c r="AQ20" s="96"/>
      <c r="AR20" s="96"/>
      <c r="AS20" s="96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</row>
    <row r="21" spans="2:71" x14ac:dyDescent="0.35">
      <c r="B21" s="129">
        <v>19</v>
      </c>
      <c r="C21" s="136">
        <v>16.950000762939453</v>
      </c>
      <c r="D21" s="130">
        <v>-2.0999999046325684</v>
      </c>
      <c r="E21" s="131">
        <v>58</v>
      </c>
      <c r="F21" s="137">
        <v>59</v>
      </c>
      <c r="G21" s="138">
        <v>60</v>
      </c>
      <c r="H21" s="140"/>
      <c r="I21" s="141"/>
      <c r="J21" s="142"/>
      <c r="K21" s="109">
        <v>-2.4291079176042421E-7</v>
      </c>
      <c r="L21" s="110">
        <v>1.3182150426893577E-7</v>
      </c>
      <c r="M21" s="111">
        <v>-1.1604786244198461E-5</v>
      </c>
      <c r="N21" s="112" t="s">
        <v>34</v>
      </c>
      <c r="O21" s="113" t="s">
        <v>34</v>
      </c>
      <c r="P21" s="114" t="s">
        <v>34</v>
      </c>
      <c r="Q21" s="115"/>
      <c r="R21" s="116"/>
      <c r="S21" s="117"/>
      <c r="T21" s="118"/>
      <c r="U21" s="119"/>
      <c r="V21" s="120"/>
      <c r="W21" s="121"/>
      <c r="X21" s="122"/>
      <c r="Y21" s="123"/>
      <c r="Z21" s="124"/>
      <c r="AA21" s="125"/>
      <c r="AB21" s="126"/>
      <c r="AC21" s="127"/>
      <c r="AD21" s="143">
        <v>0</v>
      </c>
      <c r="AE21" s="97"/>
      <c r="AF21" s="97"/>
      <c r="AK21" s="97"/>
      <c r="AL21" s="97"/>
      <c r="AM21" s="97"/>
      <c r="AN21" s="97"/>
      <c r="AO21" s="96"/>
      <c r="AP21" s="96"/>
      <c r="AQ21" s="96"/>
      <c r="AR21" s="96"/>
      <c r="AS21" s="96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</row>
    <row r="22" spans="2:71" ht="13.15" thickBot="1" x14ac:dyDescent="0.4">
      <c r="B22" s="129">
        <v>20</v>
      </c>
      <c r="C22" s="136">
        <v>16.950000762939453</v>
      </c>
      <c r="D22" s="130">
        <v>0.89999997615814209</v>
      </c>
      <c r="E22" s="131">
        <v>61</v>
      </c>
      <c r="F22" s="137">
        <v>62</v>
      </c>
      <c r="G22" s="138">
        <v>63</v>
      </c>
      <c r="H22" s="140"/>
      <c r="I22" s="141"/>
      <c r="J22" s="142"/>
      <c r="K22" s="109">
        <v>-1.1528422687842293E-4</v>
      </c>
      <c r="L22" s="110">
        <v>-1.904334664884354E-7</v>
      </c>
      <c r="M22" s="111">
        <v>4.3542845452846706E-5</v>
      </c>
      <c r="N22" s="112" t="s">
        <v>34</v>
      </c>
      <c r="O22" s="113" t="s">
        <v>34</v>
      </c>
      <c r="P22" s="114" t="s">
        <v>34</v>
      </c>
      <c r="Q22" s="115"/>
      <c r="R22" s="116"/>
      <c r="S22" s="117"/>
      <c r="T22" s="118"/>
      <c r="U22" s="119"/>
      <c r="V22" s="120"/>
      <c r="W22" s="121"/>
      <c r="X22" s="122"/>
      <c r="Y22" s="123"/>
      <c r="Z22" s="124"/>
      <c r="AA22" s="125"/>
      <c r="AB22" s="126"/>
      <c r="AC22" s="127"/>
      <c r="AD22" s="143">
        <v>0</v>
      </c>
      <c r="AE22" s="97"/>
      <c r="AF22" s="97"/>
      <c r="AK22" s="97"/>
      <c r="AL22" s="97"/>
      <c r="AM22" s="97"/>
      <c r="AN22" s="97"/>
      <c r="AO22" s="96"/>
      <c r="AP22" s="96"/>
      <c r="AQ22" s="96"/>
      <c r="AR22" s="96"/>
      <c r="AS22" s="96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</row>
    <row r="23" spans="2:71" ht="13.15" thickBot="1" x14ac:dyDescent="0.4">
      <c r="B23" s="129">
        <v>21</v>
      </c>
      <c r="C23" s="136">
        <v>16.350000381469727</v>
      </c>
      <c r="D23" s="130">
        <v>3.5999999046325684</v>
      </c>
      <c r="E23" s="131">
        <v>0</v>
      </c>
      <c r="F23" s="137">
        <v>0</v>
      </c>
      <c r="G23" s="138">
        <v>66</v>
      </c>
      <c r="H23" s="140"/>
      <c r="I23" s="141"/>
      <c r="J23" s="142"/>
      <c r="K23" s="109">
        <v>0</v>
      </c>
      <c r="L23" s="110">
        <v>0</v>
      </c>
      <c r="M23" s="111">
        <v>2.7772314580183125E-5</v>
      </c>
      <c r="N23" s="112">
        <v>8.0725656842442605E-3</v>
      </c>
      <c r="O23" s="113">
        <v>-3.7997894539804969E-2</v>
      </c>
      <c r="P23" s="114" t="s">
        <v>34</v>
      </c>
      <c r="Q23" s="115"/>
      <c r="R23" s="116"/>
      <c r="S23" s="117"/>
      <c r="T23" s="118"/>
      <c r="U23" s="119"/>
      <c r="V23" s="120"/>
      <c r="W23" s="121"/>
      <c r="X23" s="122"/>
      <c r="Y23" s="123"/>
      <c r="Z23" s="124"/>
      <c r="AA23" s="125"/>
      <c r="AB23" s="126"/>
      <c r="AC23" s="127"/>
      <c r="AD23" s="143">
        <v>0</v>
      </c>
      <c r="AE23" s="150" t="s">
        <v>38</v>
      </c>
      <c r="AF23" s="151">
        <v>175.255</v>
      </c>
      <c r="AK23" s="97"/>
      <c r="AL23" s="97"/>
      <c r="AM23" s="97"/>
      <c r="AN23" s="97"/>
      <c r="AO23" s="96"/>
      <c r="AP23" s="96"/>
      <c r="AQ23" s="96"/>
      <c r="AR23" s="96"/>
      <c r="AS23" s="96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</row>
    <row r="24" spans="2:71" x14ac:dyDescent="0.35">
      <c r="B24" s="129">
        <v>22</v>
      </c>
      <c r="C24" s="136">
        <v>17.549999237060547</v>
      </c>
      <c r="D24" s="130">
        <v>3.5999999046325684</v>
      </c>
      <c r="E24" s="131">
        <v>0</v>
      </c>
      <c r="F24" s="137">
        <v>0</v>
      </c>
      <c r="G24" s="138">
        <v>87</v>
      </c>
      <c r="H24" s="140"/>
      <c r="I24" s="141"/>
      <c r="J24" s="142"/>
      <c r="K24" s="109">
        <v>0</v>
      </c>
      <c r="L24" s="110">
        <v>0</v>
      </c>
      <c r="M24" s="111">
        <v>2.8432918155638637E-5</v>
      </c>
      <c r="N24" s="112">
        <v>8.8153733713064193E-3</v>
      </c>
      <c r="O24" s="113">
        <v>3.799789453981979E-2</v>
      </c>
      <c r="P24" s="114" t="s">
        <v>34</v>
      </c>
      <c r="Q24" s="115"/>
      <c r="R24" s="116"/>
      <c r="S24" s="117"/>
      <c r="T24" s="118"/>
      <c r="U24" s="119"/>
      <c r="V24" s="120"/>
      <c r="W24" s="121"/>
      <c r="X24" s="122"/>
      <c r="Y24" s="123"/>
      <c r="Z24" s="124"/>
      <c r="AA24" s="125"/>
      <c r="AB24" s="126"/>
      <c r="AC24" s="127"/>
      <c r="AD24" s="128">
        <v>0</v>
      </c>
      <c r="AF24" s="152"/>
      <c r="AG24" s="152"/>
      <c r="AH24" s="97"/>
      <c r="AI24" s="97"/>
      <c r="AJ24" s="97"/>
      <c r="AK24" s="97"/>
      <c r="AL24" s="97"/>
      <c r="AM24" s="97"/>
      <c r="AN24" s="97"/>
      <c r="AO24" s="96"/>
      <c r="AP24" s="96"/>
      <c r="AQ24" s="96"/>
      <c r="AR24" s="96"/>
      <c r="AS24" s="96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</row>
    <row r="25" spans="2:71" x14ac:dyDescent="0.35">
      <c r="B25" s="129">
        <v>23</v>
      </c>
      <c r="C25" s="136">
        <v>15.60081672668457</v>
      </c>
      <c r="D25" s="130">
        <v>0.89983600378036499</v>
      </c>
      <c r="E25" s="131">
        <v>88</v>
      </c>
      <c r="F25" s="137">
        <v>89</v>
      </c>
      <c r="G25" s="138">
        <v>90</v>
      </c>
      <c r="H25" s="140"/>
      <c r="I25" s="141"/>
      <c r="J25" s="142"/>
      <c r="K25" s="109">
        <v>-1.1528933754528158E-4</v>
      </c>
      <c r="L25" s="110">
        <v>4.1853651516387417E-5</v>
      </c>
      <c r="M25" s="111">
        <v>6.5657405190402703E-6</v>
      </c>
      <c r="N25" s="112" t="s">
        <v>34</v>
      </c>
      <c r="O25" s="113" t="s">
        <v>34</v>
      </c>
      <c r="P25" s="114" t="s">
        <v>34</v>
      </c>
      <c r="Q25" s="115"/>
      <c r="R25" s="116"/>
      <c r="S25" s="117"/>
      <c r="T25" s="118"/>
      <c r="U25" s="119"/>
      <c r="V25" s="120"/>
      <c r="W25" s="121"/>
      <c r="X25" s="122"/>
      <c r="Y25" s="123"/>
      <c r="Z25" s="124"/>
      <c r="AA25" s="125"/>
      <c r="AB25" s="126"/>
      <c r="AC25" s="127"/>
      <c r="AD25" s="128">
        <v>0</v>
      </c>
      <c r="AH25" s="97"/>
      <c r="AI25" s="97"/>
      <c r="AJ25" s="97"/>
      <c r="AK25" s="97"/>
      <c r="AL25" s="97"/>
      <c r="AM25" s="97"/>
      <c r="AN25" s="97"/>
      <c r="AO25" s="96"/>
      <c r="AP25" s="96"/>
      <c r="AQ25" s="96"/>
      <c r="AR25" s="96"/>
      <c r="AS25" s="96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</row>
    <row r="26" spans="2:71" x14ac:dyDescent="0.35">
      <c r="B26" s="129">
        <v>24</v>
      </c>
      <c r="C26" s="136">
        <v>18.321756362915039</v>
      </c>
      <c r="D26" s="130">
        <v>0.89983600378036499</v>
      </c>
      <c r="E26" s="131">
        <v>91</v>
      </c>
      <c r="F26" s="137">
        <v>92</v>
      </c>
      <c r="G26" s="138">
        <v>93</v>
      </c>
      <c r="H26" s="140"/>
      <c r="I26" s="141"/>
      <c r="J26" s="142"/>
      <c r="K26" s="109">
        <v>-1.152893251136573E-4</v>
      </c>
      <c r="L26" s="110">
        <v>-4.2833907097027281E-5</v>
      </c>
      <c r="M26" s="111">
        <v>6.0083491518063989E-6</v>
      </c>
      <c r="N26" s="112" t="s">
        <v>34</v>
      </c>
      <c r="O26" s="113" t="s">
        <v>34</v>
      </c>
      <c r="P26" s="114" t="s">
        <v>34</v>
      </c>
      <c r="Q26" s="115"/>
      <c r="R26" s="116"/>
      <c r="S26" s="117"/>
      <c r="T26" s="118"/>
      <c r="U26" s="119"/>
      <c r="V26" s="120"/>
      <c r="W26" s="121"/>
      <c r="X26" s="122"/>
      <c r="Y26" s="123"/>
      <c r="Z26" s="124"/>
      <c r="AA26" s="125"/>
      <c r="AB26" s="126"/>
      <c r="AC26" s="127"/>
      <c r="AD26" s="128">
        <v>0</v>
      </c>
      <c r="AH26" s="97"/>
      <c r="AI26" s="97"/>
      <c r="AJ26" s="97"/>
      <c r="AK26" s="97"/>
      <c r="AL26" s="97"/>
      <c r="AM26" s="97"/>
      <c r="AN26" s="97"/>
      <c r="AO26" s="96"/>
      <c r="AP26" s="96"/>
      <c r="AQ26" s="96"/>
      <c r="AR26" s="96"/>
      <c r="AS26" s="96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</row>
    <row r="27" spans="2:71" x14ac:dyDescent="0.35">
      <c r="B27" s="129">
        <v>25</v>
      </c>
      <c r="C27" s="136">
        <v>16.435649871826172</v>
      </c>
      <c r="D27" s="130">
        <v>2.7293310165405273</v>
      </c>
      <c r="E27" s="153">
        <v>94</v>
      </c>
      <c r="F27" s="154">
        <v>95</v>
      </c>
      <c r="G27" s="155">
        <v>96</v>
      </c>
      <c r="H27" s="140"/>
      <c r="I27" s="141"/>
      <c r="J27" s="142"/>
      <c r="K27" s="109">
        <v>-1.9389235147622396E-5</v>
      </c>
      <c r="L27" s="110">
        <v>-1.9073700687923159E-6</v>
      </c>
      <c r="M27" s="111">
        <v>1.126342928994929E-5</v>
      </c>
      <c r="N27" s="112" t="s">
        <v>34</v>
      </c>
      <c r="O27" s="113" t="s">
        <v>34</v>
      </c>
      <c r="P27" s="114" t="s">
        <v>34</v>
      </c>
      <c r="Q27" s="115"/>
      <c r="R27" s="116"/>
      <c r="S27" s="117"/>
      <c r="T27" s="118"/>
      <c r="U27" s="119"/>
      <c r="V27" s="120"/>
      <c r="W27" s="121"/>
      <c r="X27" s="122"/>
      <c r="Y27" s="123"/>
      <c r="Z27" s="124"/>
      <c r="AA27" s="125"/>
      <c r="AB27" s="126"/>
      <c r="AC27" s="127"/>
      <c r="AD27" s="128">
        <v>0</v>
      </c>
      <c r="AE27" s="95"/>
      <c r="AF27" s="96"/>
      <c r="AG27" s="96"/>
      <c r="AH27" s="97"/>
      <c r="AI27" s="97"/>
      <c r="AJ27" s="97"/>
      <c r="AK27" s="97"/>
      <c r="AL27" s="97"/>
      <c r="AM27" s="97"/>
      <c r="AN27" s="97"/>
      <c r="AO27" s="96"/>
      <c r="AP27" s="96"/>
      <c r="AQ27" s="96"/>
      <c r="AR27" s="96"/>
      <c r="AS27" s="96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</row>
    <row r="28" spans="2:71" x14ac:dyDescent="0.35">
      <c r="B28" s="129">
        <v>26</v>
      </c>
      <c r="C28" s="136">
        <v>17.456003189086914</v>
      </c>
      <c r="D28" s="130">
        <v>2.7448270320892334</v>
      </c>
      <c r="E28" s="153">
        <v>97</v>
      </c>
      <c r="F28" s="154">
        <v>98</v>
      </c>
      <c r="G28" s="155">
        <v>99</v>
      </c>
      <c r="H28" s="140"/>
      <c r="I28" s="141"/>
      <c r="J28" s="142"/>
      <c r="K28" s="109">
        <v>-1.9450670456622219E-5</v>
      </c>
      <c r="L28" s="110">
        <v>2.1379127033538306E-6</v>
      </c>
      <c r="M28" s="111">
        <v>1.1368323759113144E-5</v>
      </c>
      <c r="N28" s="112" t="s">
        <v>34</v>
      </c>
      <c r="O28" s="113" t="s">
        <v>34</v>
      </c>
      <c r="P28" s="114" t="s">
        <v>34</v>
      </c>
      <c r="Q28" s="115"/>
      <c r="R28" s="116"/>
      <c r="S28" s="117"/>
      <c r="T28" s="118"/>
      <c r="U28" s="119"/>
      <c r="V28" s="120"/>
      <c r="W28" s="121"/>
      <c r="X28" s="122"/>
      <c r="Y28" s="123"/>
      <c r="Z28" s="124"/>
      <c r="AA28" s="125"/>
      <c r="AB28" s="126"/>
      <c r="AC28" s="127"/>
      <c r="AD28" s="128">
        <v>0</v>
      </c>
      <c r="AE28" s="95"/>
      <c r="AF28" s="96"/>
      <c r="AG28" s="96"/>
      <c r="AH28" s="97"/>
      <c r="AI28" s="97"/>
      <c r="AJ28" s="97"/>
      <c r="AK28" s="97"/>
      <c r="AL28" s="97"/>
      <c r="AM28" s="97"/>
      <c r="AN28" s="97"/>
      <c r="AO28" s="96"/>
      <c r="AP28" s="96"/>
      <c r="AQ28" s="96"/>
      <c r="AR28" s="96"/>
      <c r="AS28" s="96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</row>
    <row r="29" spans="2:71" x14ac:dyDescent="0.35">
      <c r="B29" s="129">
        <v>27</v>
      </c>
      <c r="C29" s="136"/>
      <c r="D29" s="130"/>
      <c r="E29" s="153"/>
      <c r="F29" s="154"/>
      <c r="G29" s="155"/>
      <c r="H29" s="140"/>
      <c r="I29" s="141"/>
      <c r="J29" s="142"/>
      <c r="K29" s="109"/>
      <c r="L29" s="110"/>
      <c r="M29" s="111"/>
      <c r="N29" s="112"/>
      <c r="O29" s="113"/>
      <c r="P29" s="114"/>
      <c r="Q29" s="115"/>
      <c r="R29" s="116"/>
      <c r="S29" s="117"/>
      <c r="T29" s="118"/>
      <c r="U29" s="119"/>
      <c r="V29" s="120"/>
      <c r="W29" s="121"/>
      <c r="X29" s="122"/>
      <c r="Y29" s="123"/>
      <c r="Z29" s="124"/>
      <c r="AA29" s="125"/>
      <c r="AB29" s="126"/>
      <c r="AC29" s="127"/>
      <c r="AD29" s="128"/>
      <c r="AE29" s="95"/>
      <c r="AF29" s="96"/>
      <c r="AG29" s="96"/>
      <c r="AH29" s="97"/>
      <c r="AI29" s="97"/>
      <c r="AJ29" s="97"/>
      <c r="AK29" s="97"/>
      <c r="AL29" s="97"/>
      <c r="AM29" s="97"/>
      <c r="AN29" s="97"/>
      <c r="AO29" s="96"/>
      <c r="AP29" s="96"/>
      <c r="AQ29" s="96"/>
      <c r="AR29" s="96"/>
      <c r="AS29" s="96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</row>
    <row r="30" spans="2:71" x14ac:dyDescent="0.35">
      <c r="B30" s="129">
        <v>28</v>
      </c>
      <c r="C30" s="136"/>
      <c r="D30" s="130"/>
      <c r="E30" s="153"/>
      <c r="F30" s="154"/>
      <c r="G30" s="155"/>
      <c r="H30" s="140"/>
      <c r="I30" s="141"/>
      <c r="J30" s="142"/>
      <c r="K30" s="109"/>
      <c r="L30" s="110"/>
      <c r="M30" s="111"/>
      <c r="N30" s="112"/>
      <c r="O30" s="113"/>
      <c r="P30" s="114"/>
      <c r="Q30" s="115"/>
      <c r="R30" s="116"/>
      <c r="S30" s="117"/>
      <c r="T30" s="118"/>
      <c r="U30" s="119"/>
      <c r="V30" s="120"/>
      <c r="W30" s="121"/>
      <c r="X30" s="122"/>
      <c r="Y30" s="123"/>
      <c r="Z30" s="124"/>
      <c r="AA30" s="125"/>
      <c r="AB30" s="126"/>
      <c r="AC30" s="127"/>
      <c r="AD30" s="128"/>
      <c r="AE30" s="95"/>
      <c r="AF30" s="96"/>
      <c r="AG30" s="96"/>
      <c r="AH30" s="97"/>
      <c r="AI30" s="97"/>
      <c r="AJ30" s="97"/>
      <c r="AK30" s="97"/>
      <c r="AL30" s="97"/>
      <c r="AM30" s="97"/>
      <c r="AN30" s="97"/>
      <c r="AO30" s="96"/>
      <c r="AP30" s="96"/>
      <c r="AQ30" s="96"/>
      <c r="AR30" s="96"/>
      <c r="AS30" s="96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</row>
    <row r="31" spans="2:71" x14ac:dyDescent="0.35">
      <c r="B31" s="129">
        <v>29</v>
      </c>
      <c r="C31" s="136"/>
      <c r="D31" s="130"/>
      <c r="E31" s="153"/>
      <c r="F31" s="154"/>
      <c r="G31" s="155"/>
      <c r="H31" s="140"/>
      <c r="I31" s="141"/>
      <c r="J31" s="142"/>
      <c r="K31" s="109"/>
      <c r="L31" s="110"/>
      <c r="M31" s="111"/>
      <c r="N31" s="112"/>
      <c r="O31" s="113"/>
      <c r="P31" s="114"/>
      <c r="Q31" s="115"/>
      <c r="R31" s="116"/>
      <c r="S31" s="117"/>
      <c r="T31" s="118"/>
      <c r="U31" s="119"/>
      <c r="V31" s="120"/>
      <c r="W31" s="121"/>
      <c r="X31" s="122"/>
      <c r="Y31" s="123"/>
      <c r="Z31" s="124"/>
      <c r="AA31" s="125"/>
      <c r="AB31" s="126"/>
      <c r="AC31" s="127"/>
      <c r="AD31" s="128"/>
      <c r="AE31" s="95"/>
      <c r="AF31" s="96"/>
      <c r="AG31" s="96"/>
      <c r="AH31" s="97"/>
      <c r="AI31" s="97"/>
      <c r="AJ31" s="97"/>
      <c r="AK31" s="97"/>
      <c r="AL31" s="97"/>
      <c r="AM31" s="97"/>
      <c r="AN31" s="97"/>
      <c r="AO31" s="96"/>
      <c r="AP31" s="96"/>
      <c r="AQ31" s="96"/>
      <c r="AR31" s="96"/>
      <c r="AS31" s="96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</row>
    <row r="32" spans="2:71" x14ac:dyDescent="0.35">
      <c r="B32" s="129">
        <v>30</v>
      </c>
      <c r="C32" s="136"/>
      <c r="D32" s="130"/>
      <c r="E32" s="153"/>
      <c r="F32" s="154"/>
      <c r="G32" s="155"/>
      <c r="H32" s="140"/>
      <c r="I32" s="141"/>
      <c r="J32" s="142"/>
      <c r="K32" s="109"/>
      <c r="L32" s="110"/>
      <c r="M32" s="111"/>
      <c r="N32" s="112"/>
      <c r="O32" s="113"/>
      <c r="P32" s="114"/>
      <c r="Q32" s="115"/>
      <c r="R32" s="116"/>
      <c r="S32" s="117"/>
      <c r="T32" s="118"/>
      <c r="U32" s="119"/>
      <c r="V32" s="120"/>
      <c r="W32" s="121"/>
      <c r="X32" s="122"/>
      <c r="Y32" s="123"/>
      <c r="Z32" s="124"/>
      <c r="AA32" s="125"/>
      <c r="AB32" s="126"/>
      <c r="AC32" s="127"/>
      <c r="AD32" s="128"/>
      <c r="AE32" s="95"/>
      <c r="AF32" s="96"/>
      <c r="AG32" s="96"/>
      <c r="AH32" s="97"/>
      <c r="AI32" s="97"/>
      <c r="AJ32" s="97"/>
      <c r="AK32" s="97"/>
      <c r="AL32" s="97"/>
      <c r="AM32" s="97"/>
      <c r="AN32" s="97"/>
      <c r="AO32" s="96"/>
      <c r="AP32" s="96"/>
      <c r="AQ32" s="96"/>
      <c r="AR32" s="96"/>
      <c r="AS32" s="96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</row>
    <row r="33" spans="2:71" x14ac:dyDescent="0.35">
      <c r="B33" s="129">
        <v>31</v>
      </c>
      <c r="C33" s="136"/>
      <c r="D33" s="130"/>
      <c r="E33" s="153"/>
      <c r="F33" s="154"/>
      <c r="G33" s="155"/>
      <c r="H33" s="140"/>
      <c r="I33" s="141"/>
      <c r="J33" s="142"/>
      <c r="K33" s="109"/>
      <c r="L33" s="110"/>
      <c r="M33" s="111"/>
      <c r="N33" s="112"/>
      <c r="O33" s="113"/>
      <c r="P33" s="114"/>
      <c r="Q33" s="115"/>
      <c r="R33" s="116"/>
      <c r="S33" s="117"/>
      <c r="T33" s="118"/>
      <c r="U33" s="119"/>
      <c r="V33" s="120"/>
      <c r="W33" s="121"/>
      <c r="X33" s="122"/>
      <c r="Y33" s="123"/>
      <c r="Z33" s="124"/>
      <c r="AA33" s="125"/>
      <c r="AB33" s="126"/>
      <c r="AC33" s="127"/>
      <c r="AD33" s="128"/>
      <c r="AE33" s="95"/>
      <c r="AF33" s="96"/>
      <c r="AG33" s="96"/>
      <c r="AH33" s="97"/>
      <c r="AI33" s="97"/>
      <c r="AJ33" s="97"/>
      <c r="AK33" s="97"/>
      <c r="AL33" s="97"/>
      <c r="AM33" s="97"/>
      <c r="AN33" s="97"/>
      <c r="AO33" s="96"/>
      <c r="AP33" s="96"/>
      <c r="AQ33" s="96"/>
      <c r="AR33" s="96"/>
      <c r="AS33" s="96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</row>
    <row r="34" spans="2:71" x14ac:dyDescent="0.35">
      <c r="B34" s="129">
        <v>32</v>
      </c>
      <c r="C34" s="136"/>
      <c r="D34" s="130"/>
      <c r="E34" s="153"/>
      <c r="F34" s="154"/>
      <c r="G34" s="155"/>
      <c r="H34" s="140"/>
      <c r="I34" s="141"/>
      <c r="J34" s="142"/>
      <c r="K34" s="109"/>
      <c r="L34" s="110"/>
      <c r="M34" s="111"/>
      <c r="N34" s="112"/>
      <c r="O34" s="113"/>
      <c r="P34" s="114"/>
      <c r="Q34" s="115"/>
      <c r="R34" s="116"/>
      <c r="S34" s="117"/>
      <c r="T34" s="118"/>
      <c r="U34" s="119"/>
      <c r="V34" s="120"/>
      <c r="W34" s="121"/>
      <c r="X34" s="122"/>
      <c r="Y34" s="123"/>
      <c r="Z34" s="124"/>
      <c r="AA34" s="125"/>
      <c r="AB34" s="126"/>
      <c r="AC34" s="127"/>
      <c r="AD34" s="128"/>
      <c r="AE34" s="95"/>
      <c r="AF34" s="96"/>
      <c r="AG34" s="96"/>
      <c r="AH34" s="97"/>
      <c r="AI34" s="97"/>
      <c r="AJ34" s="97"/>
      <c r="AK34" s="97"/>
      <c r="AL34" s="97"/>
      <c r="AM34" s="97"/>
      <c r="AN34" s="97"/>
      <c r="AO34" s="96"/>
      <c r="AP34" s="96"/>
      <c r="AQ34" s="96"/>
      <c r="AR34" s="96"/>
      <c r="AS34" s="96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</row>
    <row r="35" spans="2:71" x14ac:dyDescent="0.35">
      <c r="B35" s="129">
        <v>33</v>
      </c>
      <c r="C35" s="136"/>
      <c r="D35" s="130"/>
      <c r="E35" s="153"/>
      <c r="F35" s="154"/>
      <c r="G35" s="155"/>
      <c r="H35" s="140"/>
      <c r="I35" s="141"/>
      <c r="J35" s="142"/>
      <c r="K35" s="109"/>
      <c r="L35" s="110"/>
      <c r="M35" s="111"/>
      <c r="N35" s="112"/>
      <c r="O35" s="113"/>
      <c r="P35" s="114"/>
      <c r="Q35" s="115"/>
      <c r="R35" s="116"/>
      <c r="S35" s="117"/>
      <c r="T35" s="118"/>
      <c r="U35" s="119"/>
      <c r="V35" s="120"/>
      <c r="W35" s="121"/>
      <c r="X35" s="122"/>
      <c r="Y35" s="123"/>
      <c r="Z35" s="124"/>
      <c r="AA35" s="125"/>
      <c r="AB35" s="126"/>
      <c r="AC35" s="127"/>
      <c r="AD35" s="128"/>
      <c r="AE35" s="95"/>
      <c r="AF35" s="96"/>
      <c r="AG35" s="96"/>
      <c r="AH35" s="97"/>
      <c r="AI35" s="97"/>
      <c r="AJ35" s="97"/>
      <c r="AK35" s="97"/>
      <c r="AL35" s="97"/>
      <c r="AM35" s="97"/>
      <c r="AN35" s="97"/>
      <c r="AO35" s="96"/>
      <c r="AP35" s="96"/>
      <c r="AQ35" s="96"/>
      <c r="AR35" s="96"/>
      <c r="AS35" s="96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</row>
    <row r="36" spans="2:71" x14ac:dyDescent="0.35">
      <c r="B36" s="129">
        <v>34</v>
      </c>
      <c r="C36" s="136"/>
      <c r="D36" s="130"/>
      <c r="E36" s="153"/>
      <c r="F36" s="154"/>
      <c r="G36" s="155"/>
      <c r="H36" s="140"/>
      <c r="I36" s="141"/>
      <c r="J36" s="142"/>
      <c r="K36" s="109"/>
      <c r="L36" s="110"/>
      <c r="M36" s="111"/>
      <c r="N36" s="112"/>
      <c r="O36" s="113"/>
      <c r="P36" s="114"/>
      <c r="Q36" s="115"/>
      <c r="R36" s="116"/>
      <c r="S36" s="117"/>
      <c r="T36" s="118"/>
      <c r="U36" s="119"/>
      <c r="V36" s="120"/>
      <c r="W36" s="121"/>
      <c r="X36" s="122"/>
      <c r="Y36" s="123"/>
      <c r="Z36" s="124"/>
      <c r="AA36" s="125"/>
      <c r="AB36" s="126"/>
      <c r="AC36" s="127"/>
      <c r="AD36" s="128"/>
      <c r="AE36" s="95"/>
      <c r="AF36" s="96"/>
      <c r="AG36" s="96"/>
      <c r="AH36" s="97"/>
      <c r="AI36" s="97"/>
      <c r="AJ36" s="97"/>
      <c r="AK36" s="97"/>
      <c r="AL36" s="97"/>
      <c r="AM36" s="97"/>
      <c r="AN36" s="97"/>
      <c r="AO36" s="96"/>
      <c r="AP36" s="96"/>
      <c r="AQ36" s="96"/>
      <c r="AR36" s="96"/>
      <c r="AS36" s="96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</row>
    <row r="37" spans="2:71" x14ac:dyDescent="0.35">
      <c r="B37" s="129">
        <v>35</v>
      </c>
      <c r="C37" s="136"/>
      <c r="D37" s="130"/>
      <c r="E37" s="153"/>
      <c r="F37" s="154"/>
      <c r="G37" s="155"/>
      <c r="H37" s="140"/>
      <c r="I37" s="141"/>
      <c r="J37" s="142"/>
      <c r="K37" s="109"/>
      <c r="L37" s="110"/>
      <c r="M37" s="111"/>
      <c r="N37" s="112"/>
      <c r="O37" s="113"/>
      <c r="P37" s="114"/>
      <c r="Q37" s="115"/>
      <c r="R37" s="116"/>
      <c r="S37" s="117"/>
      <c r="T37" s="118"/>
      <c r="U37" s="119"/>
      <c r="V37" s="120"/>
      <c r="W37" s="121"/>
      <c r="X37" s="122"/>
      <c r="Y37" s="123"/>
      <c r="Z37" s="124"/>
      <c r="AA37" s="125"/>
      <c r="AB37" s="126"/>
      <c r="AC37" s="127"/>
      <c r="AD37" s="128"/>
      <c r="AE37" s="95"/>
      <c r="AF37" s="96"/>
      <c r="AG37" s="96"/>
      <c r="AH37" s="97"/>
      <c r="AI37" s="97"/>
      <c r="AJ37" s="97"/>
      <c r="AK37" s="97"/>
      <c r="AL37" s="97"/>
      <c r="AM37" s="97"/>
      <c r="AN37" s="97"/>
      <c r="AO37" s="96"/>
      <c r="AP37" s="96"/>
      <c r="AQ37" s="96"/>
      <c r="AR37" s="96"/>
      <c r="AS37" s="96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</row>
    <row r="38" spans="2:71" x14ac:dyDescent="0.35">
      <c r="B38" s="129">
        <v>36</v>
      </c>
      <c r="C38" s="136"/>
      <c r="D38" s="130"/>
      <c r="E38" s="153"/>
      <c r="F38" s="154"/>
      <c r="G38" s="155"/>
      <c r="H38" s="140"/>
      <c r="I38" s="141"/>
      <c r="J38" s="142"/>
      <c r="K38" s="109"/>
      <c r="L38" s="110"/>
      <c r="M38" s="111"/>
      <c r="N38" s="112"/>
      <c r="O38" s="113"/>
      <c r="P38" s="114"/>
      <c r="Q38" s="115"/>
      <c r="R38" s="116"/>
      <c r="S38" s="117"/>
      <c r="T38" s="118"/>
      <c r="U38" s="119"/>
      <c r="V38" s="120"/>
      <c r="W38" s="121"/>
      <c r="X38" s="122"/>
      <c r="Y38" s="123"/>
      <c r="Z38" s="124"/>
      <c r="AA38" s="125"/>
      <c r="AB38" s="126"/>
      <c r="AC38" s="127"/>
      <c r="AD38" s="128"/>
      <c r="AE38" s="95"/>
      <c r="AF38" s="96"/>
      <c r="AG38" s="96"/>
      <c r="AH38" s="97"/>
      <c r="AI38" s="97"/>
      <c r="AJ38" s="97"/>
      <c r="AK38" s="97"/>
      <c r="AL38" s="97"/>
      <c r="AM38" s="97"/>
      <c r="AN38" s="97"/>
      <c r="AO38" s="96"/>
      <c r="AP38" s="96"/>
      <c r="AQ38" s="96"/>
      <c r="AR38" s="96"/>
      <c r="AS38" s="96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</row>
    <row r="39" spans="2:71" x14ac:dyDescent="0.35">
      <c r="B39" s="129">
        <v>37</v>
      </c>
      <c r="C39" s="136"/>
      <c r="D39" s="130"/>
      <c r="E39" s="153"/>
      <c r="F39" s="154"/>
      <c r="G39" s="155"/>
      <c r="H39" s="140"/>
      <c r="I39" s="141"/>
      <c r="J39" s="142"/>
      <c r="K39" s="109"/>
      <c r="L39" s="110"/>
      <c r="M39" s="111"/>
      <c r="N39" s="112"/>
      <c r="O39" s="113"/>
      <c r="P39" s="114"/>
      <c r="Q39" s="115"/>
      <c r="R39" s="116"/>
      <c r="S39" s="117"/>
      <c r="T39" s="118"/>
      <c r="U39" s="119"/>
      <c r="V39" s="120"/>
      <c r="W39" s="121"/>
      <c r="X39" s="122"/>
      <c r="Y39" s="123"/>
      <c r="Z39" s="124"/>
      <c r="AA39" s="125"/>
      <c r="AB39" s="126"/>
      <c r="AC39" s="127"/>
      <c r="AD39" s="128"/>
      <c r="AE39" s="95"/>
      <c r="AF39" s="96"/>
      <c r="AG39" s="96"/>
      <c r="AH39" s="97"/>
      <c r="AI39" s="97"/>
      <c r="AJ39" s="97"/>
      <c r="AK39" s="97"/>
      <c r="AL39" s="97"/>
      <c r="AM39" s="97"/>
      <c r="AN39" s="97"/>
      <c r="AO39" s="96"/>
      <c r="AP39" s="96"/>
      <c r="AQ39" s="96"/>
      <c r="AR39" s="96"/>
      <c r="AS39" s="96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</row>
    <row r="40" spans="2:71" x14ac:dyDescent="0.35">
      <c r="B40" s="129">
        <v>38</v>
      </c>
      <c r="C40" s="136"/>
      <c r="D40" s="130"/>
      <c r="E40" s="153"/>
      <c r="F40" s="154"/>
      <c r="G40" s="155"/>
      <c r="H40" s="140"/>
      <c r="I40" s="141"/>
      <c r="J40" s="142"/>
      <c r="K40" s="109"/>
      <c r="L40" s="110"/>
      <c r="M40" s="111"/>
      <c r="N40" s="112"/>
      <c r="O40" s="113"/>
      <c r="P40" s="114"/>
      <c r="Q40" s="115"/>
      <c r="R40" s="116"/>
      <c r="S40" s="117"/>
      <c r="T40" s="118"/>
      <c r="U40" s="119"/>
      <c r="V40" s="120"/>
      <c r="W40" s="121"/>
      <c r="X40" s="122"/>
      <c r="Y40" s="123"/>
      <c r="Z40" s="124"/>
      <c r="AA40" s="125"/>
      <c r="AB40" s="126"/>
      <c r="AC40" s="127"/>
      <c r="AD40" s="128"/>
      <c r="AE40" s="95"/>
      <c r="AF40" s="96"/>
      <c r="AG40" s="96"/>
      <c r="AH40" s="97"/>
      <c r="AI40" s="97"/>
      <c r="AJ40" s="97"/>
      <c r="AK40" s="97"/>
      <c r="AL40" s="97"/>
      <c r="AM40" s="97"/>
      <c r="AN40" s="97"/>
      <c r="AO40" s="96"/>
      <c r="AP40" s="96"/>
      <c r="AQ40" s="96"/>
      <c r="AR40" s="96"/>
      <c r="AS40" s="96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</row>
    <row r="41" spans="2:71" x14ac:dyDescent="0.35">
      <c r="B41" s="156">
        <v>39</v>
      </c>
      <c r="C41" s="136"/>
      <c r="D41" s="130"/>
      <c r="E41" s="153"/>
      <c r="F41" s="154"/>
      <c r="G41" s="155"/>
      <c r="H41" s="140"/>
      <c r="I41" s="141"/>
      <c r="J41" s="142"/>
      <c r="K41" s="109"/>
      <c r="L41" s="110"/>
      <c r="M41" s="111"/>
      <c r="N41" s="112"/>
      <c r="O41" s="113"/>
      <c r="P41" s="114"/>
      <c r="Q41" s="115"/>
      <c r="R41" s="116"/>
      <c r="S41" s="117"/>
      <c r="T41" s="118"/>
      <c r="U41" s="119"/>
      <c r="V41" s="120"/>
      <c r="W41" s="121"/>
      <c r="X41" s="122"/>
      <c r="Y41" s="123"/>
      <c r="Z41" s="124"/>
      <c r="AA41" s="125"/>
      <c r="AB41" s="126"/>
      <c r="AC41" s="127"/>
      <c r="AD41" s="128"/>
      <c r="AE41" s="95"/>
      <c r="AF41" s="96"/>
      <c r="AG41" s="96"/>
      <c r="AH41" s="97"/>
      <c r="AI41" s="97"/>
      <c r="AJ41" s="97"/>
      <c r="AK41" s="97"/>
      <c r="AL41" s="97"/>
      <c r="AM41" s="97"/>
      <c r="AN41" s="97"/>
      <c r="AO41" s="96"/>
      <c r="AP41" s="96"/>
      <c r="AQ41" s="96"/>
      <c r="AR41" s="96"/>
      <c r="AS41" s="96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</row>
    <row r="42" spans="2:71" ht="13.15" thickBot="1" x14ac:dyDescent="0.4">
      <c r="B42" s="157">
        <v>40</v>
      </c>
      <c r="C42" s="158"/>
      <c r="D42" s="159"/>
      <c r="E42" s="160"/>
      <c r="F42" s="161"/>
      <c r="G42" s="162"/>
      <c r="H42" s="163"/>
      <c r="I42" s="164"/>
      <c r="J42" s="165"/>
      <c r="K42" s="166"/>
      <c r="L42" s="167"/>
      <c r="M42" s="168"/>
      <c r="N42" s="169"/>
      <c r="O42" s="170"/>
      <c r="P42" s="171"/>
      <c r="Q42" s="172"/>
      <c r="R42" s="173"/>
      <c r="S42" s="174"/>
      <c r="T42" s="175"/>
      <c r="U42" s="176"/>
      <c r="V42" s="177"/>
      <c r="W42" s="178"/>
      <c r="X42" s="179"/>
      <c r="Y42" s="180"/>
      <c r="Z42" s="181"/>
      <c r="AA42" s="182"/>
      <c r="AB42" s="183"/>
      <c r="AC42" s="184"/>
      <c r="AD42" s="185"/>
      <c r="AE42" s="95"/>
      <c r="AF42" s="96"/>
      <c r="AJ42" s="97"/>
      <c r="AK42" s="97"/>
      <c r="AL42" s="97"/>
      <c r="AM42" s="97"/>
      <c r="AN42" s="97"/>
      <c r="AO42" s="96"/>
      <c r="AP42" s="96"/>
      <c r="AQ42" s="96"/>
      <c r="AR42" s="96"/>
      <c r="AS42" s="96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</row>
    <row r="43" spans="2:71" x14ac:dyDescent="0.35">
      <c r="B43" s="186"/>
    </row>
    <row r="44" spans="2:71" x14ac:dyDescent="0.35">
      <c r="B44" s="95"/>
      <c r="C44" s="95"/>
      <c r="D44" s="95"/>
      <c r="E44" s="95"/>
      <c r="AE44" s="95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</row>
    <row r="45" spans="2:71" x14ac:dyDescent="0.35">
      <c r="B45" s="186"/>
      <c r="C45" s="95"/>
      <c r="D45" s="95"/>
      <c r="E45" s="95"/>
      <c r="AE45" s="95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</row>
    <row r="46" spans="2:71" ht="13.9" x14ac:dyDescent="0.4">
      <c r="B46" s="95"/>
      <c r="C46" s="187"/>
      <c r="N46" s="188"/>
      <c r="W46" s="65"/>
      <c r="AD46" s="65"/>
      <c r="AE46" s="95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</row>
    <row r="47" spans="2:71" x14ac:dyDescent="0.35">
      <c r="B47" s="186"/>
      <c r="D47" s="95"/>
      <c r="E47" s="95"/>
      <c r="R47" s="152"/>
      <c r="S47" s="152"/>
      <c r="W47" s="65"/>
      <c r="X47" s="95"/>
      <c r="Y47" s="95"/>
      <c r="Z47" s="95"/>
      <c r="AA47" s="95"/>
      <c r="AB47" s="95"/>
      <c r="AD47" s="95"/>
      <c r="AE47" s="95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</row>
    <row r="48" spans="2:71" x14ac:dyDescent="0.35">
      <c r="B48" s="95"/>
      <c r="C48" s="95"/>
      <c r="D48" s="95"/>
      <c r="E48" s="95"/>
      <c r="K48" s="97"/>
      <c r="W48" s="65"/>
      <c r="X48" s="95"/>
      <c r="Y48" s="95"/>
      <c r="Z48" s="95"/>
      <c r="AA48" s="95"/>
      <c r="AB48" s="95"/>
      <c r="AD48" s="95"/>
      <c r="AE48" s="95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</row>
    <row r="49" spans="1:71" x14ac:dyDescent="0.35">
      <c r="B49" s="186"/>
      <c r="C49" s="95"/>
      <c r="D49" s="95"/>
      <c r="E49" s="95"/>
      <c r="F49" s="95"/>
      <c r="G49" s="95"/>
      <c r="Q49" s="95"/>
      <c r="R49" s="95"/>
      <c r="S49" s="95"/>
      <c r="W49" s="65"/>
      <c r="X49" s="95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</row>
    <row r="50" spans="1:71" ht="13.15" thickBot="1" x14ac:dyDescent="0.4">
      <c r="B50" s="95"/>
      <c r="C50" s="95"/>
      <c r="D50" s="95"/>
      <c r="E50" s="97"/>
      <c r="F50" s="97"/>
      <c r="G50" s="97"/>
      <c r="Q50" s="97"/>
      <c r="R50" s="95"/>
      <c r="S50" s="95"/>
      <c r="W50" s="65"/>
      <c r="X50" s="95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</row>
    <row r="51" spans="1:71" x14ac:dyDescent="0.35">
      <c r="A51" s="189" t="s">
        <v>39</v>
      </c>
      <c r="B51" s="190"/>
      <c r="C51" s="95"/>
      <c r="D51" s="95"/>
      <c r="E51" s="95"/>
      <c r="F51" s="95"/>
      <c r="G51" s="97"/>
      <c r="Q51" s="95"/>
      <c r="R51" s="95"/>
      <c r="S51" s="95"/>
      <c r="W51" s="65"/>
      <c r="X51" s="95"/>
      <c r="Y51" s="95"/>
      <c r="Z51" s="95"/>
      <c r="AA51" s="95"/>
      <c r="AB51" s="95"/>
      <c r="AD51" s="95"/>
      <c r="AE51" s="95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</row>
    <row r="52" spans="1:71" ht="13.15" thickBot="1" x14ac:dyDescent="0.4">
      <c r="A52" s="191" t="s">
        <v>40</v>
      </c>
      <c r="B52" s="192"/>
      <c r="C52" s="95"/>
      <c r="D52" s="95"/>
      <c r="E52" s="95"/>
      <c r="F52" s="95"/>
      <c r="G52" s="95"/>
      <c r="H52" s="152"/>
      <c r="Q52" s="95"/>
      <c r="R52" s="95"/>
      <c r="S52" s="95"/>
      <c r="W52" s="65"/>
      <c r="X52" s="95"/>
      <c r="Y52" s="95"/>
      <c r="Z52" s="95"/>
      <c r="AA52" s="95"/>
      <c r="AB52" s="95"/>
      <c r="AD52" s="95"/>
      <c r="AE52" s="95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</row>
    <row r="53" spans="1:71" ht="13.15" thickBot="1" x14ac:dyDescent="0.4">
      <c r="A53" s="193">
        <v>1</v>
      </c>
      <c r="B53" s="95"/>
      <c r="C53" s="95"/>
      <c r="D53" s="95"/>
      <c r="E53" s="95"/>
      <c r="F53" s="95"/>
      <c r="G53" s="95"/>
      <c r="Q53" s="95"/>
      <c r="R53" s="95"/>
      <c r="S53" s="95"/>
      <c r="W53" s="65"/>
      <c r="X53" s="95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</row>
    <row r="54" spans="1:71" x14ac:dyDescent="0.35">
      <c r="B54" s="95"/>
      <c r="C54" s="95"/>
      <c r="D54" s="95"/>
      <c r="E54" s="95"/>
      <c r="F54" s="95"/>
      <c r="G54" s="95"/>
      <c r="Q54" s="95"/>
      <c r="R54" s="95"/>
      <c r="S54" s="95"/>
      <c r="X54" s="95"/>
      <c r="Y54" s="186"/>
      <c r="Z54" s="186"/>
      <c r="AA54" s="186"/>
      <c r="AB54" s="186"/>
      <c r="AC54" s="186"/>
      <c r="AD54" s="186"/>
      <c r="AE54" s="186"/>
      <c r="AF54" s="18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</row>
    <row r="55" spans="1:71" x14ac:dyDescent="0.35">
      <c r="B55" s="95"/>
      <c r="C55" s="95"/>
      <c r="D55" s="95"/>
      <c r="E55" s="95"/>
      <c r="F55" s="95"/>
      <c r="G55" s="95"/>
      <c r="Q55" s="95"/>
      <c r="R55" s="95"/>
      <c r="S55" s="95"/>
      <c r="X55" s="95"/>
      <c r="Y55" s="186"/>
      <c r="Z55" s="186"/>
      <c r="AA55" s="186"/>
      <c r="AB55" s="186"/>
      <c r="AC55" s="186"/>
      <c r="AD55" s="186"/>
      <c r="AE55" s="186"/>
      <c r="AF55" s="18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</row>
    <row r="56" spans="1:71" x14ac:dyDescent="0.35">
      <c r="B56" s="95"/>
      <c r="C56" s="95"/>
      <c r="D56" s="95"/>
      <c r="E56" s="95"/>
      <c r="X56" s="95"/>
      <c r="Y56" s="95"/>
      <c r="Z56" s="95"/>
      <c r="AA56" s="95"/>
      <c r="AB56" s="95"/>
      <c r="AC56" s="95"/>
      <c r="AD56" s="95"/>
      <c r="AE56" s="95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</row>
    <row r="57" spans="1:71" x14ac:dyDescent="0.35">
      <c r="B57" s="95"/>
      <c r="C57" s="95"/>
      <c r="D57" s="95"/>
      <c r="E57" s="95"/>
      <c r="X57" s="95"/>
      <c r="Y57" s="95"/>
      <c r="Z57" s="95"/>
      <c r="AA57" s="95"/>
      <c r="AB57" s="95"/>
      <c r="AC57" s="95"/>
      <c r="AD57" s="95"/>
      <c r="AE57" s="95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</row>
    <row r="58" spans="1:71" x14ac:dyDescent="0.35">
      <c r="B58" s="95"/>
      <c r="C58" s="95"/>
      <c r="D58" s="95"/>
      <c r="E58" s="95"/>
      <c r="X58" s="95"/>
      <c r="Y58" s="95"/>
      <c r="Z58" s="95"/>
      <c r="AA58" s="95"/>
      <c r="AB58" s="95"/>
      <c r="AC58" s="95"/>
      <c r="AD58" s="95"/>
      <c r="AE58" s="95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</row>
    <row r="59" spans="1:71" x14ac:dyDescent="0.35">
      <c r="A59" s="95"/>
      <c r="B59" s="95"/>
      <c r="C59" s="95"/>
      <c r="D59" s="95"/>
      <c r="E59" s="95"/>
      <c r="X59" s="95"/>
      <c r="Y59" s="95"/>
      <c r="Z59" s="95"/>
      <c r="AA59" s="95"/>
      <c r="AB59" s="95"/>
      <c r="AC59" s="95"/>
      <c r="AD59" s="95"/>
      <c r="AE59" s="95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</row>
    <row r="60" spans="1:71" x14ac:dyDescent="0.35">
      <c r="B60" s="95"/>
      <c r="C60" s="95"/>
      <c r="D60" s="95"/>
      <c r="E60" s="95"/>
      <c r="X60" s="95"/>
      <c r="Y60" s="95"/>
      <c r="Z60" s="95"/>
      <c r="AA60" s="95"/>
      <c r="AB60" s="95"/>
      <c r="AC60" s="95"/>
      <c r="AD60" s="95"/>
      <c r="AE60" s="95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</row>
    <row r="61" spans="1:71" x14ac:dyDescent="0.35">
      <c r="B61" s="95"/>
      <c r="C61" s="95"/>
      <c r="D61" s="95"/>
      <c r="E61" s="95"/>
      <c r="X61" s="95"/>
      <c r="Y61" s="95"/>
      <c r="Z61" s="95"/>
      <c r="AA61" s="95"/>
      <c r="AB61" s="95"/>
      <c r="AC61" s="95"/>
      <c r="AD61" s="95"/>
      <c r="AE61" s="95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</row>
    <row r="62" spans="1:71" x14ac:dyDescent="0.35">
      <c r="B62" s="95"/>
      <c r="C62" s="95"/>
      <c r="D62" s="95"/>
      <c r="E62" s="95"/>
      <c r="X62" s="95"/>
      <c r="Y62" s="95"/>
      <c r="Z62" s="95"/>
      <c r="AA62" s="95"/>
      <c r="AB62" s="95"/>
      <c r="AC62" s="95"/>
      <c r="AD62" s="95"/>
      <c r="AE62" s="95"/>
      <c r="AF62" s="96"/>
      <c r="AG62" s="96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</row>
    <row r="63" spans="1:71" x14ac:dyDescent="0.35">
      <c r="B63" s="95"/>
      <c r="C63" s="95"/>
      <c r="D63" s="95"/>
      <c r="E63" s="95"/>
      <c r="X63" s="95"/>
      <c r="Y63" s="95"/>
      <c r="Z63" s="95"/>
      <c r="AA63" s="95"/>
      <c r="AB63" s="95"/>
      <c r="AC63" s="95"/>
      <c r="AD63" s="95"/>
      <c r="AE63" s="95"/>
      <c r="AF63" s="96"/>
      <c r="AG63" s="96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</row>
    <row r="64" spans="1:71" x14ac:dyDescent="0.35">
      <c r="B64" s="95"/>
      <c r="C64" s="95"/>
      <c r="D64" s="95"/>
      <c r="E64" s="95"/>
      <c r="X64" s="95"/>
      <c r="Y64" s="95"/>
      <c r="Z64" s="95"/>
      <c r="AA64" s="95"/>
      <c r="AB64" s="95"/>
      <c r="AC64" s="95"/>
      <c r="AD64" s="95"/>
      <c r="AE64" s="95"/>
      <c r="AF64" s="96"/>
      <c r="AG64" s="96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</row>
    <row r="65" spans="2:71" x14ac:dyDescent="0.35">
      <c r="B65" s="95"/>
      <c r="C65" s="95"/>
      <c r="D65" s="95"/>
      <c r="E65" s="95"/>
      <c r="X65" s="95"/>
      <c r="Y65" s="95"/>
      <c r="Z65" s="95"/>
      <c r="AA65" s="95"/>
      <c r="AB65" s="95"/>
      <c r="AC65" s="95"/>
      <c r="AD65" s="95"/>
      <c r="AE65" s="95"/>
      <c r="AF65" s="96"/>
      <c r="AG65" s="96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</row>
    <row r="66" spans="2:71" x14ac:dyDescent="0.35">
      <c r="B66" s="95"/>
      <c r="C66" s="95"/>
      <c r="D66" s="95"/>
      <c r="E66" s="95"/>
      <c r="X66" s="95"/>
      <c r="Y66" s="95"/>
      <c r="Z66" s="95"/>
      <c r="AA66" s="95"/>
      <c r="AB66" s="95"/>
      <c r="AC66" s="95"/>
      <c r="AD66" s="95"/>
      <c r="AE66" s="95"/>
      <c r="AF66" s="96"/>
      <c r="AG66" s="96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</row>
    <row r="67" spans="2:71" x14ac:dyDescent="0.35">
      <c r="B67" s="95"/>
      <c r="C67" s="95"/>
      <c r="D67" s="95"/>
      <c r="E67" s="95"/>
      <c r="AE67" s="65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</row>
    <row r="68" spans="2:71" x14ac:dyDescent="0.35">
      <c r="B68" s="95"/>
      <c r="C68" s="95"/>
      <c r="D68" s="95"/>
      <c r="E68" s="95"/>
      <c r="AE68" s="65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</row>
    <row r="69" spans="2:71" x14ac:dyDescent="0.35">
      <c r="B69" s="95"/>
      <c r="C69" s="95"/>
      <c r="D69" s="95"/>
      <c r="E69" s="95"/>
      <c r="AE69" s="65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</row>
    <row r="70" spans="2:71" x14ac:dyDescent="0.35">
      <c r="B70" s="95"/>
      <c r="C70" s="95"/>
      <c r="D70" s="95"/>
      <c r="E70" s="95"/>
      <c r="AE70" s="65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</row>
    <row r="71" spans="2:71" x14ac:dyDescent="0.35">
      <c r="B71" s="95"/>
      <c r="C71" s="95"/>
      <c r="D71" s="95"/>
      <c r="E71" s="95"/>
      <c r="AE71" s="65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</row>
    <row r="72" spans="2:71" x14ac:dyDescent="0.35">
      <c r="B72" s="95"/>
      <c r="C72" s="95"/>
      <c r="D72" s="95"/>
      <c r="E72" s="95"/>
      <c r="AE72" s="65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</row>
    <row r="73" spans="2:71" x14ac:dyDescent="0.35">
      <c r="AE73" s="65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</row>
    <row r="74" spans="2:71" x14ac:dyDescent="0.35">
      <c r="AE74" s="65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</row>
    <row r="75" spans="2:71" ht="13.15" x14ac:dyDescent="0.4">
      <c r="B75" s="95"/>
      <c r="C75" s="194"/>
      <c r="D75" s="95"/>
      <c r="E75" s="95"/>
      <c r="F75" s="95"/>
      <c r="G75" s="95"/>
      <c r="Q75" s="95"/>
      <c r="R75" s="95"/>
      <c r="S75" s="95"/>
      <c r="X75" s="95"/>
      <c r="Y75" s="95"/>
      <c r="Z75" s="95"/>
      <c r="AE75" s="65"/>
      <c r="AF75" s="98"/>
      <c r="AG75" s="96"/>
      <c r="AH75" s="96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</row>
    <row r="76" spans="2:71" x14ac:dyDescent="0.35">
      <c r="B76" s="95"/>
      <c r="C76" s="95"/>
      <c r="D76" s="95"/>
      <c r="E76" s="95"/>
      <c r="F76" s="95"/>
      <c r="G76" s="95"/>
      <c r="Q76" s="95"/>
      <c r="R76" s="95"/>
      <c r="S76" s="95"/>
      <c r="X76" s="95"/>
      <c r="Y76" s="95"/>
      <c r="Z76" s="95"/>
      <c r="AE76" s="65"/>
      <c r="AF76" s="98"/>
      <c r="AG76" s="96"/>
      <c r="AH76" s="96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</row>
    <row r="77" spans="2:71" x14ac:dyDescent="0.35">
      <c r="B77" s="95"/>
      <c r="C77" s="95"/>
      <c r="D77" s="95"/>
      <c r="E77" s="95"/>
      <c r="F77" s="95"/>
      <c r="G77" s="95"/>
      <c r="Q77" s="95"/>
      <c r="R77" s="95"/>
      <c r="S77" s="95"/>
      <c r="X77" s="95"/>
      <c r="Y77" s="95"/>
      <c r="Z77" s="95"/>
      <c r="AE77" s="65"/>
      <c r="AF77" s="98"/>
      <c r="AG77" s="96"/>
      <c r="AH77" s="96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</row>
    <row r="78" spans="2:71" x14ac:dyDescent="0.35">
      <c r="B78" s="95"/>
      <c r="C78" s="95"/>
      <c r="D78" s="95"/>
      <c r="E78" s="95"/>
      <c r="F78" s="95"/>
      <c r="G78" s="95"/>
      <c r="Q78" s="95"/>
      <c r="R78" s="95"/>
      <c r="S78" s="95"/>
      <c r="X78" s="95"/>
      <c r="Y78" s="95"/>
      <c r="Z78" s="95"/>
      <c r="AE78" s="65"/>
      <c r="AF78" s="98"/>
      <c r="AG78" s="96"/>
      <c r="AH78" s="96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</row>
    <row r="79" spans="2:71" x14ac:dyDescent="0.35">
      <c r="B79" s="95"/>
      <c r="C79" s="95"/>
      <c r="D79" s="95"/>
      <c r="E79" s="95"/>
      <c r="F79" s="95"/>
      <c r="G79" s="95"/>
      <c r="Q79" s="95"/>
      <c r="R79" s="95"/>
      <c r="S79" s="95"/>
      <c r="X79" s="95"/>
      <c r="Y79" s="95"/>
      <c r="Z79" s="95"/>
      <c r="AE79" s="65"/>
      <c r="AF79" s="98"/>
      <c r="AG79" s="96"/>
      <c r="AH79" s="96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</row>
    <row r="80" spans="2:71" x14ac:dyDescent="0.35">
      <c r="B80" s="95"/>
      <c r="C80" s="95"/>
      <c r="D80" s="95"/>
      <c r="E80" s="95"/>
      <c r="F80" s="95"/>
      <c r="G80" s="95"/>
      <c r="Q80" s="95"/>
      <c r="R80" s="95"/>
      <c r="S80" s="95"/>
      <c r="X80" s="95"/>
      <c r="Y80" s="95"/>
      <c r="Z80" s="95"/>
      <c r="AE80" s="65"/>
      <c r="AF80" s="98"/>
      <c r="AG80" s="96"/>
      <c r="AH80" s="96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</row>
    <row r="81" spans="2:71" x14ac:dyDescent="0.35">
      <c r="B81" s="95"/>
      <c r="C81" s="95"/>
      <c r="D81" s="95"/>
      <c r="E81" s="95"/>
      <c r="F81" s="95"/>
      <c r="G81" s="95"/>
      <c r="Q81" s="95"/>
      <c r="R81" s="95"/>
      <c r="S81" s="95"/>
      <c r="X81" s="95"/>
      <c r="Y81" s="95"/>
      <c r="Z81" s="95"/>
      <c r="AE81" s="65"/>
      <c r="AF81" s="98"/>
      <c r="AG81" s="96"/>
      <c r="AH81" s="96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</row>
    <row r="82" spans="2:71" x14ac:dyDescent="0.35">
      <c r="B82" s="95"/>
      <c r="C82" s="95"/>
      <c r="D82" s="95"/>
      <c r="E82" s="95"/>
      <c r="F82" s="95"/>
      <c r="G82" s="95"/>
      <c r="Q82" s="95"/>
      <c r="R82" s="95"/>
      <c r="S82" s="95"/>
      <c r="X82" s="95"/>
      <c r="Y82" s="95"/>
      <c r="Z82" s="95"/>
      <c r="AG82" s="95"/>
      <c r="AH82" s="95"/>
    </row>
    <row r="83" spans="2:71" x14ac:dyDescent="0.35">
      <c r="B83" s="95"/>
      <c r="C83" s="95"/>
      <c r="D83" s="95"/>
      <c r="E83" s="95"/>
      <c r="F83" s="95"/>
      <c r="G83" s="95"/>
      <c r="Q83" s="95"/>
      <c r="R83" s="95"/>
      <c r="S83" s="95"/>
      <c r="X83" s="95"/>
      <c r="Y83" s="95"/>
      <c r="Z83" s="95"/>
      <c r="AG83" s="95"/>
      <c r="AH83" s="95"/>
    </row>
    <row r="84" spans="2:71" x14ac:dyDescent="0.35">
      <c r="B84" s="95"/>
      <c r="C84" s="95"/>
      <c r="D84" s="95"/>
      <c r="E84" s="95"/>
      <c r="F84" s="95"/>
      <c r="G84" s="95"/>
      <c r="Q84" s="95"/>
      <c r="R84" s="95"/>
      <c r="S84" s="95"/>
      <c r="X84" s="95"/>
      <c r="Y84" s="95"/>
      <c r="Z84" s="95"/>
      <c r="AG84" s="95"/>
      <c r="AH84" s="95"/>
    </row>
    <row r="85" spans="2:71" x14ac:dyDescent="0.35">
      <c r="B85" s="95"/>
      <c r="C85" s="95"/>
      <c r="D85" s="95"/>
      <c r="E85" s="95"/>
      <c r="F85" s="95"/>
      <c r="G85" s="95"/>
      <c r="Q85" s="95"/>
      <c r="R85" s="95"/>
      <c r="S85" s="95"/>
      <c r="X85" s="95"/>
      <c r="Y85" s="95"/>
      <c r="Z85" s="95"/>
      <c r="AG85" s="95"/>
      <c r="AH85" s="95"/>
    </row>
    <row r="86" spans="2:71" x14ac:dyDescent="0.35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G86" s="95"/>
      <c r="AH86" s="95"/>
    </row>
    <row r="87" spans="2:71" x14ac:dyDescent="0.35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G87" s="95"/>
      <c r="AH87" s="95"/>
    </row>
    <row r="88" spans="2:71" x14ac:dyDescent="0.35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G88" s="95"/>
      <c r="AH88" s="95"/>
    </row>
    <row r="89" spans="2:71" x14ac:dyDescent="0.35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G89" s="95"/>
      <c r="AH89" s="95"/>
    </row>
    <row r="90" spans="2:71" x14ac:dyDescent="0.35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G90" s="95"/>
      <c r="AH90" s="95"/>
    </row>
    <row r="91" spans="2:71" x14ac:dyDescent="0.35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G91" s="95"/>
      <c r="AH91" s="95"/>
    </row>
    <row r="92" spans="2:71" x14ac:dyDescent="0.35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G92" s="95"/>
      <c r="AH92" s="95"/>
    </row>
    <row r="93" spans="2:71" x14ac:dyDescent="0.35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G93" s="95"/>
      <c r="AH93" s="95"/>
    </row>
    <row r="94" spans="2:71" x14ac:dyDescent="0.35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G94" s="95"/>
      <c r="AH94" s="95"/>
    </row>
    <row r="95" spans="2:71" x14ac:dyDescent="0.35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G95" s="95"/>
      <c r="AH95" s="95"/>
    </row>
    <row r="96" spans="2:71" x14ac:dyDescent="0.35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G96" s="95"/>
      <c r="AH96" s="95"/>
    </row>
    <row r="97" spans="2:34" x14ac:dyDescent="0.35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G97" s="95"/>
      <c r="AH97" s="95"/>
    </row>
    <row r="98" spans="2:34" x14ac:dyDescent="0.35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G98" s="95"/>
      <c r="AH98" s="95"/>
    </row>
    <row r="99" spans="2:34" x14ac:dyDescent="0.35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</row>
    <row r="100" spans="2:34" x14ac:dyDescent="0.3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</row>
    <row r="101" spans="2:34" x14ac:dyDescent="0.35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</row>
    <row r="102" spans="2:34" x14ac:dyDescent="0.35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</row>
    <row r="103" spans="2:34" x14ac:dyDescent="0.35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</row>
    <row r="104" spans="2:34" x14ac:dyDescent="0.35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</row>
    <row r="105" spans="2:34" x14ac:dyDescent="0.35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</row>
    <row r="106" spans="2:34" x14ac:dyDescent="0.35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</row>
    <row r="107" spans="2:34" x14ac:dyDescent="0.35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</row>
    <row r="108" spans="2:34" x14ac:dyDescent="0.35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</row>
    <row r="109" spans="2:34" x14ac:dyDescent="0.35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</row>
    <row r="110" spans="2:34" x14ac:dyDescent="0.35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</row>
    <row r="111" spans="2:34" x14ac:dyDescent="0.35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</row>
    <row r="112" spans="2:34" x14ac:dyDescent="0.35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</row>
    <row r="113" spans="2:34" x14ac:dyDescent="0.3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</row>
    <row r="114" spans="2:34" x14ac:dyDescent="0.35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</row>
    <row r="115" spans="2:34" x14ac:dyDescent="0.35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</row>
    <row r="116" spans="2:34" x14ac:dyDescent="0.35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</row>
    <row r="117" spans="2:34" x14ac:dyDescent="0.35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</row>
    <row r="118" spans="2:34" x14ac:dyDescent="0.35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</row>
    <row r="119" spans="2:34" x14ac:dyDescent="0.3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</row>
    <row r="120" spans="2:34" x14ac:dyDescent="0.35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</row>
    <row r="121" spans="2:34" x14ac:dyDescent="0.35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</row>
    <row r="122" spans="2:34" x14ac:dyDescent="0.35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</row>
    <row r="123" spans="2:34" x14ac:dyDescent="0.35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</row>
    <row r="124" spans="2:34" x14ac:dyDescent="0.35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</row>
    <row r="125" spans="2:34" x14ac:dyDescent="0.35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</row>
    <row r="126" spans="2:34" x14ac:dyDescent="0.35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</row>
    <row r="127" spans="2:34" x14ac:dyDescent="0.35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</row>
    <row r="128" spans="2:34" x14ac:dyDescent="0.35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</row>
    <row r="129" spans="2:34" x14ac:dyDescent="0.35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</row>
    <row r="130" spans="2:34" x14ac:dyDescent="0.35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</row>
    <row r="131" spans="2:34" x14ac:dyDescent="0.35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</row>
    <row r="132" spans="2:34" x14ac:dyDescent="0.35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</row>
    <row r="133" spans="2:34" x14ac:dyDescent="0.35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</row>
    <row r="134" spans="2:34" x14ac:dyDescent="0.35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</row>
    <row r="135" spans="2:34" x14ac:dyDescent="0.35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</row>
    <row r="136" spans="2:34" x14ac:dyDescent="0.35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</row>
    <row r="137" spans="2:34" x14ac:dyDescent="0.35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</row>
    <row r="138" spans="2:34" x14ac:dyDescent="0.35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</row>
    <row r="139" spans="2:34" x14ac:dyDescent="0.35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</row>
    <row r="140" spans="2:34" x14ac:dyDescent="0.35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</row>
    <row r="141" spans="2:34" x14ac:dyDescent="0.35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</row>
    <row r="142" spans="2:34" x14ac:dyDescent="0.35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</row>
    <row r="143" spans="2:34" x14ac:dyDescent="0.35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</row>
    <row r="144" spans="2:34" x14ac:dyDescent="0.35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</row>
    <row r="145" spans="2:34" x14ac:dyDescent="0.35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</row>
    <row r="146" spans="2:34" x14ac:dyDescent="0.35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</row>
    <row r="147" spans="2:34" x14ac:dyDescent="0.35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</row>
    <row r="148" spans="2:34" x14ac:dyDescent="0.35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</row>
    <row r="149" spans="2:34" x14ac:dyDescent="0.35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</row>
    <row r="150" spans="2:34" x14ac:dyDescent="0.35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</row>
    <row r="151" spans="2:34" x14ac:dyDescent="0.35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</row>
    <row r="152" spans="2:34" x14ac:dyDescent="0.35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</row>
    <row r="153" spans="2:34" x14ac:dyDescent="0.35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</row>
    <row r="154" spans="2:34" x14ac:dyDescent="0.35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</row>
    <row r="155" spans="2:34" x14ac:dyDescent="0.35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</row>
    <row r="156" spans="2:34" x14ac:dyDescent="0.35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</row>
    <row r="157" spans="2:34" x14ac:dyDescent="0.35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</row>
    <row r="158" spans="2:34" x14ac:dyDescent="0.35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</row>
    <row r="159" spans="2:34" x14ac:dyDescent="0.35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</row>
    <row r="160" spans="2:34" x14ac:dyDescent="0.35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</row>
    <row r="161" spans="2:34" x14ac:dyDescent="0.35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</row>
  </sheetData>
  <sheetProtection sheet="1" objects="1" scenarios="1" formatCells="0" formatColumns="0" formatRows="0"/>
  <mergeCells count="9">
    <mergeCell ref="T1:V1"/>
    <mergeCell ref="Y1:Z1"/>
    <mergeCell ref="AA1:AC1"/>
    <mergeCell ref="C1:D1"/>
    <mergeCell ref="E1:G1"/>
    <mergeCell ref="H1:J1"/>
    <mergeCell ref="K1:M1"/>
    <mergeCell ref="N1:P1"/>
    <mergeCell ref="Q1:S1"/>
  </mergeCells>
  <conditionalFormatting sqref="H3:V42 Y3:AC42">
    <cfRule type="expression" dxfId="0" priority="1" stopIfTrue="1">
      <formula>$W3&lt;&gt;0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6484375" defaultRowHeight="12.75" x14ac:dyDescent="0.35"/>
  <cols>
    <col min="1" max="1" width="4" style="425" bestFit="1" customWidth="1"/>
    <col min="2" max="12" width="11.46484375" style="425"/>
    <col min="13" max="13" width="4.19921875" style="425" customWidth="1"/>
    <col min="14" max="15" width="10.46484375" style="425" customWidth="1"/>
    <col min="16" max="17" width="11.46484375" style="425" customWidth="1"/>
    <col min="18" max="25" width="11.46484375" style="425"/>
    <col min="26" max="26" width="3.46484375" style="596" customWidth="1"/>
    <col min="27" max="41" width="11.46484375" style="425"/>
    <col min="42" max="42" width="3.53125" style="425" customWidth="1"/>
    <col min="43" max="57" width="11.46484375" style="425"/>
    <col min="58" max="58" width="5.46484375" style="425" customWidth="1"/>
    <col min="59" max="16384" width="11.46484375" style="425"/>
  </cols>
  <sheetData>
    <row r="1" spans="1:61" ht="13.15" thickBot="1" x14ac:dyDescent="0.4">
      <c r="B1" s="527" t="s">
        <v>174</v>
      </c>
      <c r="O1" s="425">
        <f>COLUMN(O5)</f>
        <v>15</v>
      </c>
      <c r="AB1" s="527">
        <f>COLUMN(AB5)</f>
        <v>28</v>
      </c>
      <c r="AC1" s="527" t="s">
        <v>155</v>
      </c>
      <c r="AE1" s="597" t="s">
        <v>156</v>
      </c>
      <c r="AF1" s="550">
        <f>Querkraft!D6</f>
        <v>5.4473209197686751E-2</v>
      </c>
      <c r="AH1" s="597" t="s">
        <v>157</v>
      </c>
      <c r="AI1" s="550">
        <f>(MAX(AB3:AL42)+MIN(AB3:AL42))/2</f>
        <v>7.6500181178475977</v>
      </c>
      <c r="AJ1" s="597" t="s">
        <v>158</v>
      </c>
      <c r="AK1" s="550">
        <f>(MAX(AB3:AL42)-MIN(AB3:AL42))/2</f>
        <v>14.100018117847597</v>
      </c>
      <c r="AR1" s="599">
        <f>COLUMN(AR4)</f>
        <v>44</v>
      </c>
      <c r="AS1" s="597" t="s">
        <v>159</v>
      </c>
      <c r="AT1" s="598">
        <f>(MAX(AR3:BB42)+MIN(AR3:BB42))/2</f>
        <v>-0.30264300713177894</v>
      </c>
      <c r="AU1" s="597" t="s">
        <v>160</v>
      </c>
      <c r="AV1" s="550">
        <f>(MAX(AR3:BB42)-MIN(AR3:BB42))/2</f>
        <v>3.9760104453603744</v>
      </c>
      <c r="AW1" s="527" t="s">
        <v>122</v>
      </c>
      <c r="AX1" s="425">
        <f>SQRT(AK1^2+AV1^2)</f>
        <v>14.649886347178441</v>
      </c>
      <c r="BG1" s="527" t="s">
        <v>126</v>
      </c>
    </row>
    <row r="2" spans="1:61" ht="13.15" thickBot="1" x14ac:dyDescent="0.4">
      <c r="A2" s="613" t="s">
        <v>13</v>
      </c>
      <c r="B2" s="486">
        <v>0</v>
      </c>
      <c r="C2" s="547">
        <v>0</v>
      </c>
      <c r="D2" s="547">
        <v>0.2</v>
      </c>
      <c r="E2" s="547">
        <v>0.3</v>
      </c>
      <c r="F2" s="547">
        <v>0.4</v>
      </c>
      <c r="G2" s="547">
        <v>0.5</v>
      </c>
      <c r="H2" s="547">
        <v>0.6</v>
      </c>
      <c r="I2" s="547">
        <v>0.7</v>
      </c>
      <c r="J2" s="547">
        <v>0.8</v>
      </c>
      <c r="K2" s="547">
        <v>0.9</v>
      </c>
      <c r="L2" s="487">
        <v>1</v>
      </c>
      <c r="N2" s="613" t="s">
        <v>165</v>
      </c>
      <c r="O2" s="486">
        <v>0</v>
      </c>
      <c r="P2" s="547">
        <v>0.1</v>
      </c>
      <c r="Q2" s="547">
        <v>0.2</v>
      </c>
      <c r="R2" s="547">
        <v>0.3</v>
      </c>
      <c r="S2" s="547">
        <v>0.4</v>
      </c>
      <c r="T2" s="547">
        <v>0.5</v>
      </c>
      <c r="U2" s="547">
        <v>0.6</v>
      </c>
      <c r="V2" s="547">
        <v>0.7</v>
      </c>
      <c r="W2" s="547">
        <v>0.8</v>
      </c>
      <c r="X2" s="547">
        <v>0.9</v>
      </c>
      <c r="Y2" s="487">
        <v>1</v>
      </c>
      <c r="AA2" s="613" t="s">
        <v>13</v>
      </c>
      <c r="AB2" s="486">
        <v>0</v>
      </c>
      <c r="AC2" s="547">
        <v>0.1</v>
      </c>
      <c r="AD2" s="547">
        <v>0.2</v>
      </c>
      <c r="AE2" s="547">
        <v>0.3</v>
      </c>
      <c r="AF2" s="547">
        <v>0.4</v>
      </c>
      <c r="AG2" s="547">
        <v>0.5</v>
      </c>
      <c r="AH2" s="547">
        <v>0.6</v>
      </c>
      <c r="AI2" s="547">
        <v>0.7</v>
      </c>
      <c r="AJ2" s="547">
        <v>0.8</v>
      </c>
      <c r="AK2" s="547">
        <v>0.9</v>
      </c>
      <c r="AL2" s="487">
        <v>1</v>
      </c>
      <c r="AM2" s="486">
        <v>1</v>
      </c>
      <c r="AN2" s="547">
        <v>0</v>
      </c>
      <c r="AO2" s="487">
        <v>0</v>
      </c>
      <c r="AQ2" s="614" t="s">
        <v>165</v>
      </c>
      <c r="AR2" s="486">
        <v>0</v>
      </c>
      <c r="AS2" s="547">
        <v>0.1</v>
      </c>
      <c r="AT2" s="547">
        <v>0.2</v>
      </c>
      <c r="AU2" s="547">
        <v>0.3</v>
      </c>
      <c r="AV2" s="547">
        <v>0.4</v>
      </c>
      <c r="AW2" s="547">
        <v>0.5</v>
      </c>
      <c r="AX2" s="547">
        <v>0.6</v>
      </c>
      <c r="AY2" s="547">
        <v>0.7</v>
      </c>
      <c r="AZ2" s="547">
        <v>0.8</v>
      </c>
      <c r="BA2" s="547">
        <v>0.9</v>
      </c>
      <c r="BB2" s="487">
        <v>1</v>
      </c>
      <c r="BC2" s="615">
        <v>1</v>
      </c>
      <c r="BD2" s="497">
        <v>0</v>
      </c>
      <c r="BE2" s="498">
        <v>0</v>
      </c>
      <c r="BG2" s="602" t="s">
        <v>157</v>
      </c>
      <c r="BH2" s="500">
        <f>PlotQ!$AI$1</f>
        <v>7.6500181178475977</v>
      </c>
      <c r="BI2" s="506"/>
    </row>
    <row r="3" spans="1:61" x14ac:dyDescent="0.35">
      <c r="A3" s="559">
        <v>1</v>
      </c>
      <c r="B3" s="505">
        <v>0</v>
      </c>
      <c r="C3" s="557">
        <v>0</v>
      </c>
      <c r="D3" s="557">
        <v>0</v>
      </c>
      <c r="E3" s="557">
        <v>0</v>
      </c>
      <c r="F3" s="557">
        <v>0</v>
      </c>
      <c r="G3" s="557">
        <v>0</v>
      </c>
      <c r="H3" s="557">
        <v>0</v>
      </c>
      <c r="I3" s="557">
        <v>0</v>
      </c>
      <c r="J3" s="557">
        <v>0</v>
      </c>
      <c r="K3" s="557">
        <v>0</v>
      </c>
      <c r="L3" s="506">
        <v>0</v>
      </c>
      <c r="N3" s="559">
        <v>1</v>
      </c>
      <c r="O3" s="505">
        <v>2.7285156355321818</v>
      </c>
      <c r="P3" s="557">
        <v>2.7285156355321818</v>
      </c>
      <c r="Q3" s="557">
        <v>2.7285156355321818</v>
      </c>
      <c r="R3" s="557">
        <v>2.7285156355321818</v>
      </c>
      <c r="S3" s="557">
        <v>2.7285156355321818</v>
      </c>
      <c r="T3" s="557">
        <v>2.7285156355321818</v>
      </c>
      <c r="U3" s="557">
        <v>2.7285156355321818</v>
      </c>
      <c r="V3" s="557">
        <v>2.7285156355321818</v>
      </c>
      <c r="W3" s="557">
        <v>2.7285156355321818</v>
      </c>
      <c r="X3" s="557">
        <v>2.7285156355321818</v>
      </c>
      <c r="Y3" s="506">
        <v>2.7285156355321818</v>
      </c>
      <c r="AA3" s="560">
        <v>1</v>
      </c>
      <c r="AB3" s="603">
        <f>IF(ISNUMBER(System!$C4),PlotData!B4+ Querkraft!$E$2*$AF$1*B3,PlotData!$CB$3)</f>
        <v>-3.75</v>
      </c>
      <c r="AC3" s="604">
        <f>IF(ISNUMBER(System!$C4),PlotData!C4+ Querkraft!$E$2*$AF$1*C3,PlotData!$CB$3)</f>
        <v>-3.4649999999999999</v>
      </c>
      <c r="AD3" s="604">
        <f>IF(ISNUMBER(System!$C4),PlotData!D4+ Querkraft!$E$2*$AF$1*D3,PlotData!$CB$3)</f>
        <v>-3.1799999999999997</v>
      </c>
      <c r="AE3" s="604">
        <f>IF(ISNUMBER(System!$C4),PlotData!E4+ Querkraft!$E$2*$AF$1*E3,PlotData!$CB$3)</f>
        <v>-2.8949999999999996</v>
      </c>
      <c r="AF3" s="604">
        <f>IF(ISNUMBER(System!$C4),PlotData!F4+Querkraft!$E$2* $AF$1*F3,PlotData!$CB$3)</f>
        <v>-2.6099999999999994</v>
      </c>
      <c r="AG3" s="604">
        <f>IF(ISNUMBER(System!$C4),PlotData!G4+ Querkraft!$E$2*$AF$1*G3,PlotData!$CB$3)</f>
        <v>-2.3249999999999993</v>
      </c>
      <c r="AH3" s="604">
        <f>IF(ISNUMBER(System!$C4),PlotData!H4+Querkraft!$E$2* $AF$1*H3,PlotData!$CB$3)</f>
        <v>-2.0399999999999991</v>
      </c>
      <c r="AI3" s="604">
        <f>IF(ISNUMBER(System!$C4),PlotData!I4+ Querkraft!$E$2*$AF$1*I3,PlotData!$CB$3)</f>
        <v>-1.754999999999999</v>
      </c>
      <c r="AJ3" s="604">
        <f>IF(ISNUMBER(System!$C4),PlotData!J4+Querkraft!$E$2*$AF$1*J3,PlotData!$CB$3)</f>
        <v>-1.4699999999999989</v>
      </c>
      <c r="AK3" s="604">
        <f>IF(ISNUMBER(System!$C4),PlotData!K4+ Querkraft!$E$2*$AF$1*K3,PlotData!$CB$3)</f>
        <v>-1.1849999999999987</v>
      </c>
      <c r="AL3" s="605">
        <f>IF(ISNUMBER(System!$C4),PlotData!L4+ Querkraft!$E$2*$AF$1*L3,PlotData!$CB$3)</f>
        <v>-0.89999999999999869</v>
      </c>
      <c r="AM3" s="603">
        <f>IF(ISNUMBER(System!$C4),PlotData!L4,PlotData!$CB$3)</f>
        <v>-0.89999999999999869</v>
      </c>
      <c r="AN3" s="604">
        <f>IF(ISNUMBER(System!$C4),PlotData!B4,PlotData!$CB$3)</f>
        <v>-3.75</v>
      </c>
      <c r="AO3" s="616">
        <f>IF(ISNUMBER(System!$C4),AB3,PlotData!$CB$3)</f>
        <v>-3.75</v>
      </c>
      <c r="AQ3" s="559">
        <v>1</v>
      </c>
      <c r="AR3" s="606">
        <f>IF(ISNUMBER(System!$C4),PlotData!O4+ Querkraft!$E$2*$AF$1*O3,PlotData!$CB$4)</f>
        <v>1.0486310030135038</v>
      </c>
      <c r="AS3" s="604">
        <f>IF(ISNUMBER(System!$C4),PlotData!P4+Querkraft!$E$2* $AF$1*P3,PlotData!$CB$4)</f>
        <v>1.0486310030135038</v>
      </c>
      <c r="AT3" s="604">
        <f>IF(ISNUMBER(System!$C4),PlotData!Q4+Querkraft!$E$2*$AF$1*Q3,PlotData!$CB$4)</f>
        <v>1.0486310030135038</v>
      </c>
      <c r="AU3" s="604">
        <f>IF(ISNUMBER(System!$C4),PlotData!R4+ Querkraft!$E$2*$AF$1*R3,PlotData!$CB$4)</f>
        <v>1.0486310030135038</v>
      </c>
      <c r="AV3" s="604">
        <f>IF(ISNUMBER(System!$C4),PlotData!S4+ Querkraft!$E$2*$AF$1*S3,PlotData!$CB$4)</f>
        <v>1.0486310030135038</v>
      </c>
      <c r="AW3" s="604">
        <f>IF(ISNUMBER(System!$C4),PlotData!T4+ Querkraft!$E$2*$AF$1*T3,PlotData!$CB$4)</f>
        <v>1.0486310030135038</v>
      </c>
      <c r="AX3" s="604">
        <f>IF(ISNUMBER(System!$C4),PlotData!U4+ Querkraft!$E$2*$AF$1*U3,PlotData!$CB$4)</f>
        <v>1.0486310030135038</v>
      </c>
      <c r="AY3" s="604">
        <f>IF(ISNUMBER(System!$C4),PlotData!V4+ Querkraft!$E$2*$AF$1*V3,PlotData!$CB$4)</f>
        <v>1.0486310030135038</v>
      </c>
      <c r="AZ3" s="604">
        <f>IF(ISNUMBER(System!$C4),PlotData!W4+ Querkraft!$E$2*$AF$1*W3,PlotData!$CB$4)</f>
        <v>1.0486310030135038</v>
      </c>
      <c r="BA3" s="604">
        <f>IF(ISNUMBER(System!$C4),PlotData!X4+Querkraft!$E$2* $AF$1*X3,PlotData!$CB$4)</f>
        <v>1.0486310030135038</v>
      </c>
      <c r="BB3" s="605">
        <f>IF(ISNUMBER(System!$C4),PlotData!Y4+Querkraft!$E$2*$AF$1*Y3,PlotData!$CB$4)</f>
        <v>1.0486310030135038</v>
      </c>
      <c r="BC3" s="603">
        <f>IF(ISNUMBER(System!$C4),PlotData!Y4, PlotData!CB$4)</f>
        <v>0.9</v>
      </c>
      <c r="BD3" s="604">
        <f>IF(ISNUMBER(System!$C4),PlotData!O4, PlotData!$CB$4)</f>
        <v>0.9</v>
      </c>
      <c r="BE3" s="605">
        <f>IF(ISNUMBER(System!$C4), AR3,PlotData!$CB$4)</f>
        <v>1.0486310030135038</v>
      </c>
      <c r="BG3" s="480" t="s">
        <v>166</v>
      </c>
      <c r="BH3" s="566">
        <f>PlotQ!$AT$1</f>
        <v>-0.30264300713177894</v>
      </c>
      <c r="BI3" s="567"/>
    </row>
    <row r="4" spans="1:61" x14ac:dyDescent="0.35">
      <c r="A4" s="568">
        <v>2</v>
      </c>
      <c r="B4" s="565">
        <v>1.2167965857657497E-4</v>
      </c>
      <c r="C4" s="566">
        <v>1.2167965857657497E-4</v>
      </c>
      <c r="D4" s="566">
        <v>1.2167965857657497E-4</v>
      </c>
      <c r="E4" s="566">
        <v>1.2167965857657497E-4</v>
      </c>
      <c r="F4" s="566">
        <v>1.2167965857657497E-4</v>
      </c>
      <c r="G4" s="566">
        <v>1.2167965857657497E-4</v>
      </c>
      <c r="H4" s="566">
        <v>1.2167965857657497E-4</v>
      </c>
      <c r="I4" s="566">
        <v>1.2167965857657497E-4</v>
      </c>
      <c r="J4" s="566">
        <v>1.2167965857657497E-4</v>
      </c>
      <c r="K4" s="566">
        <v>1.2167965857657497E-4</v>
      </c>
      <c r="L4" s="567">
        <v>1.2167965857657497E-4</v>
      </c>
      <c r="N4" s="568">
        <v>2</v>
      </c>
      <c r="O4" s="565">
        <v>2.560330697378689</v>
      </c>
      <c r="P4" s="566">
        <v>2.560330697378689</v>
      </c>
      <c r="Q4" s="566">
        <v>2.560330697378689</v>
      </c>
      <c r="R4" s="566">
        <v>2.560330697378689</v>
      </c>
      <c r="S4" s="566">
        <v>2.560330697378689</v>
      </c>
      <c r="T4" s="566">
        <v>2.560330697378689</v>
      </c>
      <c r="U4" s="566">
        <v>2.560330697378689</v>
      </c>
      <c r="V4" s="566">
        <v>2.560330697378689</v>
      </c>
      <c r="W4" s="566">
        <v>2.560330697378689</v>
      </c>
      <c r="X4" s="566">
        <v>2.560330697378689</v>
      </c>
      <c r="Y4" s="567">
        <v>2.560330697378689</v>
      </c>
      <c r="AA4" s="569">
        <v>2</v>
      </c>
      <c r="AB4" s="565">
        <f>IF(ISNUMBER(System!$C5),PlotData!B5+ Querkraft!$E$2*$AF$1*B4,PlotData!$CB$3)</f>
        <v>-0.89999337171850324</v>
      </c>
      <c r="AC4" s="566">
        <f>IF(ISNUMBER(System!$C5),PlotData!C5+ Querkraft!$E$2*$AF$1*C4,PlotData!$CB$3)</f>
        <v>-0.5549116717185032</v>
      </c>
      <c r="AD4" s="566">
        <f>IF(ISNUMBER(System!$C5),PlotData!D5+ Querkraft!$E$2*$AF$1*D4,PlotData!$CB$3)</f>
        <v>-0.20982997171850323</v>
      </c>
      <c r="AE4" s="566">
        <f>IF(ISNUMBER(System!$C5),PlotData!E5+ Querkraft!$E$2*$AF$1*E4,PlotData!$CB$3)</f>
        <v>0.13525172828149676</v>
      </c>
      <c r="AF4" s="566">
        <f>IF(ISNUMBER(System!$C5),PlotData!F5+Querkraft!$E$2* $AF$1*F4,PlotData!$CB$3)</f>
        <v>0.48033342828149672</v>
      </c>
      <c r="AG4" s="566">
        <f>IF(ISNUMBER(System!$C5),PlotData!G5+ Querkraft!$E$2*$AF$1*G4,PlotData!$CB$3)</f>
        <v>0.82541512828149677</v>
      </c>
      <c r="AH4" s="566">
        <f>IF(ISNUMBER(System!$C5),PlotData!H5+Querkraft!$E$2* $AF$1*H4,PlotData!$CB$3)</f>
        <v>1.1704968282814967</v>
      </c>
      <c r="AI4" s="566">
        <f>IF(ISNUMBER(System!$C5),PlotData!I5+ Querkraft!$E$2*$AF$1*I4,PlotData!$CB$3)</f>
        <v>1.5155785282814966</v>
      </c>
      <c r="AJ4" s="566">
        <f>IF(ISNUMBER(System!$C5),PlotData!J5+Querkraft!$E$2*$AF$1*J4,PlotData!$CB$3)</f>
        <v>1.8606602282814966</v>
      </c>
      <c r="AK4" s="566">
        <f>IF(ISNUMBER(System!$C5),PlotData!K5+ Querkraft!$E$2*$AF$1*K4,PlotData!$CB$3)</f>
        <v>2.2057419282814963</v>
      </c>
      <c r="AL4" s="567">
        <f>IF(ISNUMBER(System!$C5),PlotData!L5+ Querkraft!$E$2*$AF$1*L4,PlotData!$CB$3)</f>
        <v>2.5508236282814964</v>
      </c>
      <c r="AM4" s="565">
        <f>IF(ISNUMBER(System!$C5),PlotData!L5,PlotData!$CB$3)</f>
        <v>2.5508169999999999</v>
      </c>
      <c r="AN4" s="566">
        <f>IF(ISNUMBER(System!$C5),PlotData!B5,PlotData!$CB$3)</f>
        <v>-0.9</v>
      </c>
      <c r="AO4" s="447">
        <f>IF(ISNUMBER(System!$C5),AB4,PlotData!$CB$3)</f>
        <v>-0.89999337171850324</v>
      </c>
      <c r="AQ4" s="568">
        <v>2</v>
      </c>
      <c r="AR4" s="607">
        <f>IF(ISNUMBER(System!$C5),PlotData!O5+ Querkraft!$E$2*$AF$1*O4,PlotData!$CB$4)</f>
        <v>1.0394694296935685</v>
      </c>
      <c r="AS4" s="566">
        <f>IF(ISNUMBER(System!$C5),PlotData!P5+Querkraft!$E$2* $AF$1*P4,PlotData!$CB$4)</f>
        <v>1.0394530296935685</v>
      </c>
      <c r="AT4" s="566">
        <f>IF(ISNUMBER(System!$C5),PlotData!Q5+Querkraft!$E$2*$AF$1*Q4,PlotData!$CB$4)</f>
        <v>1.0394366296935684</v>
      </c>
      <c r="AU4" s="566">
        <f>IF(ISNUMBER(System!$C5),PlotData!R5+ Querkraft!$E$2*$AF$1*R4,PlotData!$CB$4)</f>
        <v>1.0394202296935684</v>
      </c>
      <c r="AV4" s="566">
        <f>IF(ISNUMBER(System!$C5),PlotData!S5+ Querkraft!$E$2*$AF$1*S4,PlotData!$CB$4)</f>
        <v>1.0394038296935684</v>
      </c>
      <c r="AW4" s="566">
        <f>IF(ISNUMBER(System!$C5),PlotData!T5+ Querkraft!$E$2*$AF$1*T4,PlotData!$CB$4)</f>
        <v>1.0393874296935683</v>
      </c>
      <c r="AX4" s="566">
        <f>IF(ISNUMBER(System!$C5),PlotData!U5+ Querkraft!$E$2*$AF$1*U4,PlotData!$CB$4)</f>
        <v>1.0393710296935683</v>
      </c>
      <c r="AY4" s="566">
        <f>IF(ISNUMBER(System!$C5),PlotData!V5+ Querkraft!$E$2*$AF$1*V4,PlotData!$CB$4)</f>
        <v>1.0393546296935683</v>
      </c>
      <c r="AZ4" s="566">
        <f>IF(ISNUMBER(System!$C5),PlotData!W5+ Querkraft!$E$2*$AF$1*W4,PlotData!$CB$4)</f>
        <v>1.0393382296935683</v>
      </c>
      <c r="BA4" s="566">
        <f>IF(ISNUMBER(System!$C5),PlotData!X5+Querkraft!$E$2* $AF$1*X4,PlotData!$CB$4)</f>
        <v>1.0393218296935682</v>
      </c>
      <c r="BB4" s="567">
        <f>IF(ISNUMBER(System!$C5),PlotData!Y5+Querkraft!$E$2*$AF$1*Y4,PlotData!$CB$4)</f>
        <v>1.0393054296935682</v>
      </c>
      <c r="BC4" s="565">
        <f>IF(ISNUMBER(System!$C5),PlotData!Y5, PlotData!CB$4)</f>
        <v>0.89983599999999975</v>
      </c>
      <c r="BD4" s="566">
        <f>IF(ISNUMBER(System!$C5),PlotData!O5, PlotData!$CB$4)</f>
        <v>0.9</v>
      </c>
      <c r="BE4" s="567">
        <f>IF(ISNUMBER(System!$C5), AR4,PlotData!$CB$4)</f>
        <v>1.0394694296935685</v>
      </c>
      <c r="BG4" s="480" t="s">
        <v>122</v>
      </c>
      <c r="BH4" s="566">
        <f>BH5 * PlotQ!$AX$1</f>
        <v>14.649886347178441</v>
      </c>
      <c r="BI4" s="567"/>
    </row>
    <row r="5" spans="1:61" x14ac:dyDescent="0.35">
      <c r="A5" s="568">
        <v>3</v>
      </c>
      <c r="B5" s="565">
        <v>-0.15662115073389657</v>
      </c>
      <c r="C5" s="566">
        <v>-0.15662115073389657</v>
      </c>
      <c r="D5" s="566">
        <v>-0.15662115073389657</v>
      </c>
      <c r="E5" s="566">
        <v>-0.15662115073389657</v>
      </c>
      <c r="F5" s="566">
        <v>-0.15662115073389657</v>
      </c>
      <c r="G5" s="566">
        <v>-0.15662115073389657</v>
      </c>
      <c r="H5" s="566">
        <v>-0.15662115073389657</v>
      </c>
      <c r="I5" s="566">
        <v>-0.15662115073389657</v>
      </c>
      <c r="J5" s="566">
        <v>-0.15662115073389657</v>
      </c>
      <c r="K5" s="566">
        <v>-0.15662115073389657</v>
      </c>
      <c r="L5" s="567">
        <v>-0.15662115073389657</v>
      </c>
      <c r="N5" s="568">
        <v>3</v>
      </c>
      <c r="O5" s="565">
        <v>-0.2505938411742345</v>
      </c>
      <c r="P5" s="566">
        <v>-0.2505938411742345</v>
      </c>
      <c r="Q5" s="566">
        <v>-0.2505938411742345</v>
      </c>
      <c r="R5" s="566">
        <v>-0.2505938411742345</v>
      </c>
      <c r="S5" s="566">
        <v>-0.2505938411742345</v>
      </c>
      <c r="T5" s="566">
        <v>-0.2505938411742345</v>
      </c>
      <c r="U5" s="566">
        <v>-0.2505938411742345</v>
      </c>
      <c r="V5" s="566">
        <v>-0.2505938411742345</v>
      </c>
      <c r="W5" s="566">
        <v>-0.2505938411742345</v>
      </c>
      <c r="X5" s="566">
        <v>-0.2505938411742345</v>
      </c>
      <c r="Y5" s="567">
        <v>-0.2505938411742345</v>
      </c>
      <c r="AA5" s="569">
        <v>3</v>
      </c>
      <c r="AB5" s="565">
        <f>IF(ISNUMBER(System!$C6),PlotData!B6+ Querkraft!$E$2*$AF$1*B5,PlotData!$CB$3)</f>
        <v>-0.90853165670871006</v>
      </c>
      <c r="AC5" s="566">
        <f>IF(ISNUMBER(System!$C6),PlotData!C6+ Querkraft!$E$2*$AF$1*C5,PlotData!$CB$3)</f>
        <v>-0.42853165670870996</v>
      </c>
      <c r="AD5" s="566">
        <f>IF(ISNUMBER(System!$C6),PlotData!D6+ Querkraft!$E$2*$AF$1*D5,PlotData!$CB$3)</f>
        <v>5.1468343291290075E-2</v>
      </c>
      <c r="AE5" s="566">
        <f>IF(ISNUMBER(System!$C6),PlotData!E6+ Querkraft!$E$2*$AF$1*E5,PlotData!$CB$3)</f>
        <v>0.53146834329129011</v>
      </c>
      <c r="AF5" s="566">
        <f>IF(ISNUMBER(System!$C6),PlotData!F6+Querkraft!$E$2* $AF$1*F5,PlotData!$CB$3)</f>
        <v>1.0114683432912901</v>
      </c>
      <c r="AG5" s="566">
        <f>IF(ISNUMBER(System!$C6),PlotData!G6+ Querkraft!$E$2*$AF$1*G5,PlotData!$CB$3)</f>
        <v>1.4914683432912901</v>
      </c>
      <c r="AH5" s="566">
        <f>IF(ISNUMBER(System!$C6),PlotData!H6+Querkraft!$E$2* $AF$1*H5,PlotData!$CB$3)</f>
        <v>1.9714683432912901</v>
      </c>
      <c r="AI5" s="566">
        <f>IF(ISNUMBER(System!$C6),PlotData!I6+ Querkraft!$E$2*$AF$1*I5,PlotData!$CB$3)</f>
        <v>2.4514683432912898</v>
      </c>
      <c r="AJ5" s="566">
        <f>IF(ISNUMBER(System!$C6),PlotData!J6+Querkraft!$E$2*$AF$1*J5,PlotData!$CB$3)</f>
        <v>2.9314683432912898</v>
      </c>
      <c r="AK5" s="566">
        <f>IF(ISNUMBER(System!$C6),PlotData!K6+ Querkraft!$E$2*$AF$1*K5,PlotData!$CB$3)</f>
        <v>3.4114683432912898</v>
      </c>
      <c r="AL5" s="567">
        <f>IF(ISNUMBER(System!$C6),PlotData!L6+ Querkraft!$E$2*$AF$1*L5,PlotData!$CB$3)</f>
        <v>3.8914683432912898</v>
      </c>
      <c r="AM5" s="565">
        <f>IF(ISNUMBER(System!$C6),PlotData!L6,PlotData!$CB$3)</f>
        <v>3.9</v>
      </c>
      <c r="AN5" s="566">
        <f>IF(ISNUMBER(System!$C6),PlotData!B6,PlotData!$CB$3)</f>
        <v>-0.9</v>
      </c>
      <c r="AO5" s="447">
        <f>IF(ISNUMBER(System!$C6),AB5,PlotData!$CB$3)</f>
        <v>-0.90853165670871006</v>
      </c>
      <c r="AQ5" s="568">
        <v>3</v>
      </c>
      <c r="AR5" s="607">
        <f>IF(ISNUMBER(System!$C6),PlotData!O6+ Querkraft!$E$2*$AF$1*O5,PlotData!$CB$4)</f>
        <v>0.88634934926606401</v>
      </c>
      <c r="AS5" s="566">
        <f>IF(ISNUMBER(System!$C6),PlotData!P6+Querkraft!$E$2* $AF$1*P5,PlotData!$CB$4)</f>
        <v>0.58634934926606397</v>
      </c>
      <c r="AT5" s="566">
        <f>IF(ISNUMBER(System!$C6),PlotData!Q6+Querkraft!$E$2*$AF$1*Q5,PlotData!$CB$4)</f>
        <v>0.28634934926606398</v>
      </c>
      <c r="AU5" s="566">
        <f>IF(ISNUMBER(System!$C6),PlotData!R6+ Querkraft!$E$2*$AF$1*R5,PlotData!$CB$4)</f>
        <v>-1.3650650733936074E-2</v>
      </c>
      <c r="AV5" s="566">
        <f>IF(ISNUMBER(System!$C6),PlotData!S6+ Querkraft!$E$2*$AF$1*S5,PlotData!$CB$4)</f>
        <v>-0.31365065073393611</v>
      </c>
      <c r="AW5" s="566">
        <f>IF(ISNUMBER(System!$C6),PlotData!T6+ Querkraft!$E$2*$AF$1*T5,PlotData!$CB$4)</f>
        <v>-0.61365065073393621</v>
      </c>
      <c r="AX5" s="566">
        <f>IF(ISNUMBER(System!$C6),PlotData!U6+ Querkraft!$E$2*$AF$1*U5,PlotData!$CB$4)</f>
        <v>-0.91365065073393625</v>
      </c>
      <c r="AY5" s="566">
        <f>IF(ISNUMBER(System!$C6),PlotData!V6+ Querkraft!$E$2*$AF$1*V5,PlotData!$CB$4)</f>
        <v>-1.2136506507339362</v>
      </c>
      <c r="AZ5" s="566">
        <f>IF(ISNUMBER(System!$C6),PlotData!W6+ Querkraft!$E$2*$AF$1*W5,PlotData!$CB$4)</f>
        <v>-1.5136506507339362</v>
      </c>
      <c r="BA5" s="566">
        <f>IF(ISNUMBER(System!$C6),PlotData!X6+Querkraft!$E$2* $AF$1*X5,PlotData!$CB$4)</f>
        <v>-1.8136506507339363</v>
      </c>
      <c r="BB5" s="567">
        <f>IF(ISNUMBER(System!$C6),PlotData!Y6+Querkraft!$E$2*$AF$1*Y5,PlotData!$CB$4)</f>
        <v>-2.1136506507339363</v>
      </c>
      <c r="BC5" s="565">
        <f>IF(ISNUMBER(System!$C6),PlotData!Y6, PlotData!CB$4)</f>
        <v>-2.1000000000000005</v>
      </c>
      <c r="BD5" s="566">
        <f>IF(ISNUMBER(System!$C6),PlotData!O6, PlotData!$CB$4)</f>
        <v>0.9</v>
      </c>
      <c r="BE5" s="567">
        <f>IF(ISNUMBER(System!$C6), AR5,PlotData!$CB$4)</f>
        <v>0.88634934926606401</v>
      </c>
      <c r="BG5" s="480" t="s">
        <v>167</v>
      </c>
      <c r="BH5" s="566">
        <f>1/Querkraft!$G$2</f>
        <v>1</v>
      </c>
      <c r="BI5" s="567"/>
    </row>
    <row r="6" spans="1:61" x14ac:dyDescent="0.35">
      <c r="A6" s="568">
        <v>4</v>
      </c>
      <c r="B6" s="565">
        <v>9.6728005604832372</v>
      </c>
      <c r="C6" s="566">
        <v>9.6728005604832372</v>
      </c>
      <c r="D6" s="566">
        <v>9.6728005604832372</v>
      </c>
      <c r="E6" s="566">
        <v>9.6728005604832372</v>
      </c>
      <c r="F6" s="566">
        <v>9.6728005604832372</v>
      </c>
      <c r="G6" s="566">
        <v>9.6728005604832372</v>
      </c>
      <c r="H6" s="566">
        <v>9.6728005604832372</v>
      </c>
      <c r="I6" s="566">
        <v>9.6728005604832372</v>
      </c>
      <c r="J6" s="566">
        <v>9.6728005604832372</v>
      </c>
      <c r="K6" s="566">
        <v>9.6728005604832372</v>
      </c>
      <c r="L6" s="567">
        <v>9.6728005604832372</v>
      </c>
      <c r="N6" s="568">
        <v>4</v>
      </c>
      <c r="O6" s="565">
        <v>-15.476480896773179</v>
      </c>
      <c r="P6" s="566">
        <v>-15.476480896773179</v>
      </c>
      <c r="Q6" s="566">
        <v>-15.476480896773179</v>
      </c>
      <c r="R6" s="566">
        <v>-15.476480896773179</v>
      </c>
      <c r="S6" s="566">
        <v>-15.476480896773179</v>
      </c>
      <c r="T6" s="566">
        <v>-15.476480896773179</v>
      </c>
      <c r="U6" s="566">
        <v>-15.476480896773179</v>
      </c>
      <c r="V6" s="566">
        <v>-15.476480896773179</v>
      </c>
      <c r="W6" s="566">
        <v>-15.476480896773179</v>
      </c>
      <c r="X6" s="566">
        <v>-15.476480896773179</v>
      </c>
      <c r="Y6" s="567">
        <v>-15.476480896773179</v>
      </c>
      <c r="AA6" s="569">
        <v>4</v>
      </c>
      <c r="AB6" s="565">
        <f>IF(ISNUMBER(System!$C7),PlotData!B7+ Querkraft!$E$2*$AF$1*B6,PlotData!$CB$3)</f>
        <v>9.2269084884587045</v>
      </c>
      <c r="AC6" s="566">
        <f>IF(ISNUMBER(System!$C7),PlotData!C7+ Querkraft!$E$2*$AF$1*C6,PlotData!$CB$3)</f>
        <v>8.7469084884587041</v>
      </c>
      <c r="AD6" s="566">
        <f>IF(ISNUMBER(System!$C7),PlotData!D7+ Querkraft!$E$2*$AF$1*D6,PlotData!$CB$3)</f>
        <v>8.2669084884587036</v>
      </c>
      <c r="AE6" s="566">
        <f>IF(ISNUMBER(System!$C7),PlotData!E7+ Querkraft!$E$2*$AF$1*E6,PlotData!$CB$3)</f>
        <v>7.7869084884587032</v>
      </c>
      <c r="AF6" s="566">
        <f>IF(ISNUMBER(System!$C7),PlotData!F7+Querkraft!$E$2* $AF$1*F6,PlotData!$CB$3)</f>
        <v>7.3069084884587028</v>
      </c>
      <c r="AG6" s="566">
        <f>IF(ISNUMBER(System!$C7),PlotData!G7+ Querkraft!$E$2*$AF$1*G6,PlotData!$CB$3)</f>
        <v>6.8269084884587024</v>
      </c>
      <c r="AH6" s="566">
        <f>IF(ISNUMBER(System!$C7),PlotData!H7+Querkraft!$E$2* $AF$1*H6,PlotData!$CB$3)</f>
        <v>6.3469084884587019</v>
      </c>
      <c r="AI6" s="566">
        <f>IF(ISNUMBER(System!$C7),PlotData!I7+ Querkraft!$E$2*$AF$1*I6,PlotData!$CB$3)</f>
        <v>5.8669084884587015</v>
      </c>
      <c r="AJ6" s="566">
        <f>IF(ISNUMBER(System!$C7),PlotData!J7+Querkraft!$E$2*$AF$1*J6,PlotData!$CB$3)</f>
        <v>5.3869084884587011</v>
      </c>
      <c r="AK6" s="566">
        <f>IF(ISNUMBER(System!$C7),PlotData!K7+ Querkraft!$E$2*$AF$1*K6,PlotData!$CB$3)</f>
        <v>4.9069084884587006</v>
      </c>
      <c r="AL6" s="567">
        <f>IF(ISNUMBER(System!$C7),PlotData!L7+ Querkraft!$E$2*$AF$1*L6,PlotData!$CB$3)</f>
        <v>4.4269084884587002</v>
      </c>
      <c r="AM6" s="565">
        <f>IF(ISNUMBER(System!$C7),PlotData!L7,PlotData!$CB$3)</f>
        <v>3.8999999999999955</v>
      </c>
      <c r="AN6" s="566">
        <f>IF(ISNUMBER(System!$C7),PlotData!B7,PlotData!$CB$3)</f>
        <v>8.6999999999999993</v>
      </c>
      <c r="AO6" s="447">
        <f>IF(ISNUMBER(System!$C7),AB6,PlotData!$CB$3)</f>
        <v>9.2269084884587045</v>
      </c>
      <c r="AQ6" s="568">
        <v>4</v>
      </c>
      <c r="AR6" s="607">
        <f>IF(ISNUMBER(System!$C7),PlotData!O7+ Querkraft!$E$2*$AF$1*O6,PlotData!$CB$4)</f>
        <v>5.6946418466071957E-2</v>
      </c>
      <c r="AS6" s="566">
        <f>IF(ISNUMBER(System!$C7),PlotData!P7+Querkraft!$E$2* $AF$1*P6,PlotData!$CB$4)</f>
        <v>-0.24305358153392809</v>
      </c>
      <c r="AT6" s="566">
        <f>IF(ISNUMBER(System!$C7),PlotData!Q7+Querkraft!$E$2*$AF$1*Q6,PlotData!$CB$4)</f>
        <v>-0.54305358153392813</v>
      </c>
      <c r="AU6" s="566">
        <f>IF(ISNUMBER(System!$C7),PlotData!R7+ Querkraft!$E$2*$AF$1*R6,PlotData!$CB$4)</f>
        <v>-0.84305358153392818</v>
      </c>
      <c r="AV6" s="566">
        <f>IF(ISNUMBER(System!$C7),PlotData!S7+ Querkraft!$E$2*$AF$1*S6,PlotData!$CB$4)</f>
        <v>-1.1430535815339282</v>
      </c>
      <c r="AW6" s="566">
        <f>IF(ISNUMBER(System!$C7),PlotData!T7+ Querkraft!$E$2*$AF$1*T6,PlotData!$CB$4)</f>
        <v>-1.4430535815339283</v>
      </c>
      <c r="AX6" s="566">
        <f>IF(ISNUMBER(System!$C7),PlotData!U7+ Querkraft!$E$2*$AF$1*U6,PlotData!$CB$4)</f>
        <v>-1.7430535815339283</v>
      </c>
      <c r="AY6" s="566">
        <f>IF(ISNUMBER(System!$C7),PlotData!V7+ Querkraft!$E$2*$AF$1*V6,PlotData!$CB$4)</f>
        <v>-2.0430535815339281</v>
      </c>
      <c r="AZ6" s="566">
        <f>IF(ISNUMBER(System!$C7),PlotData!W7+ Querkraft!$E$2*$AF$1*W6,PlotData!$CB$4)</f>
        <v>-2.3430535815339284</v>
      </c>
      <c r="BA6" s="566">
        <f>IF(ISNUMBER(System!$C7),PlotData!X7+Querkraft!$E$2* $AF$1*X6,PlotData!$CB$4)</f>
        <v>-2.6430535815339282</v>
      </c>
      <c r="BB6" s="567">
        <f>IF(ISNUMBER(System!$C7),PlotData!Y7+Querkraft!$E$2*$AF$1*Y6,PlotData!$CB$4)</f>
        <v>-2.9430535815339285</v>
      </c>
      <c r="BC6" s="565">
        <f>IF(ISNUMBER(System!$C7),PlotData!Y7, PlotData!CB$4)</f>
        <v>-2.1000000000000005</v>
      </c>
      <c r="BD6" s="566">
        <f>IF(ISNUMBER(System!$C7),PlotData!O7, PlotData!$CB$4)</f>
        <v>0.9</v>
      </c>
      <c r="BE6" s="567">
        <f>IF(ISNUMBER(System!$C7), AR6,PlotData!$CB$4)</f>
        <v>5.6946418466071957E-2</v>
      </c>
      <c r="BG6" s="480" t="s">
        <v>168</v>
      </c>
      <c r="BH6" s="566">
        <f>BH2-BH4</f>
        <v>-6.9998682293308434</v>
      </c>
      <c r="BI6" s="567">
        <f>BH3+BH4</f>
        <v>14.347243340046662</v>
      </c>
    </row>
    <row r="7" spans="1:61" x14ac:dyDescent="0.35">
      <c r="A7" s="568">
        <v>5</v>
      </c>
      <c r="B7" s="565">
        <v>-2.4739107631532443E-3</v>
      </c>
      <c r="C7" s="566">
        <v>-2.4739107631532443E-3</v>
      </c>
      <c r="D7" s="566">
        <v>-2.4739107631532443E-3</v>
      </c>
      <c r="E7" s="566">
        <v>-2.4739107631532443E-3</v>
      </c>
      <c r="F7" s="566">
        <v>-2.4739107631532443E-3</v>
      </c>
      <c r="G7" s="566">
        <v>-2.4739107631532443E-3</v>
      </c>
      <c r="H7" s="566">
        <v>-2.4739107631532443E-3</v>
      </c>
      <c r="I7" s="566">
        <v>-2.4739107631532443E-3</v>
      </c>
      <c r="J7" s="566">
        <v>-2.4739107631532443E-3</v>
      </c>
      <c r="K7" s="566">
        <v>-2.4739107631532443E-3</v>
      </c>
      <c r="L7" s="567">
        <v>-2.4739107631532443E-3</v>
      </c>
      <c r="N7" s="568">
        <v>5</v>
      </c>
      <c r="O7" s="565">
        <v>-20.69269471231064</v>
      </c>
      <c r="P7" s="566">
        <v>-20.69269471231064</v>
      </c>
      <c r="Q7" s="566">
        <v>-20.69269471231064</v>
      </c>
      <c r="R7" s="566">
        <v>-20.69269471231064</v>
      </c>
      <c r="S7" s="566">
        <v>-20.69269471231064</v>
      </c>
      <c r="T7" s="566">
        <v>-20.69269471231064</v>
      </c>
      <c r="U7" s="566">
        <v>-20.69269471231064</v>
      </c>
      <c r="V7" s="566">
        <v>-20.69269471231064</v>
      </c>
      <c r="W7" s="566">
        <v>-20.69269471231064</v>
      </c>
      <c r="X7" s="566">
        <v>-20.69269471231064</v>
      </c>
      <c r="Y7" s="567">
        <v>-20.69269471231064</v>
      </c>
      <c r="AA7" s="569">
        <v>5</v>
      </c>
      <c r="AB7" s="565">
        <f>IF(ISNUMBER(System!$C8),PlotData!B8+ Querkraft!$E$2*$AF$1*B7,PlotData!$CB$3)</f>
        <v>3.8998652381414622</v>
      </c>
      <c r="AC7" s="566">
        <f>IF(ISNUMBER(System!$C8),PlotData!C8+ Querkraft!$E$2*$AF$1*C7,PlotData!$CB$3)</f>
        <v>4.0370408381414631</v>
      </c>
      <c r="AD7" s="566">
        <f>IF(ISNUMBER(System!$C8),PlotData!D8+ Querkraft!$E$2*$AF$1*D7,PlotData!$CB$3)</f>
        <v>4.174216438141463</v>
      </c>
      <c r="AE7" s="566">
        <f>IF(ISNUMBER(System!$C8),PlotData!E8+ Querkraft!$E$2*$AF$1*E7,PlotData!$CB$3)</f>
        <v>4.311392038141463</v>
      </c>
      <c r="AF7" s="566">
        <f>IF(ISNUMBER(System!$C8),PlotData!F8+Querkraft!$E$2* $AF$1*F7,PlotData!$CB$3)</f>
        <v>4.4485676381414629</v>
      </c>
      <c r="AG7" s="566">
        <f>IF(ISNUMBER(System!$C8),PlotData!G8+ Querkraft!$E$2*$AF$1*G7,PlotData!$CB$3)</f>
        <v>4.5857432381414629</v>
      </c>
      <c r="AH7" s="566">
        <f>IF(ISNUMBER(System!$C8),PlotData!H8+Querkraft!$E$2* $AF$1*H7,PlotData!$CB$3)</f>
        <v>4.7229188381414628</v>
      </c>
      <c r="AI7" s="566">
        <f>IF(ISNUMBER(System!$C8),PlotData!I8+ Querkraft!$E$2*$AF$1*I7,PlotData!$CB$3)</f>
        <v>4.8600944381414628</v>
      </c>
      <c r="AJ7" s="566">
        <f>IF(ISNUMBER(System!$C8),PlotData!J8+Querkraft!$E$2*$AF$1*J7,PlotData!$CB$3)</f>
        <v>4.9972700381414628</v>
      </c>
      <c r="AK7" s="566">
        <f>IF(ISNUMBER(System!$C8),PlotData!K8+ Querkraft!$E$2*$AF$1*K7,PlotData!$CB$3)</f>
        <v>5.1344456381414627</v>
      </c>
      <c r="AL7" s="567">
        <f>IF(ISNUMBER(System!$C8),PlotData!L8+ Querkraft!$E$2*$AF$1*L7,PlotData!$CB$3)</f>
        <v>5.2716212381414627</v>
      </c>
      <c r="AM7" s="565">
        <f>IF(ISNUMBER(System!$C8),PlotData!L8,PlotData!$CB$3)</f>
        <v>5.2717559999999999</v>
      </c>
      <c r="AN7" s="566">
        <f>IF(ISNUMBER(System!$C8),PlotData!B8,PlotData!$CB$3)</f>
        <v>3.9</v>
      </c>
      <c r="AO7" s="447">
        <f>IF(ISNUMBER(System!$C8),AB7,PlotData!$CB$3)</f>
        <v>3.8998652381414622</v>
      </c>
      <c r="AQ7" s="568">
        <v>5</v>
      </c>
      <c r="AR7" s="607">
        <f>IF(ISNUMBER(System!$C8),PlotData!O8+ Querkraft!$E$2*$AF$1*O7,PlotData!$CB$4)</f>
        <v>-0.22719748792756389</v>
      </c>
      <c r="AS7" s="566">
        <f>IF(ISNUMBER(System!$C8),PlotData!P8+Querkraft!$E$2* $AF$1*P7,PlotData!$CB$4)</f>
        <v>-0.22721388792756392</v>
      </c>
      <c r="AT7" s="566">
        <f>IF(ISNUMBER(System!$C8),PlotData!Q8+Querkraft!$E$2*$AF$1*Q7,PlotData!$CB$4)</f>
        <v>-0.22723028792756395</v>
      </c>
      <c r="AU7" s="566">
        <f>IF(ISNUMBER(System!$C8),PlotData!R8+ Querkraft!$E$2*$AF$1*R7,PlotData!$CB$4)</f>
        <v>-0.22724668792756397</v>
      </c>
      <c r="AV7" s="566">
        <f>IF(ISNUMBER(System!$C8),PlotData!S8+ Querkraft!$E$2*$AF$1*S7,PlotData!$CB$4)</f>
        <v>-0.227263087927564</v>
      </c>
      <c r="AW7" s="566">
        <f>IF(ISNUMBER(System!$C8),PlotData!T8+ Querkraft!$E$2*$AF$1*T7,PlotData!$CB$4)</f>
        <v>-0.22727948792756403</v>
      </c>
      <c r="AX7" s="566">
        <f>IF(ISNUMBER(System!$C8),PlotData!U8+ Querkraft!$E$2*$AF$1*U7,PlotData!$CB$4)</f>
        <v>-0.22729588792756406</v>
      </c>
      <c r="AY7" s="566">
        <f>IF(ISNUMBER(System!$C8),PlotData!V8+ Querkraft!$E$2*$AF$1*V7,PlotData!$CB$4)</f>
        <v>-0.22731228792756408</v>
      </c>
      <c r="AZ7" s="566">
        <f>IF(ISNUMBER(System!$C8),PlotData!W8+ Querkraft!$E$2*$AF$1*W7,PlotData!$CB$4)</f>
        <v>-0.22732868792756411</v>
      </c>
      <c r="BA7" s="566">
        <f>IF(ISNUMBER(System!$C8),PlotData!X8+Querkraft!$E$2* $AF$1*X7,PlotData!$CB$4)</f>
        <v>-0.22734508792756414</v>
      </c>
      <c r="BB7" s="567">
        <f>IF(ISNUMBER(System!$C8),PlotData!Y8+Querkraft!$E$2*$AF$1*Y7,PlotData!$CB$4)</f>
        <v>-0.22736148792756417</v>
      </c>
      <c r="BC7" s="565">
        <f>IF(ISNUMBER(System!$C8),PlotData!Y8, PlotData!CB$4)</f>
        <v>0.89983599999999975</v>
      </c>
      <c r="BD7" s="566">
        <f>IF(ISNUMBER(System!$C8),PlotData!O8, PlotData!$CB$4)</f>
        <v>0.9</v>
      </c>
      <c r="BE7" s="567">
        <f>IF(ISNUMBER(System!$C8), AR7,PlotData!$CB$4)</f>
        <v>-0.22719748792756389</v>
      </c>
      <c r="BG7" s="480" t="s">
        <v>169</v>
      </c>
      <c r="BH7" s="566">
        <f>BH2+BH4</f>
        <v>22.299904465026039</v>
      </c>
      <c r="BI7" s="567">
        <f>BH3+BH4</f>
        <v>14.347243340046662</v>
      </c>
    </row>
    <row r="8" spans="1:61" x14ac:dyDescent="0.35">
      <c r="A8" s="568">
        <v>6</v>
      </c>
      <c r="B8" s="565">
        <v>-11.819009656630532</v>
      </c>
      <c r="C8" s="566">
        <v>-11.819009656630532</v>
      </c>
      <c r="D8" s="566">
        <v>-11.819009656630532</v>
      </c>
      <c r="E8" s="566">
        <v>-11.819009656630532</v>
      </c>
      <c r="F8" s="566">
        <v>-11.819009656630532</v>
      </c>
      <c r="G8" s="566">
        <v>-11.819009656630532</v>
      </c>
      <c r="H8" s="566">
        <v>-11.819009656630532</v>
      </c>
      <c r="I8" s="566">
        <v>-11.819009656630532</v>
      </c>
      <c r="J8" s="566">
        <v>-11.819009656630532</v>
      </c>
      <c r="K8" s="566">
        <v>-11.819009656630532</v>
      </c>
      <c r="L8" s="567">
        <v>-11.819009656630532</v>
      </c>
      <c r="N8" s="568">
        <v>6</v>
      </c>
      <c r="O8" s="565">
        <v>-1.1626670722058645</v>
      </c>
      <c r="P8" s="566">
        <v>-1.1626670722058645</v>
      </c>
      <c r="Q8" s="566">
        <v>-1.1626670722058645</v>
      </c>
      <c r="R8" s="566">
        <v>-1.1626670722058645</v>
      </c>
      <c r="S8" s="566">
        <v>-1.1626670722058645</v>
      </c>
      <c r="T8" s="566">
        <v>-1.1626670722058645</v>
      </c>
      <c r="U8" s="566">
        <v>-1.1626670722058645</v>
      </c>
      <c r="V8" s="566">
        <v>-1.1626670722058645</v>
      </c>
      <c r="W8" s="566">
        <v>-1.1626670722058645</v>
      </c>
      <c r="X8" s="566">
        <v>-1.1626670722058645</v>
      </c>
      <c r="Y8" s="567">
        <v>-1.1626670722058645</v>
      </c>
      <c r="AA8" s="569">
        <v>6</v>
      </c>
      <c r="AB8" s="565">
        <f>IF(ISNUMBER(System!$C9),PlotData!B9+ Querkraft!$E$2*$AF$1*B8,PlotData!$CB$3)</f>
        <v>2.6561806144648852</v>
      </c>
      <c r="AC8" s="566">
        <f>IF(ISNUMBER(System!$C9),PlotData!C9+ Querkraft!$E$2*$AF$1*C8,PlotData!$CB$3)</f>
        <v>2.6647456144648851</v>
      </c>
      <c r="AD8" s="566">
        <f>IF(ISNUMBER(System!$C9),PlotData!D9+ Querkraft!$E$2*$AF$1*D8,PlotData!$CB$3)</f>
        <v>2.673310614464885</v>
      </c>
      <c r="AE8" s="566">
        <f>IF(ISNUMBER(System!$C9),PlotData!E9+ Querkraft!$E$2*$AF$1*E8,PlotData!$CB$3)</f>
        <v>2.681875614464885</v>
      </c>
      <c r="AF8" s="566">
        <f>IF(ISNUMBER(System!$C9),PlotData!F9+Querkraft!$E$2* $AF$1*F8,PlotData!$CB$3)</f>
        <v>2.6904406144648849</v>
      </c>
      <c r="AG8" s="566">
        <f>IF(ISNUMBER(System!$C9),PlotData!G9+ Querkraft!$E$2*$AF$1*G8,PlotData!$CB$3)</f>
        <v>2.6990056144648849</v>
      </c>
      <c r="AH8" s="566">
        <f>IF(ISNUMBER(System!$C9),PlotData!H9+Querkraft!$E$2* $AF$1*H8,PlotData!$CB$3)</f>
        <v>2.7075706144648848</v>
      </c>
      <c r="AI8" s="566">
        <f>IF(ISNUMBER(System!$C9),PlotData!I9+ Querkraft!$E$2*$AF$1*I8,PlotData!$CB$3)</f>
        <v>2.7161356144648847</v>
      </c>
      <c r="AJ8" s="566">
        <f>IF(ISNUMBER(System!$C9),PlotData!J9+Querkraft!$E$2*$AF$1*J8,PlotData!$CB$3)</f>
        <v>2.7247006144648847</v>
      </c>
      <c r="AK8" s="566">
        <f>IF(ISNUMBER(System!$C9),PlotData!K9+ Querkraft!$E$2*$AF$1*K8,PlotData!$CB$3)</f>
        <v>2.7332656144648846</v>
      </c>
      <c r="AL8" s="567">
        <f>IF(ISNUMBER(System!$C9),PlotData!L9+ Querkraft!$E$2*$AF$1*L8,PlotData!$CB$3)</f>
        <v>2.7418306144648845</v>
      </c>
      <c r="AM8" s="565">
        <f>IF(ISNUMBER(System!$C9),PlotData!L9,PlotData!$CB$3)</f>
        <v>3.3856499999999992</v>
      </c>
      <c r="AN8" s="566">
        <f>IF(ISNUMBER(System!$C9),PlotData!B9,PlotData!$CB$3)</f>
        <v>3.3</v>
      </c>
      <c r="AO8" s="447">
        <f>IF(ISNUMBER(System!$C9),AB8,PlotData!$CB$3)</f>
        <v>2.6561806144648852</v>
      </c>
      <c r="AQ8" s="568">
        <v>6</v>
      </c>
      <c r="AR8" s="607">
        <f>IF(ISNUMBER(System!$C9),PlotData!O9+ Querkraft!$E$2*$AF$1*O8,PlotData!$CB$4)</f>
        <v>3.536665793348468</v>
      </c>
      <c r="AS8" s="566">
        <f>IF(ISNUMBER(System!$C9),PlotData!P9+Querkraft!$E$2* $AF$1*P8,PlotData!$CB$4)</f>
        <v>3.449598893348468</v>
      </c>
      <c r="AT8" s="566">
        <f>IF(ISNUMBER(System!$C9),PlotData!Q9+Querkraft!$E$2*$AF$1*Q8,PlotData!$CB$4)</f>
        <v>3.3625319933484681</v>
      </c>
      <c r="AU8" s="566">
        <f>IF(ISNUMBER(System!$C9),PlotData!R9+ Querkraft!$E$2*$AF$1*R8,PlotData!$CB$4)</f>
        <v>3.2754650933484681</v>
      </c>
      <c r="AV8" s="566">
        <f>IF(ISNUMBER(System!$C9),PlotData!S9+ Querkraft!$E$2*$AF$1*S8,PlotData!$CB$4)</f>
        <v>3.1883981933484682</v>
      </c>
      <c r="AW8" s="566">
        <f>IF(ISNUMBER(System!$C9),PlotData!T9+ Querkraft!$E$2*$AF$1*T8,PlotData!$CB$4)</f>
        <v>3.1013312933484682</v>
      </c>
      <c r="AX8" s="566">
        <f>IF(ISNUMBER(System!$C9),PlotData!U9+ Querkraft!$E$2*$AF$1*U8,PlotData!$CB$4)</f>
        <v>3.0142643933484683</v>
      </c>
      <c r="AY8" s="566">
        <f>IF(ISNUMBER(System!$C9),PlotData!V9+ Querkraft!$E$2*$AF$1*V8,PlotData!$CB$4)</f>
        <v>2.9271974933484683</v>
      </c>
      <c r="AZ8" s="566">
        <f>IF(ISNUMBER(System!$C9),PlotData!W9+ Querkraft!$E$2*$AF$1*W8,PlotData!$CB$4)</f>
        <v>2.8401305933484684</v>
      </c>
      <c r="BA8" s="566">
        <f>IF(ISNUMBER(System!$C9),PlotData!X9+Querkraft!$E$2* $AF$1*X8,PlotData!$CB$4)</f>
        <v>2.7530636933484685</v>
      </c>
      <c r="BB8" s="567">
        <f>IF(ISNUMBER(System!$C9),PlotData!Y9+Querkraft!$E$2*$AF$1*Y8,PlotData!$CB$4)</f>
        <v>2.6659967933484685</v>
      </c>
      <c r="BC8" s="565">
        <f>IF(ISNUMBER(System!$C9),PlotData!Y9, PlotData!CB$4)</f>
        <v>2.7293310000000006</v>
      </c>
      <c r="BD8" s="566">
        <f>IF(ISNUMBER(System!$C9),PlotData!O9, PlotData!$CB$4)</f>
        <v>3.6</v>
      </c>
      <c r="BE8" s="567">
        <f>IF(ISNUMBER(System!$C9), AR8,PlotData!$CB$4)</f>
        <v>3.536665793348468</v>
      </c>
      <c r="BG8" s="480" t="s">
        <v>170</v>
      </c>
      <c r="BH8" s="566">
        <f>BH7</f>
        <v>22.299904465026039</v>
      </c>
      <c r="BI8" s="567">
        <f>BH3-BH4</f>
        <v>-14.95252935431022</v>
      </c>
    </row>
    <row r="9" spans="1:61" ht="13.15" thickBot="1" x14ac:dyDescent="0.4">
      <c r="A9" s="568">
        <v>7</v>
      </c>
      <c r="B9" s="565">
        <v>-12.253506374155966</v>
      </c>
      <c r="C9" s="566">
        <v>-12.253506374155966</v>
      </c>
      <c r="D9" s="566">
        <v>-12.253506374155966</v>
      </c>
      <c r="E9" s="566">
        <v>-12.253506374155966</v>
      </c>
      <c r="F9" s="566">
        <v>-12.253506374155966</v>
      </c>
      <c r="G9" s="566">
        <v>-12.253506374155966</v>
      </c>
      <c r="H9" s="566">
        <v>-12.253506374155966</v>
      </c>
      <c r="I9" s="566">
        <v>-12.253506374155966</v>
      </c>
      <c r="J9" s="566">
        <v>-12.253506374155966</v>
      </c>
      <c r="K9" s="566">
        <v>-12.253506374155966</v>
      </c>
      <c r="L9" s="567">
        <v>-12.253506374155966</v>
      </c>
      <c r="N9" s="568">
        <v>7</v>
      </c>
      <c r="O9" s="565">
        <v>1.3468536058219058</v>
      </c>
      <c r="P9" s="566">
        <v>1.3468536058219058</v>
      </c>
      <c r="Q9" s="566">
        <v>1.3468536058219058</v>
      </c>
      <c r="R9" s="566">
        <v>1.3468536058219058</v>
      </c>
      <c r="S9" s="566">
        <v>1.3468536058219058</v>
      </c>
      <c r="T9" s="566">
        <v>1.3468536058219058</v>
      </c>
      <c r="U9" s="566">
        <v>1.3468536058219058</v>
      </c>
      <c r="V9" s="566">
        <v>1.3468536058219058</v>
      </c>
      <c r="W9" s="566">
        <v>1.3468536058219058</v>
      </c>
      <c r="X9" s="566">
        <v>1.3468536058219058</v>
      </c>
      <c r="Y9" s="567">
        <v>1.3468536058219058</v>
      </c>
      <c r="AA9" s="569">
        <v>7</v>
      </c>
      <c r="AB9" s="565">
        <f>IF(ISNUMBER(System!$C10),PlotData!B10+ Querkraft!$E$2*$AF$1*B9,PlotData!$CB$3)</f>
        <v>3.8325121838754139</v>
      </c>
      <c r="AC9" s="566">
        <f>IF(ISNUMBER(System!$C10),PlotData!C10+ Querkraft!$E$2*$AF$1*C9,PlotData!$CB$3)</f>
        <v>3.8231124838754136</v>
      </c>
      <c r="AD9" s="566">
        <f>IF(ISNUMBER(System!$C10),PlotData!D10+ Querkraft!$E$2*$AF$1*D9,PlotData!$CB$3)</f>
        <v>3.8137127838754132</v>
      </c>
      <c r="AE9" s="566">
        <f>IF(ISNUMBER(System!$C10),PlotData!E10+ Querkraft!$E$2*$AF$1*E9,PlotData!$CB$3)</f>
        <v>3.8043130838754129</v>
      </c>
      <c r="AF9" s="566">
        <f>IF(ISNUMBER(System!$C10),PlotData!F10+Querkraft!$E$2* $AF$1*F9,PlotData!$CB$3)</f>
        <v>3.7949133838754125</v>
      </c>
      <c r="AG9" s="566">
        <f>IF(ISNUMBER(System!$C10),PlotData!G10+ Querkraft!$E$2*$AF$1*G9,PlotData!$CB$3)</f>
        <v>3.7855136838754122</v>
      </c>
      <c r="AH9" s="566">
        <f>IF(ISNUMBER(System!$C10),PlotData!H10+Querkraft!$E$2* $AF$1*H9,PlotData!$CB$3)</f>
        <v>3.7761139838754119</v>
      </c>
      <c r="AI9" s="566">
        <f>IF(ISNUMBER(System!$C10),PlotData!I10+ Querkraft!$E$2*$AF$1*I9,PlotData!$CB$3)</f>
        <v>3.7667142838754115</v>
      </c>
      <c r="AJ9" s="566">
        <f>IF(ISNUMBER(System!$C10),PlotData!J10+Querkraft!$E$2*$AF$1*J9,PlotData!$CB$3)</f>
        <v>3.7573145838754112</v>
      </c>
      <c r="AK9" s="566">
        <f>IF(ISNUMBER(System!$C10),PlotData!K10+ Querkraft!$E$2*$AF$1*K9,PlotData!$CB$3)</f>
        <v>3.7479148838754108</v>
      </c>
      <c r="AL9" s="567">
        <f>IF(ISNUMBER(System!$C10),PlotData!L10+ Querkraft!$E$2*$AF$1*L9,PlotData!$CB$3)</f>
        <v>3.7385151838754105</v>
      </c>
      <c r="AM9" s="565">
        <f>IF(ISNUMBER(System!$C10),PlotData!L10,PlotData!$CB$3)</f>
        <v>4.4060029999999966</v>
      </c>
      <c r="AN9" s="566">
        <f>IF(ISNUMBER(System!$C10),PlotData!B10,PlotData!$CB$3)</f>
        <v>4.5</v>
      </c>
      <c r="AO9" s="447">
        <f>IF(ISNUMBER(System!$C10),AB9,PlotData!$CB$3)</f>
        <v>3.8325121838754139</v>
      </c>
      <c r="AQ9" s="568">
        <v>7</v>
      </c>
      <c r="AR9" s="607">
        <f>IF(ISNUMBER(System!$C10),PlotData!O10+ Querkraft!$E$2*$AF$1*O9,PlotData!$CB$4)</f>
        <v>3.6733674382285955</v>
      </c>
      <c r="AS9" s="566">
        <f>IF(ISNUMBER(System!$C10),PlotData!P10+Querkraft!$E$2* $AF$1*P9,PlotData!$CB$4)</f>
        <v>3.5878501382285957</v>
      </c>
      <c r="AT9" s="566">
        <f>IF(ISNUMBER(System!$C10),PlotData!Q10+Querkraft!$E$2*$AF$1*Q9,PlotData!$CB$4)</f>
        <v>3.5023328382285954</v>
      </c>
      <c r="AU9" s="566">
        <f>IF(ISNUMBER(System!$C10),PlotData!R10+ Querkraft!$E$2*$AF$1*R9,PlotData!$CB$4)</f>
        <v>3.4168155382285952</v>
      </c>
      <c r="AV9" s="566">
        <f>IF(ISNUMBER(System!$C10),PlotData!S10+ Querkraft!$E$2*$AF$1*S9,PlotData!$CB$4)</f>
        <v>3.3312982382285949</v>
      </c>
      <c r="AW9" s="566">
        <f>IF(ISNUMBER(System!$C10),PlotData!T10+ Querkraft!$E$2*$AF$1*T9,PlotData!$CB$4)</f>
        <v>3.2457809382285947</v>
      </c>
      <c r="AX9" s="566">
        <f>IF(ISNUMBER(System!$C10),PlotData!U10+ Querkraft!$E$2*$AF$1*U9,PlotData!$CB$4)</f>
        <v>3.1602636382285945</v>
      </c>
      <c r="AY9" s="566">
        <f>IF(ISNUMBER(System!$C10),PlotData!V10+ Querkraft!$E$2*$AF$1*V9,PlotData!$CB$4)</f>
        <v>3.0747463382285942</v>
      </c>
      <c r="AZ9" s="566">
        <f>IF(ISNUMBER(System!$C10),PlotData!W10+ Querkraft!$E$2*$AF$1*W9,PlotData!$CB$4)</f>
        <v>2.989229038228594</v>
      </c>
      <c r="BA9" s="566">
        <f>IF(ISNUMBER(System!$C10),PlotData!X10+Querkraft!$E$2* $AF$1*X9,PlotData!$CB$4)</f>
        <v>2.9037117382285937</v>
      </c>
      <c r="BB9" s="567">
        <f>IF(ISNUMBER(System!$C10),PlotData!Y10+Querkraft!$E$2*$AF$1*Y9,PlotData!$CB$4)</f>
        <v>2.8181944382285935</v>
      </c>
      <c r="BC9" s="565">
        <f>IF(ISNUMBER(System!$C10),PlotData!Y10, PlotData!CB$4)</f>
        <v>2.7448269999999981</v>
      </c>
      <c r="BD9" s="566">
        <f>IF(ISNUMBER(System!$C10),PlotData!O10, PlotData!$CB$4)</f>
        <v>3.6</v>
      </c>
      <c r="BE9" s="567">
        <f>IF(ISNUMBER(System!$C10), AR9,PlotData!$CB$4)</f>
        <v>3.6733674382285955</v>
      </c>
      <c r="BG9" s="481" t="s">
        <v>171</v>
      </c>
      <c r="BH9" s="503">
        <f>BH6</f>
        <v>-6.9998682293308434</v>
      </c>
      <c r="BI9" s="504">
        <f>BI8</f>
        <v>-14.95252935431022</v>
      </c>
    </row>
    <row r="10" spans="1:61" x14ac:dyDescent="0.35">
      <c r="A10" s="568">
        <v>8</v>
      </c>
      <c r="B10" s="565">
        <v>2.5081542282046399E-3</v>
      </c>
      <c r="C10" s="566">
        <v>2.5081542282046399E-3</v>
      </c>
      <c r="D10" s="566">
        <v>2.5081542282046399E-3</v>
      </c>
      <c r="E10" s="566">
        <v>2.5081542282046399E-3</v>
      </c>
      <c r="F10" s="566">
        <v>2.5081542282046399E-3</v>
      </c>
      <c r="G10" s="566">
        <v>2.5081542282046399E-3</v>
      </c>
      <c r="H10" s="566">
        <v>2.5081542282046399E-3</v>
      </c>
      <c r="I10" s="566">
        <v>2.5081542282046399E-3</v>
      </c>
      <c r="J10" s="566">
        <v>2.5081542282046399E-3</v>
      </c>
      <c r="K10" s="566">
        <v>2.5081542282046399E-3</v>
      </c>
      <c r="L10" s="567">
        <v>2.5081542282046399E-3</v>
      </c>
      <c r="N10" s="568">
        <v>8</v>
      </c>
      <c r="O10" s="565">
        <v>-20.633896622382483</v>
      </c>
      <c r="P10" s="566">
        <v>-20.633896622382483</v>
      </c>
      <c r="Q10" s="566">
        <v>-20.633896622382483</v>
      </c>
      <c r="R10" s="566">
        <v>-20.633896622382483</v>
      </c>
      <c r="S10" s="566">
        <v>-20.633896622382483</v>
      </c>
      <c r="T10" s="566">
        <v>-20.633896622382483</v>
      </c>
      <c r="U10" s="566">
        <v>-20.633896622382483</v>
      </c>
      <c r="V10" s="566">
        <v>-20.633896622382483</v>
      </c>
      <c r="W10" s="566">
        <v>-20.633896622382483</v>
      </c>
      <c r="X10" s="566">
        <v>-20.633896622382483</v>
      </c>
      <c r="Y10" s="567">
        <v>-20.633896622382483</v>
      </c>
      <c r="AA10" s="569">
        <v>8</v>
      </c>
      <c r="AB10" s="565">
        <f>IF(ISNUMBER(System!$C11),PlotData!B11+ Querkraft!$E$2*$AF$1*B10,PlotData!$CB$3)</f>
        <v>2.5509536272099731</v>
      </c>
      <c r="AC10" s="566">
        <f>IF(ISNUMBER(System!$C11),PlotData!C11+ Querkraft!$E$2*$AF$1*C10,PlotData!$CB$3)</f>
        <v>2.6858719272099729</v>
      </c>
      <c r="AD10" s="566">
        <f>IF(ISNUMBER(System!$C11),PlotData!D11+ Querkraft!$E$2*$AF$1*D10,PlotData!$CB$3)</f>
        <v>2.8207902272099727</v>
      </c>
      <c r="AE10" s="566">
        <f>IF(ISNUMBER(System!$C11),PlotData!E11+ Querkraft!$E$2*$AF$1*E10,PlotData!$CB$3)</f>
        <v>2.9557085272099726</v>
      </c>
      <c r="AF10" s="566">
        <f>IF(ISNUMBER(System!$C11),PlotData!F11+Querkraft!$E$2* $AF$1*F10,PlotData!$CB$3)</f>
        <v>3.0906268272099724</v>
      </c>
      <c r="AG10" s="566">
        <f>IF(ISNUMBER(System!$C11),PlotData!G11+ Querkraft!$E$2*$AF$1*G10,PlotData!$CB$3)</f>
        <v>3.2255451272099722</v>
      </c>
      <c r="AH10" s="566">
        <f>IF(ISNUMBER(System!$C11),PlotData!H11+Querkraft!$E$2* $AF$1*H10,PlotData!$CB$3)</f>
        <v>3.360463427209972</v>
      </c>
      <c r="AI10" s="566">
        <f>IF(ISNUMBER(System!$C11),PlotData!I11+ Querkraft!$E$2*$AF$1*I10,PlotData!$CB$3)</f>
        <v>3.4953817272099719</v>
      </c>
      <c r="AJ10" s="566">
        <f>IF(ISNUMBER(System!$C11),PlotData!J11+Querkraft!$E$2*$AF$1*J10,PlotData!$CB$3)</f>
        <v>3.6303000272099717</v>
      </c>
      <c r="AK10" s="566">
        <f>IF(ISNUMBER(System!$C11),PlotData!K11+ Querkraft!$E$2*$AF$1*K10,PlotData!$CB$3)</f>
        <v>3.7652183272099715</v>
      </c>
      <c r="AL10" s="567">
        <f>IF(ISNUMBER(System!$C11),PlotData!L11+ Querkraft!$E$2*$AF$1*L10,PlotData!$CB$3)</f>
        <v>3.9001366272099713</v>
      </c>
      <c r="AM10" s="565">
        <f>IF(ISNUMBER(System!$C11),PlotData!L11,PlotData!$CB$3)</f>
        <v>3.8999999999999981</v>
      </c>
      <c r="AN10" s="566">
        <f>IF(ISNUMBER(System!$C11),PlotData!B11,PlotData!$CB$3)</f>
        <v>2.5508169999999999</v>
      </c>
      <c r="AO10" s="447">
        <f>IF(ISNUMBER(System!$C11),AB10,PlotData!$CB$3)</f>
        <v>2.5509536272099731</v>
      </c>
      <c r="AQ10" s="568">
        <v>8</v>
      </c>
      <c r="AR10" s="607">
        <f>IF(ISNUMBER(System!$C11),PlotData!O11+ Querkraft!$E$2*$AF$1*O10,PlotData!$CB$4)</f>
        <v>-0.22415856727448313</v>
      </c>
      <c r="AS10" s="566">
        <f>IF(ISNUMBER(System!$C11),PlotData!P11+Querkraft!$E$2* $AF$1*P10,PlotData!$CB$4)</f>
        <v>-0.22414216727448311</v>
      </c>
      <c r="AT10" s="566">
        <f>IF(ISNUMBER(System!$C11),PlotData!Q11+Querkraft!$E$2*$AF$1*Q10,PlotData!$CB$4)</f>
        <v>-0.22412576727448308</v>
      </c>
      <c r="AU10" s="566">
        <f>IF(ISNUMBER(System!$C11),PlotData!R11+ Querkraft!$E$2*$AF$1*R10,PlotData!$CB$4)</f>
        <v>-0.22410936727448305</v>
      </c>
      <c r="AV10" s="566">
        <f>IF(ISNUMBER(System!$C11),PlotData!S11+ Querkraft!$E$2*$AF$1*S10,PlotData!$CB$4)</f>
        <v>-0.22409296727448302</v>
      </c>
      <c r="AW10" s="566">
        <f>IF(ISNUMBER(System!$C11),PlotData!T11+ Querkraft!$E$2*$AF$1*T10,PlotData!$CB$4)</f>
        <v>-0.224076567274483</v>
      </c>
      <c r="AX10" s="566">
        <f>IF(ISNUMBER(System!$C11),PlotData!U11+ Querkraft!$E$2*$AF$1*U10,PlotData!$CB$4)</f>
        <v>-0.22406016727448297</v>
      </c>
      <c r="AY10" s="566">
        <f>IF(ISNUMBER(System!$C11),PlotData!V11+ Querkraft!$E$2*$AF$1*V10,PlotData!$CB$4)</f>
        <v>-0.22404376727448294</v>
      </c>
      <c r="AZ10" s="566">
        <f>IF(ISNUMBER(System!$C11),PlotData!W11+ Querkraft!$E$2*$AF$1*W10,PlotData!$CB$4)</f>
        <v>-0.22402736727448291</v>
      </c>
      <c r="BA10" s="566">
        <f>IF(ISNUMBER(System!$C11),PlotData!X11+Querkraft!$E$2* $AF$1*X10,PlotData!$CB$4)</f>
        <v>-0.22401096727448289</v>
      </c>
      <c r="BB10" s="567">
        <f>IF(ISNUMBER(System!$C11),PlotData!Y11+Querkraft!$E$2*$AF$1*Y10,PlotData!$CB$4)</f>
        <v>-0.22399456727448286</v>
      </c>
      <c r="BC10" s="565">
        <f>IF(ISNUMBER(System!$C11),PlotData!Y11, PlotData!CB$4)</f>
        <v>0.90000000000000024</v>
      </c>
      <c r="BD10" s="566">
        <f>IF(ISNUMBER(System!$C11),PlotData!O11, PlotData!$CB$4)</f>
        <v>0.89983599999999997</v>
      </c>
      <c r="BE10" s="567">
        <f>IF(ISNUMBER(System!$C11), AR10,PlotData!$CB$4)</f>
        <v>-0.22415856727448313</v>
      </c>
    </row>
    <row r="11" spans="1:61" x14ac:dyDescent="0.35">
      <c r="A11" s="568">
        <v>9</v>
      </c>
      <c r="B11" s="565">
        <v>-6.6126864573862415E-4</v>
      </c>
      <c r="C11" s="566">
        <v>-6.6126864573862415E-4</v>
      </c>
      <c r="D11" s="566">
        <v>-6.6126864573862415E-4</v>
      </c>
      <c r="E11" s="566">
        <v>-6.6126864573862415E-4</v>
      </c>
      <c r="F11" s="566">
        <v>-6.6126864573862415E-4</v>
      </c>
      <c r="G11" s="566">
        <v>-6.6126864573862415E-4</v>
      </c>
      <c r="H11" s="566">
        <v>-6.6126864573862415E-4</v>
      </c>
      <c r="I11" s="566">
        <v>-6.6126864573862415E-4</v>
      </c>
      <c r="J11" s="566">
        <v>-6.6126864573862415E-4</v>
      </c>
      <c r="K11" s="566">
        <v>-6.6126864573862415E-4</v>
      </c>
      <c r="L11" s="567">
        <v>-6.6126864573862415E-4</v>
      </c>
      <c r="N11" s="568">
        <v>9</v>
      </c>
      <c r="O11" s="565">
        <v>13.823111385005067</v>
      </c>
      <c r="P11" s="566">
        <v>13.823111385005067</v>
      </c>
      <c r="Q11" s="566">
        <v>13.823111385005067</v>
      </c>
      <c r="R11" s="566">
        <v>13.823111385005067</v>
      </c>
      <c r="S11" s="566">
        <v>13.823111385005067</v>
      </c>
      <c r="T11" s="566">
        <v>13.823111385005067</v>
      </c>
      <c r="U11" s="566">
        <v>13.823111385005067</v>
      </c>
      <c r="V11" s="566">
        <v>13.823111385005067</v>
      </c>
      <c r="W11" s="566">
        <v>13.823111385005067</v>
      </c>
      <c r="X11" s="566">
        <v>13.823111385005067</v>
      </c>
      <c r="Y11" s="567">
        <v>13.823111385005067</v>
      </c>
      <c r="AA11" s="569">
        <v>9</v>
      </c>
      <c r="AB11" s="565">
        <f>IF(ISNUMBER(System!$C12),PlotData!B12+ Querkraft!$E$2*$AF$1*B11,PlotData!$CB$3)</f>
        <v>5.2717199785747244</v>
      </c>
      <c r="AC11" s="566">
        <f>IF(ISNUMBER(System!$C12),PlotData!C12+ Querkraft!$E$2*$AF$1*C11,PlotData!$CB$3)</f>
        <v>5.614544378574724</v>
      </c>
      <c r="AD11" s="566">
        <f>IF(ISNUMBER(System!$C12),PlotData!D12+ Querkraft!$E$2*$AF$1*D11,PlotData!$CB$3)</f>
        <v>5.9573687785747236</v>
      </c>
      <c r="AE11" s="566">
        <f>IF(ISNUMBER(System!$C12),PlotData!E12+ Querkraft!$E$2*$AF$1*E11,PlotData!$CB$3)</f>
        <v>6.3001931785747232</v>
      </c>
      <c r="AF11" s="566">
        <f>IF(ISNUMBER(System!$C12),PlotData!F12+Querkraft!$E$2* $AF$1*F11,PlotData!$CB$3)</f>
        <v>6.6430175785747227</v>
      </c>
      <c r="AG11" s="566">
        <f>IF(ISNUMBER(System!$C12),PlotData!G12+ Querkraft!$E$2*$AF$1*G11,PlotData!$CB$3)</f>
        <v>6.9858419785747223</v>
      </c>
      <c r="AH11" s="566">
        <f>IF(ISNUMBER(System!$C12),PlotData!H12+Querkraft!$E$2* $AF$1*H11,PlotData!$CB$3)</f>
        <v>7.3286663785747219</v>
      </c>
      <c r="AI11" s="566">
        <f>IF(ISNUMBER(System!$C12),PlotData!I12+ Querkraft!$E$2*$AF$1*I11,PlotData!$CB$3)</f>
        <v>7.6714907785747215</v>
      </c>
      <c r="AJ11" s="566">
        <f>IF(ISNUMBER(System!$C12),PlotData!J12+Querkraft!$E$2*$AF$1*J11,PlotData!$CB$3)</f>
        <v>8.0143151785747211</v>
      </c>
      <c r="AK11" s="566">
        <f>IF(ISNUMBER(System!$C12),PlotData!K12+ Querkraft!$E$2*$AF$1*K11,PlotData!$CB$3)</f>
        <v>8.3571395785747207</v>
      </c>
      <c r="AL11" s="567">
        <f>IF(ISNUMBER(System!$C12),PlotData!L12+ Querkraft!$E$2*$AF$1*L11,PlotData!$CB$3)</f>
        <v>8.6999639785747203</v>
      </c>
      <c r="AM11" s="565">
        <f>IF(ISNUMBER(System!$C12),PlotData!L12,PlotData!$CB$3)</f>
        <v>8.6999999999999957</v>
      </c>
      <c r="AN11" s="566">
        <f>IF(ISNUMBER(System!$C12),PlotData!B12,PlotData!$CB$3)</f>
        <v>5.2717559999999999</v>
      </c>
      <c r="AO11" s="447">
        <f>IF(ISNUMBER(System!$C12),AB11,PlotData!$CB$3)</f>
        <v>5.2717199785747244</v>
      </c>
      <c r="AQ11" s="568">
        <v>9</v>
      </c>
      <c r="AR11" s="607">
        <f>IF(ISNUMBER(System!$C12),PlotData!O12+ Querkraft!$E$2*$AF$1*O11,PlotData!$CB$4)</f>
        <v>1.6528252382383064</v>
      </c>
      <c r="AS11" s="566">
        <f>IF(ISNUMBER(System!$C12),PlotData!P12+Querkraft!$E$2* $AF$1*P11,PlotData!$CB$4)</f>
        <v>1.6528416382383064</v>
      </c>
      <c r="AT11" s="566">
        <f>IF(ISNUMBER(System!$C12),PlotData!Q12+Querkraft!$E$2*$AF$1*Q11,PlotData!$CB$4)</f>
        <v>1.6528580382383065</v>
      </c>
      <c r="AU11" s="566">
        <f>IF(ISNUMBER(System!$C12),PlotData!R12+ Querkraft!$E$2*$AF$1*R11,PlotData!$CB$4)</f>
        <v>1.6528744382383065</v>
      </c>
      <c r="AV11" s="566">
        <f>IF(ISNUMBER(System!$C12),PlotData!S12+ Querkraft!$E$2*$AF$1*S11,PlotData!$CB$4)</f>
        <v>1.6528908382383065</v>
      </c>
      <c r="AW11" s="566">
        <f>IF(ISNUMBER(System!$C12),PlotData!T12+ Querkraft!$E$2*$AF$1*T11,PlotData!$CB$4)</f>
        <v>1.6529072382383065</v>
      </c>
      <c r="AX11" s="566">
        <f>IF(ISNUMBER(System!$C12),PlotData!U12+ Querkraft!$E$2*$AF$1*U11,PlotData!$CB$4)</f>
        <v>1.6529236382383066</v>
      </c>
      <c r="AY11" s="566">
        <f>IF(ISNUMBER(System!$C12),PlotData!V12+ Querkraft!$E$2*$AF$1*V11,PlotData!$CB$4)</f>
        <v>1.6529400382383066</v>
      </c>
      <c r="AZ11" s="566">
        <f>IF(ISNUMBER(System!$C12),PlotData!W12+ Querkraft!$E$2*$AF$1*W11,PlotData!$CB$4)</f>
        <v>1.6529564382383066</v>
      </c>
      <c r="BA11" s="566">
        <f>IF(ISNUMBER(System!$C12),PlotData!X12+Querkraft!$E$2* $AF$1*X11,PlotData!$CB$4)</f>
        <v>1.6529728382383067</v>
      </c>
      <c r="BB11" s="567">
        <f>IF(ISNUMBER(System!$C12),PlotData!Y12+Querkraft!$E$2*$AF$1*Y11,PlotData!$CB$4)</f>
        <v>1.6529892382383067</v>
      </c>
      <c r="BC11" s="565">
        <f>IF(ISNUMBER(System!$C12),PlotData!Y12, PlotData!CB$4)</f>
        <v>0.90000000000000024</v>
      </c>
      <c r="BD11" s="566">
        <f>IF(ISNUMBER(System!$C12),PlotData!O12, PlotData!$CB$4)</f>
        <v>0.89983599999999997</v>
      </c>
      <c r="BE11" s="567">
        <f>IF(ISNUMBER(System!$C12), AR11,PlotData!$CB$4)</f>
        <v>1.6528252382383064</v>
      </c>
    </row>
    <row r="12" spans="1:61" x14ac:dyDescent="0.35">
      <c r="A12" s="568">
        <v>10</v>
      </c>
      <c r="B12" s="565">
        <v>0.1340182132544365</v>
      </c>
      <c r="C12" s="566">
        <v>0.1340182132544365</v>
      </c>
      <c r="D12" s="566">
        <v>0.1340182132544365</v>
      </c>
      <c r="E12" s="566">
        <v>0.1340182132544365</v>
      </c>
      <c r="F12" s="566">
        <v>0.1340182132544365</v>
      </c>
      <c r="G12" s="566">
        <v>0.1340182132544365</v>
      </c>
      <c r="H12" s="566">
        <v>0.1340182132544365</v>
      </c>
      <c r="I12" s="566">
        <v>0.1340182132544365</v>
      </c>
      <c r="J12" s="566">
        <v>0.1340182132544365</v>
      </c>
      <c r="K12" s="566">
        <v>0.1340182132544365</v>
      </c>
      <c r="L12" s="567">
        <v>0.1340182132544365</v>
      </c>
      <c r="N12" s="568">
        <v>10</v>
      </c>
      <c r="O12" s="565">
        <v>1.4273668130724398E-2</v>
      </c>
      <c r="P12" s="566">
        <v>1.4273668130724398E-2</v>
      </c>
      <c r="Q12" s="566">
        <v>1.4273668130724398E-2</v>
      </c>
      <c r="R12" s="566">
        <v>1.4273668130724398E-2</v>
      </c>
      <c r="S12" s="566">
        <v>1.4273668130724398E-2</v>
      </c>
      <c r="T12" s="566">
        <v>1.4273668130724398E-2</v>
      </c>
      <c r="U12" s="566">
        <v>1.4273668130724398E-2</v>
      </c>
      <c r="V12" s="566">
        <v>1.4273668130724398E-2</v>
      </c>
      <c r="W12" s="566">
        <v>1.4273668130724398E-2</v>
      </c>
      <c r="X12" s="566">
        <v>1.4273668130724398E-2</v>
      </c>
      <c r="Y12" s="567">
        <v>1.4273668130724398E-2</v>
      </c>
      <c r="AA12" s="569">
        <v>10</v>
      </c>
      <c r="AB12" s="565">
        <f>IF(ISNUMBER(System!$C13),PlotData!B13+ Querkraft!$E$2*$AF$1*B12,PlotData!$CB$3)</f>
        <v>3.392950402166909</v>
      </c>
      <c r="AC12" s="566">
        <f>IF(ISNUMBER(System!$C13),PlotData!C13+ Querkraft!$E$2*$AF$1*C12,PlotData!$CB$3)</f>
        <v>3.4443854021669091</v>
      </c>
      <c r="AD12" s="566">
        <f>IF(ISNUMBER(System!$C13),PlotData!D13+ Querkraft!$E$2*$AF$1*D12,PlotData!$CB$3)</f>
        <v>3.4958204021669093</v>
      </c>
      <c r="AE12" s="566">
        <f>IF(ISNUMBER(System!$C13),PlotData!E13+ Querkraft!$E$2*$AF$1*E12,PlotData!$CB$3)</f>
        <v>3.5472554021669094</v>
      </c>
      <c r="AF12" s="566">
        <f>IF(ISNUMBER(System!$C13),PlotData!F13+Querkraft!$E$2* $AF$1*F12,PlotData!$CB$3)</f>
        <v>3.5986904021669095</v>
      </c>
      <c r="AG12" s="566">
        <f>IF(ISNUMBER(System!$C13),PlotData!G13+ Querkraft!$E$2*$AF$1*G12,PlotData!$CB$3)</f>
        <v>3.6501254021669096</v>
      </c>
      <c r="AH12" s="566">
        <f>IF(ISNUMBER(System!$C13),PlotData!H13+Querkraft!$E$2* $AF$1*H12,PlotData!$CB$3)</f>
        <v>3.7015604021669097</v>
      </c>
      <c r="AI12" s="566">
        <f>IF(ISNUMBER(System!$C13),PlotData!I13+ Querkraft!$E$2*$AF$1*I12,PlotData!$CB$3)</f>
        <v>3.7529954021669099</v>
      </c>
      <c r="AJ12" s="566">
        <f>IF(ISNUMBER(System!$C13),PlotData!J13+Querkraft!$E$2*$AF$1*J12,PlotData!$CB$3)</f>
        <v>3.80443040216691</v>
      </c>
      <c r="AK12" s="566">
        <f>IF(ISNUMBER(System!$C13),PlotData!K13+ Querkraft!$E$2*$AF$1*K12,PlotData!$CB$3)</f>
        <v>3.8558654021669101</v>
      </c>
      <c r="AL12" s="567">
        <f>IF(ISNUMBER(System!$C13),PlotData!L13+ Querkraft!$E$2*$AF$1*L12,PlotData!$CB$3)</f>
        <v>3.9073004021669102</v>
      </c>
      <c r="AM12" s="565">
        <f>IF(ISNUMBER(System!$C13),PlotData!L13,PlotData!$CB$3)</f>
        <v>3.9000000000000012</v>
      </c>
      <c r="AN12" s="566">
        <f>IF(ISNUMBER(System!$C13),PlotData!B13,PlotData!$CB$3)</f>
        <v>3.38565</v>
      </c>
      <c r="AO12" s="447">
        <f>IF(ISNUMBER(System!$C13),AB12,PlotData!$CB$3)</f>
        <v>3.392950402166909</v>
      </c>
      <c r="AQ12" s="568">
        <v>10</v>
      </c>
      <c r="AR12" s="607">
        <f>IF(ISNUMBER(System!$C13),PlotData!O13+ Querkraft!$E$2*$AF$1*O12,PlotData!$CB$4)</f>
        <v>2.7301085325101035</v>
      </c>
      <c r="AS12" s="566">
        <f>IF(ISNUMBER(System!$C13),PlotData!P13+Querkraft!$E$2* $AF$1*P12,PlotData!$CB$4)</f>
        <v>2.2471754325101037</v>
      </c>
      <c r="AT12" s="566">
        <f>IF(ISNUMBER(System!$C13),PlotData!Q13+Querkraft!$E$2*$AF$1*Q12,PlotData!$CB$4)</f>
        <v>1.7642423325101035</v>
      </c>
      <c r="AU12" s="566">
        <f>IF(ISNUMBER(System!$C13),PlotData!R13+ Querkraft!$E$2*$AF$1*R12,PlotData!$CB$4)</f>
        <v>1.2813092325101034</v>
      </c>
      <c r="AV12" s="566">
        <f>IF(ISNUMBER(System!$C13),PlotData!S13+ Querkraft!$E$2*$AF$1*S12,PlotData!$CB$4)</f>
        <v>0.7983761325101032</v>
      </c>
      <c r="AW12" s="566">
        <f>IF(ISNUMBER(System!$C13),PlotData!T13+ Querkraft!$E$2*$AF$1*T12,PlotData!$CB$4)</f>
        <v>0.31544303251010319</v>
      </c>
      <c r="AX12" s="566">
        <f>IF(ISNUMBER(System!$C13),PlotData!U13+ Querkraft!$E$2*$AF$1*U12,PlotData!$CB$4)</f>
        <v>-0.16749006748989687</v>
      </c>
      <c r="AY12" s="566">
        <f>IF(ISNUMBER(System!$C13),PlotData!V13+ Querkraft!$E$2*$AF$1*V12,PlotData!$CB$4)</f>
        <v>-0.65042316748989693</v>
      </c>
      <c r="AZ12" s="566">
        <f>IF(ISNUMBER(System!$C13),PlotData!W13+ Querkraft!$E$2*$AF$1*W12,PlotData!$CB$4)</f>
        <v>-1.1333562674898969</v>
      </c>
      <c r="BA12" s="566">
        <f>IF(ISNUMBER(System!$C13),PlotData!X13+Querkraft!$E$2* $AF$1*X12,PlotData!$CB$4)</f>
        <v>-1.616289367489897</v>
      </c>
      <c r="BB12" s="567">
        <f>IF(ISNUMBER(System!$C13),PlotData!Y13+Querkraft!$E$2*$AF$1*Y12,PlotData!$CB$4)</f>
        <v>-2.0992224674898972</v>
      </c>
      <c r="BC12" s="565">
        <f>IF(ISNUMBER(System!$C13),PlotData!Y13, PlotData!CB$4)</f>
        <v>-2.1000000000000005</v>
      </c>
      <c r="BD12" s="566">
        <f>IF(ISNUMBER(System!$C13),PlotData!O13, PlotData!$CB$4)</f>
        <v>2.7293310000000002</v>
      </c>
      <c r="BE12" s="567">
        <f>IF(ISNUMBER(System!$C13), AR12,PlotData!$CB$4)</f>
        <v>2.7301085325101035</v>
      </c>
    </row>
    <row r="13" spans="1:61" x14ac:dyDescent="0.35">
      <c r="A13" s="568">
        <v>11</v>
      </c>
      <c r="B13" s="565">
        <v>0.14916305235215607</v>
      </c>
      <c r="C13" s="566">
        <v>0.14916305235215607</v>
      </c>
      <c r="D13" s="566">
        <v>0.14916305235215607</v>
      </c>
      <c r="E13" s="566">
        <v>0.14916305235215607</v>
      </c>
      <c r="F13" s="566">
        <v>0.14916305235215607</v>
      </c>
      <c r="G13" s="566">
        <v>0.14916305235215607</v>
      </c>
      <c r="H13" s="566">
        <v>0.14916305235215607</v>
      </c>
      <c r="I13" s="566">
        <v>0.14916305235215607</v>
      </c>
      <c r="J13" s="566">
        <v>0.14916305235215607</v>
      </c>
      <c r="K13" s="566">
        <v>0.14916305235215607</v>
      </c>
      <c r="L13" s="567">
        <v>0.14916305235215607</v>
      </c>
      <c r="N13" s="568">
        <v>11</v>
      </c>
      <c r="O13" s="565">
        <v>-1.5578874535529967E-2</v>
      </c>
      <c r="P13" s="566">
        <v>-1.5578874535529967E-2</v>
      </c>
      <c r="Q13" s="566">
        <v>-1.5578874535529967E-2</v>
      </c>
      <c r="R13" s="566">
        <v>-1.5578874535529967E-2</v>
      </c>
      <c r="S13" s="566">
        <v>-1.5578874535529967E-2</v>
      </c>
      <c r="T13" s="566">
        <v>-1.5578874535529967E-2</v>
      </c>
      <c r="U13" s="566">
        <v>-1.5578874535529967E-2</v>
      </c>
      <c r="V13" s="566">
        <v>-1.5578874535529967E-2</v>
      </c>
      <c r="W13" s="566">
        <v>-1.5578874535529967E-2</v>
      </c>
      <c r="X13" s="566">
        <v>-1.5578874535529967E-2</v>
      </c>
      <c r="Y13" s="567">
        <v>-1.5578874535529967E-2</v>
      </c>
      <c r="AA13" s="569">
        <v>11</v>
      </c>
      <c r="AB13" s="565">
        <f>IF(ISNUMBER(System!$C14),PlotData!B14+ Querkraft!$E$2*$AF$1*B13,PlotData!$CB$3)</f>
        <v>4.4141283901553443</v>
      </c>
      <c r="AC13" s="566">
        <f>IF(ISNUMBER(System!$C14),PlotData!C14+ Querkraft!$E$2*$AF$1*C13,PlotData!$CB$3)</f>
        <v>4.3635280901553442</v>
      </c>
      <c r="AD13" s="566">
        <f>IF(ISNUMBER(System!$C14),PlotData!D14+ Querkraft!$E$2*$AF$1*D13,PlotData!$CB$3)</f>
        <v>4.312927790155344</v>
      </c>
      <c r="AE13" s="566">
        <f>IF(ISNUMBER(System!$C14),PlotData!E14+ Querkraft!$E$2*$AF$1*E13,PlotData!$CB$3)</f>
        <v>4.2623274901553438</v>
      </c>
      <c r="AF13" s="566">
        <f>IF(ISNUMBER(System!$C14),PlotData!F14+Querkraft!$E$2* $AF$1*F13,PlotData!$CB$3)</f>
        <v>4.2117271901553437</v>
      </c>
      <c r="AG13" s="566">
        <f>IF(ISNUMBER(System!$C14),PlotData!G14+ Querkraft!$E$2*$AF$1*G13,PlotData!$CB$3)</f>
        <v>4.1611268901553435</v>
      </c>
      <c r="AH13" s="566">
        <f>IF(ISNUMBER(System!$C14),PlotData!H14+Querkraft!$E$2* $AF$1*H13,PlotData!$CB$3)</f>
        <v>4.1105265901553434</v>
      </c>
      <c r="AI13" s="566">
        <f>IF(ISNUMBER(System!$C14),PlotData!I14+ Querkraft!$E$2*$AF$1*I13,PlotData!$CB$3)</f>
        <v>4.0599262901553432</v>
      </c>
      <c r="AJ13" s="566">
        <f>IF(ISNUMBER(System!$C14),PlotData!J14+Querkraft!$E$2*$AF$1*J13,PlotData!$CB$3)</f>
        <v>4.0093259901553431</v>
      </c>
      <c r="AK13" s="566">
        <f>IF(ISNUMBER(System!$C14),PlotData!K14+ Querkraft!$E$2*$AF$1*K13,PlotData!$CB$3)</f>
        <v>3.9587256901553434</v>
      </c>
      <c r="AL13" s="567">
        <f>IF(ISNUMBER(System!$C14),PlotData!L14+ Querkraft!$E$2*$AF$1*L13,PlotData!$CB$3)</f>
        <v>3.9081253901553432</v>
      </c>
      <c r="AM13" s="565">
        <f>IF(ISNUMBER(System!$C14),PlotData!L14,PlotData!$CB$3)</f>
        <v>3.8999999999999986</v>
      </c>
      <c r="AN13" s="566">
        <f>IF(ISNUMBER(System!$C14),PlotData!B14,PlotData!$CB$3)</f>
        <v>4.4060030000000001</v>
      </c>
      <c r="AO13" s="447">
        <f>IF(ISNUMBER(System!$C14),AB13,PlotData!$CB$3)</f>
        <v>4.4141283901553443</v>
      </c>
      <c r="AQ13" s="568">
        <v>11</v>
      </c>
      <c r="AR13" s="607">
        <f>IF(ISNUMBER(System!$C14),PlotData!O14+ Querkraft!$E$2*$AF$1*O13,PlotData!$CB$4)</f>
        <v>2.7439783687083614</v>
      </c>
      <c r="AS13" s="566">
        <f>IF(ISNUMBER(System!$C14),PlotData!P14+Querkraft!$E$2* $AF$1*P13,PlotData!$CB$4)</f>
        <v>2.2594956687083614</v>
      </c>
      <c r="AT13" s="566">
        <f>IF(ISNUMBER(System!$C14),PlotData!Q14+Querkraft!$E$2*$AF$1*Q13,PlotData!$CB$4)</f>
        <v>1.7750129687083613</v>
      </c>
      <c r="AU13" s="566">
        <f>IF(ISNUMBER(System!$C14),PlotData!R14+ Querkraft!$E$2*$AF$1*R13,PlotData!$CB$4)</f>
        <v>1.2905302687083613</v>
      </c>
      <c r="AV13" s="566">
        <f>IF(ISNUMBER(System!$C14),PlotData!S14+ Querkraft!$E$2*$AF$1*S13,PlotData!$CB$4)</f>
        <v>0.80604756870836125</v>
      </c>
      <c r="AW13" s="566">
        <f>IF(ISNUMBER(System!$C14),PlotData!T14+ Querkraft!$E$2*$AF$1*T13,PlotData!$CB$4)</f>
        <v>0.32156486870836126</v>
      </c>
      <c r="AX13" s="566">
        <f>IF(ISNUMBER(System!$C14),PlotData!U14+ Querkraft!$E$2*$AF$1*U13,PlotData!$CB$4)</f>
        <v>-0.16291783129163881</v>
      </c>
      <c r="AY13" s="566">
        <f>IF(ISNUMBER(System!$C14),PlotData!V14+ Querkraft!$E$2*$AF$1*V13,PlotData!$CB$4)</f>
        <v>-0.64740053129163888</v>
      </c>
      <c r="AZ13" s="566">
        <f>IF(ISNUMBER(System!$C14),PlotData!W14+ Querkraft!$E$2*$AF$1*W13,PlotData!$CB$4)</f>
        <v>-1.1318832312916389</v>
      </c>
      <c r="BA13" s="566">
        <f>IF(ISNUMBER(System!$C14),PlotData!X14+Querkraft!$E$2* $AF$1*X13,PlotData!$CB$4)</f>
        <v>-1.616365931291639</v>
      </c>
      <c r="BB13" s="567">
        <f>IF(ISNUMBER(System!$C14),PlotData!Y14+Querkraft!$E$2*$AF$1*Y13,PlotData!$CB$4)</f>
        <v>-2.100848631291639</v>
      </c>
      <c r="BC13" s="565">
        <f>IF(ISNUMBER(System!$C14),PlotData!Y14, PlotData!CB$4)</f>
        <v>-2.1000000000000005</v>
      </c>
      <c r="BD13" s="566">
        <f>IF(ISNUMBER(System!$C14),PlotData!O14, PlotData!$CB$4)</f>
        <v>2.7448269999999999</v>
      </c>
      <c r="BE13" s="567">
        <f>IF(ISNUMBER(System!$C14), AR13,PlotData!$CB$4)</f>
        <v>2.7439783687083614</v>
      </c>
    </row>
    <row r="14" spans="1:61" x14ac:dyDescent="0.35">
      <c r="A14" s="568">
        <v>12</v>
      </c>
      <c r="B14" s="565">
        <v>5.1263607425682309</v>
      </c>
      <c r="C14" s="566">
        <v>5.1263607425682309</v>
      </c>
      <c r="D14" s="566">
        <v>5.1263607425682309</v>
      </c>
      <c r="E14" s="566">
        <v>5.1263607425682309</v>
      </c>
      <c r="F14" s="566">
        <v>5.1263607425682309</v>
      </c>
      <c r="G14" s="566">
        <v>5.1263607425682309</v>
      </c>
      <c r="H14" s="566">
        <v>5.1263607425682309</v>
      </c>
      <c r="I14" s="566">
        <v>5.1263607425682309</v>
      </c>
      <c r="J14" s="566">
        <v>5.1263607425682309</v>
      </c>
      <c r="K14" s="566">
        <v>5.1263607425682309</v>
      </c>
      <c r="L14" s="567">
        <v>5.1263607425682309</v>
      </c>
      <c r="N14" s="568">
        <v>12</v>
      </c>
      <c r="O14" s="565">
        <v>-2.339254886075373</v>
      </c>
      <c r="P14" s="566">
        <v>-2.339254886075373</v>
      </c>
      <c r="Q14" s="566">
        <v>-2.339254886075373</v>
      </c>
      <c r="R14" s="566">
        <v>-2.339254886075373</v>
      </c>
      <c r="S14" s="566">
        <v>-2.339254886075373</v>
      </c>
      <c r="T14" s="566">
        <v>-2.339254886075373</v>
      </c>
      <c r="U14" s="566">
        <v>-2.339254886075373</v>
      </c>
      <c r="V14" s="566">
        <v>-2.339254886075373</v>
      </c>
      <c r="W14" s="566">
        <v>-2.339254886075373</v>
      </c>
      <c r="X14" s="566">
        <v>-2.339254886075373</v>
      </c>
      <c r="Y14" s="567">
        <v>-2.339254886075373</v>
      </c>
      <c r="AA14" s="569">
        <v>12</v>
      </c>
      <c r="AB14" s="565">
        <f>IF(ISNUMBER(System!$C15),PlotData!B15+ Querkraft!$E$2*$AF$1*B14,PlotData!$CB$3)</f>
        <v>3.6648993211527281</v>
      </c>
      <c r="AC14" s="566">
        <f>IF(ISNUMBER(System!$C15),PlotData!C15+ Querkraft!$E$2*$AF$1*C14,PlotData!$CB$3)</f>
        <v>3.5814160211527279</v>
      </c>
      <c r="AD14" s="566">
        <f>IF(ISNUMBER(System!$C15),PlotData!D15+ Querkraft!$E$2*$AF$1*D14,PlotData!$CB$3)</f>
        <v>3.4979327211527278</v>
      </c>
      <c r="AE14" s="566">
        <f>IF(ISNUMBER(System!$C15),PlotData!E15+ Querkraft!$E$2*$AF$1*E14,PlotData!$CB$3)</f>
        <v>3.4144494211527276</v>
      </c>
      <c r="AF14" s="566">
        <f>IF(ISNUMBER(System!$C15),PlotData!F15+Querkraft!$E$2* $AF$1*F14,PlotData!$CB$3)</f>
        <v>3.3309661211527275</v>
      </c>
      <c r="AG14" s="566">
        <f>IF(ISNUMBER(System!$C15),PlotData!G15+ Querkraft!$E$2*$AF$1*G14,PlotData!$CB$3)</f>
        <v>3.2474828211527274</v>
      </c>
      <c r="AH14" s="566">
        <f>IF(ISNUMBER(System!$C15),PlotData!H15+Querkraft!$E$2* $AF$1*H14,PlotData!$CB$3)</f>
        <v>3.1639995211527272</v>
      </c>
      <c r="AI14" s="566">
        <f>IF(ISNUMBER(System!$C15),PlotData!I15+ Querkraft!$E$2*$AF$1*I14,PlotData!$CB$3)</f>
        <v>3.0805162211527271</v>
      </c>
      <c r="AJ14" s="566">
        <f>IF(ISNUMBER(System!$C15),PlotData!J15+Querkraft!$E$2*$AF$1*J14,PlotData!$CB$3)</f>
        <v>2.9970329211527269</v>
      </c>
      <c r="AK14" s="566">
        <f>IF(ISNUMBER(System!$C15),PlotData!K15+ Querkraft!$E$2*$AF$1*K14,PlotData!$CB$3)</f>
        <v>2.9135496211527268</v>
      </c>
      <c r="AL14" s="567">
        <f>IF(ISNUMBER(System!$C15),PlotData!L15+ Querkraft!$E$2*$AF$1*L14,PlotData!$CB$3)</f>
        <v>2.8300663211527266</v>
      </c>
      <c r="AM14" s="565">
        <f>IF(ISNUMBER(System!$C15),PlotData!L15,PlotData!$CB$3)</f>
        <v>2.5508169999999986</v>
      </c>
      <c r="AN14" s="566">
        <f>IF(ISNUMBER(System!$C15),PlotData!B15,PlotData!$CB$3)</f>
        <v>3.38565</v>
      </c>
      <c r="AO14" s="447">
        <f>IF(ISNUMBER(System!$C15),AB14,PlotData!$CB$3)</f>
        <v>3.6648993211527281</v>
      </c>
      <c r="AQ14" s="568">
        <v>12</v>
      </c>
      <c r="AR14" s="607">
        <f>IF(ISNUMBER(System!$C15),PlotData!O15+ Querkraft!$E$2*$AF$1*O14,PlotData!$CB$4)</f>
        <v>2.6019042792241054</v>
      </c>
      <c r="AS14" s="566">
        <f>IF(ISNUMBER(System!$C15),PlotData!P15+Querkraft!$E$2* $AF$1*P14,PlotData!$CB$4)</f>
        <v>2.4189547792241055</v>
      </c>
      <c r="AT14" s="566">
        <f>IF(ISNUMBER(System!$C15),PlotData!Q15+Querkraft!$E$2*$AF$1*Q14,PlotData!$CB$4)</f>
        <v>2.2360052792241056</v>
      </c>
      <c r="AU14" s="566">
        <f>IF(ISNUMBER(System!$C15),PlotData!R15+ Querkraft!$E$2*$AF$1*R14,PlotData!$CB$4)</f>
        <v>2.0530557792241058</v>
      </c>
      <c r="AV14" s="566">
        <f>IF(ISNUMBER(System!$C15),PlotData!S15+ Querkraft!$E$2*$AF$1*S14,PlotData!$CB$4)</f>
        <v>1.8701062792241059</v>
      </c>
      <c r="AW14" s="566">
        <f>IF(ISNUMBER(System!$C15),PlotData!T15+ Querkraft!$E$2*$AF$1*T14,PlotData!$CB$4)</f>
        <v>1.6871567792241056</v>
      </c>
      <c r="AX14" s="566">
        <f>IF(ISNUMBER(System!$C15),PlotData!U15+ Querkraft!$E$2*$AF$1*U14,PlotData!$CB$4)</f>
        <v>1.5042072792241057</v>
      </c>
      <c r="AY14" s="566">
        <f>IF(ISNUMBER(System!$C15),PlotData!V15+ Querkraft!$E$2*$AF$1*V14,PlotData!$CB$4)</f>
        <v>1.3212577792241054</v>
      </c>
      <c r="AZ14" s="566">
        <f>IF(ISNUMBER(System!$C15),PlotData!W15+ Querkraft!$E$2*$AF$1*W14,PlotData!$CB$4)</f>
        <v>1.1383082792241055</v>
      </c>
      <c r="BA14" s="566">
        <f>IF(ISNUMBER(System!$C15),PlotData!X15+Querkraft!$E$2* $AF$1*X14,PlotData!$CB$4)</f>
        <v>0.95535877922410528</v>
      </c>
      <c r="BB14" s="567">
        <f>IF(ISNUMBER(System!$C15),PlotData!Y15+Querkraft!$E$2*$AF$1*Y14,PlotData!$CB$4)</f>
        <v>0.77240927922410518</v>
      </c>
      <c r="BC14" s="565">
        <f>IF(ISNUMBER(System!$C15),PlotData!Y15, PlotData!CB$4)</f>
        <v>0.89983599999999986</v>
      </c>
      <c r="BD14" s="566">
        <f>IF(ISNUMBER(System!$C15),PlotData!O15, PlotData!$CB$4)</f>
        <v>2.7293310000000002</v>
      </c>
      <c r="BE14" s="567">
        <f>IF(ISNUMBER(System!$C15), AR14,PlotData!$CB$4)</f>
        <v>2.6019042792241054</v>
      </c>
    </row>
    <row r="15" spans="1:61" x14ac:dyDescent="0.35">
      <c r="A15" s="568">
        <v>13</v>
      </c>
      <c r="B15" s="565">
        <v>5.0325876585897449</v>
      </c>
      <c r="C15" s="566">
        <v>5.0325876585897449</v>
      </c>
      <c r="D15" s="566">
        <v>5.0325876585897449</v>
      </c>
      <c r="E15" s="566">
        <v>5.0325876585897449</v>
      </c>
      <c r="F15" s="566">
        <v>5.0325876585897449</v>
      </c>
      <c r="G15" s="566">
        <v>5.0325876585897449</v>
      </c>
      <c r="H15" s="566">
        <v>5.0325876585897449</v>
      </c>
      <c r="I15" s="566">
        <v>5.0325876585897449</v>
      </c>
      <c r="J15" s="566">
        <v>5.0325876585897449</v>
      </c>
      <c r="K15" s="566">
        <v>5.0325876585897449</v>
      </c>
      <c r="L15" s="567">
        <v>5.0325876585897449</v>
      </c>
      <c r="N15" s="568">
        <v>13</v>
      </c>
      <c r="O15" s="565">
        <v>2.3615171364993364</v>
      </c>
      <c r="P15" s="566">
        <v>2.3615171364993364</v>
      </c>
      <c r="Q15" s="566">
        <v>2.3615171364993364</v>
      </c>
      <c r="R15" s="566">
        <v>2.3615171364993364</v>
      </c>
      <c r="S15" s="566">
        <v>2.3615171364993364</v>
      </c>
      <c r="T15" s="566">
        <v>2.3615171364993364</v>
      </c>
      <c r="U15" s="566">
        <v>2.3615171364993364</v>
      </c>
      <c r="V15" s="566">
        <v>2.3615171364993364</v>
      </c>
      <c r="W15" s="566">
        <v>2.3615171364993364</v>
      </c>
      <c r="X15" s="566">
        <v>2.3615171364993364</v>
      </c>
      <c r="Y15" s="567">
        <v>2.3615171364993364</v>
      </c>
      <c r="AA15" s="569">
        <v>13</v>
      </c>
      <c r="AB15" s="565">
        <f>IF(ISNUMBER(System!$C16),PlotData!B16+ Querkraft!$E$2*$AF$1*B15,PlotData!$CB$3)</f>
        <v>4.6801442003320561</v>
      </c>
      <c r="AC15" s="566">
        <f>IF(ISNUMBER(System!$C16),PlotData!C16+ Querkraft!$E$2*$AF$1*C15,PlotData!$CB$3)</f>
        <v>4.7667195003320559</v>
      </c>
      <c r="AD15" s="566">
        <f>IF(ISNUMBER(System!$C16),PlotData!D16+ Querkraft!$E$2*$AF$1*D15,PlotData!$CB$3)</f>
        <v>4.8532948003320557</v>
      </c>
      <c r="AE15" s="566">
        <f>IF(ISNUMBER(System!$C16),PlotData!E16+ Querkraft!$E$2*$AF$1*E15,PlotData!$CB$3)</f>
        <v>4.9398701003320555</v>
      </c>
      <c r="AF15" s="566">
        <f>IF(ISNUMBER(System!$C16),PlotData!F16+Querkraft!$E$2* $AF$1*F15,PlotData!$CB$3)</f>
        <v>5.0264454003320553</v>
      </c>
      <c r="AG15" s="566">
        <f>IF(ISNUMBER(System!$C16),PlotData!G16+ Querkraft!$E$2*$AF$1*G15,PlotData!$CB$3)</f>
        <v>5.1130207003320551</v>
      </c>
      <c r="AH15" s="566">
        <f>IF(ISNUMBER(System!$C16),PlotData!H16+Querkraft!$E$2* $AF$1*H15,PlotData!$CB$3)</f>
        <v>5.1995960003320549</v>
      </c>
      <c r="AI15" s="566">
        <f>IF(ISNUMBER(System!$C16),PlotData!I16+ Querkraft!$E$2*$AF$1*I15,PlotData!$CB$3)</f>
        <v>5.2861713003320547</v>
      </c>
      <c r="AJ15" s="566">
        <f>IF(ISNUMBER(System!$C16),PlotData!J16+Querkraft!$E$2*$AF$1*J15,PlotData!$CB$3)</f>
        <v>5.3727466003320545</v>
      </c>
      <c r="AK15" s="566">
        <f>IF(ISNUMBER(System!$C16),PlotData!K16+ Querkraft!$E$2*$AF$1*K15,PlotData!$CB$3)</f>
        <v>5.4593219003320543</v>
      </c>
      <c r="AL15" s="567">
        <f>IF(ISNUMBER(System!$C16),PlotData!L16+ Querkraft!$E$2*$AF$1*L15,PlotData!$CB$3)</f>
        <v>5.5458972003320541</v>
      </c>
      <c r="AM15" s="565">
        <f>IF(ISNUMBER(System!$C16),PlotData!L16,PlotData!$CB$3)</f>
        <v>5.2717559999999981</v>
      </c>
      <c r="AN15" s="566">
        <f>IF(ISNUMBER(System!$C16),PlotData!B16,PlotData!$CB$3)</f>
        <v>4.4060030000000001</v>
      </c>
      <c r="AO15" s="447">
        <f>IF(ISNUMBER(System!$C16),AB15,PlotData!$CB$3)</f>
        <v>4.6801442003320561</v>
      </c>
      <c r="AQ15" s="568">
        <v>13</v>
      </c>
      <c r="AR15" s="607">
        <f>IF(ISNUMBER(System!$C16),PlotData!O16+ Querkraft!$E$2*$AF$1*O15,PlotData!$CB$4)</f>
        <v>2.8734664170004502</v>
      </c>
      <c r="AS15" s="566">
        <f>IF(ISNUMBER(System!$C16),PlotData!P16+Querkraft!$E$2* $AF$1*P15,PlotData!$CB$4)</f>
        <v>2.6889673170004502</v>
      </c>
      <c r="AT15" s="566">
        <f>IF(ISNUMBER(System!$C16),PlotData!Q16+Querkraft!$E$2*$AF$1*Q15,PlotData!$CB$4)</f>
        <v>2.5044682170004502</v>
      </c>
      <c r="AU15" s="566">
        <f>IF(ISNUMBER(System!$C16),PlotData!R16+ Querkraft!$E$2*$AF$1*R15,PlotData!$CB$4)</f>
        <v>2.3199691170004502</v>
      </c>
      <c r="AV15" s="566">
        <f>IF(ISNUMBER(System!$C16),PlotData!S16+ Querkraft!$E$2*$AF$1*S15,PlotData!$CB$4)</f>
        <v>2.1354700170004501</v>
      </c>
      <c r="AW15" s="566">
        <f>IF(ISNUMBER(System!$C16),PlotData!T16+ Querkraft!$E$2*$AF$1*T15,PlotData!$CB$4)</f>
        <v>1.9509709170004503</v>
      </c>
      <c r="AX15" s="566">
        <f>IF(ISNUMBER(System!$C16),PlotData!U16+ Querkraft!$E$2*$AF$1*U15,PlotData!$CB$4)</f>
        <v>1.7664718170004503</v>
      </c>
      <c r="AY15" s="566">
        <f>IF(ISNUMBER(System!$C16),PlotData!V16+ Querkraft!$E$2*$AF$1*V15,PlotData!$CB$4)</f>
        <v>1.5819727170004503</v>
      </c>
      <c r="AZ15" s="566">
        <f>IF(ISNUMBER(System!$C16),PlotData!W16+ Querkraft!$E$2*$AF$1*W15,PlotData!$CB$4)</f>
        <v>1.3974736170004503</v>
      </c>
      <c r="BA15" s="566">
        <f>IF(ISNUMBER(System!$C16),PlotData!X16+Querkraft!$E$2* $AF$1*X15,PlotData!$CB$4)</f>
        <v>1.2129745170004502</v>
      </c>
      <c r="BB15" s="567">
        <f>IF(ISNUMBER(System!$C16),PlotData!Y16+Querkraft!$E$2*$AF$1*Y15,PlotData!$CB$4)</f>
        <v>1.0284754170004502</v>
      </c>
      <c r="BC15" s="565">
        <f>IF(ISNUMBER(System!$C16),PlotData!Y16, PlotData!CB$4)</f>
        <v>0.89983599999999964</v>
      </c>
      <c r="BD15" s="566">
        <f>IF(ISNUMBER(System!$C16),PlotData!O16, PlotData!$CB$4)</f>
        <v>2.7448269999999999</v>
      </c>
      <c r="BE15" s="567">
        <f>IF(ISNUMBER(System!$C16), AR15,PlotData!$CB$4)</f>
        <v>2.8734664170004502</v>
      </c>
    </row>
    <row r="16" spans="1:61" x14ac:dyDescent="0.35">
      <c r="A16" s="568">
        <v>14</v>
      </c>
      <c r="B16" s="565">
        <v>0</v>
      </c>
      <c r="C16" s="566">
        <v>0</v>
      </c>
      <c r="D16" s="566">
        <v>0</v>
      </c>
      <c r="E16" s="566">
        <v>0</v>
      </c>
      <c r="F16" s="566">
        <v>0</v>
      </c>
      <c r="G16" s="566">
        <v>0</v>
      </c>
      <c r="H16" s="566">
        <v>0</v>
      </c>
      <c r="I16" s="566">
        <v>0</v>
      </c>
      <c r="J16" s="566">
        <v>0</v>
      </c>
      <c r="K16" s="566">
        <v>0</v>
      </c>
      <c r="L16" s="567">
        <v>0</v>
      </c>
      <c r="N16" s="568">
        <v>14</v>
      </c>
      <c r="O16" s="565">
        <v>0</v>
      </c>
      <c r="P16" s="566">
        <v>0</v>
      </c>
      <c r="Q16" s="566">
        <v>0</v>
      </c>
      <c r="R16" s="566">
        <v>0</v>
      </c>
      <c r="S16" s="566">
        <v>0</v>
      </c>
      <c r="T16" s="566">
        <v>0</v>
      </c>
      <c r="U16" s="566">
        <v>0</v>
      </c>
      <c r="V16" s="566">
        <v>0</v>
      </c>
      <c r="W16" s="566">
        <v>0</v>
      </c>
      <c r="X16" s="566">
        <v>0</v>
      </c>
      <c r="Y16" s="567">
        <v>0</v>
      </c>
      <c r="AA16" s="569">
        <v>14</v>
      </c>
      <c r="AB16" s="565">
        <f>IF(ISNUMBER(System!$C17),PlotData!B17+ Querkraft!$E$2*$AF$1*B16,PlotData!$CB$3)</f>
        <v>-6.45</v>
      </c>
      <c r="AC16" s="566">
        <f>IF(ISNUMBER(System!$C17),PlotData!C17+ Querkraft!$E$2*$AF$1*C16,PlotData!$CB$3)</f>
        <v>-6.3900000000000006</v>
      </c>
      <c r="AD16" s="566">
        <f>IF(ISNUMBER(System!$C17),PlotData!D17+ Querkraft!$E$2*$AF$1*D16,PlotData!$CB$3)</f>
        <v>-6.33</v>
      </c>
      <c r="AE16" s="566">
        <f>IF(ISNUMBER(System!$C17),PlotData!E17+ Querkraft!$E$2*$AF$1*E16,PlotData!$CB$3)</f>
        <v>-6.27</v>
      </c>
      <c r="AF16" s="566">
        <f>IF(ISNUMBER(System!$C17),PlotData!F17+Querkraft!$E$2* $AF$1*F16,PlotData!$CB$3)</f>
        <v>-6.2099999999999991</v>
      </c>
      <c r="AG16" s="566">
        <f>IF(ISNUMBER(System!$C17),PlotData!G17+ Querkraft!$E$2*$AF$1*G16,PlotData!$CB$3)</f>
        <v>-6.1499999999999986</v>
      </c>
      <c r="AH16" s="566">
        <f>IF(ISNUMBER(System!$C17),PlotData!H17+Querkraft!$E$2* $AF$1*H16,PlotData!$CB$3)</f>
        <v>-6.0899999999999981</v>
      </c>
      <c r="AI16" s="566">
        <f>IF(ISNUMBER(System!$C17),PlotData!I17+ Querkraft!$E$2*$AF$1*I16,PlotData!$CB$3)</f>
        <v>-6.0299999999999976</v>
      </c>
      <c r="AJ16" s="566">
        <f>IF(ISNUMBER(System!$C17),PlotData!J17+Querkraft!$E$2*$AF$1*J16,PlotData!$CB$3)</f>
        <v>-5.9699999999999971</v>
      </c>
      <c r="AK16" s="566">
        <f>IF(ISNUMBER(System!$C17),PlotData!K17+ Querkraft!$E$2*$AF$1*K16,PlotData!$CB$3)</f>
        <v>-5.9099999999999966</v>
      </c>
      <c r="AL16" s="567">
        <f>IF(ISNUMBER(System!$C17),PlotData!L17+ Querkraft!$E$2*$AF$1*L16,PlotData!$CB$3)</f>
        <v>-5.8499999999999961</v>
      </c>
      <c r="AM16" s="565">
        <f>IF(ISNUMBER(System!$C17),PlotData!L17,PlotData!$CB$3)</f>
        <v>-5.8499999999999961</v>
      </c>
      <c r="AN16" s="566">
        <f>IF(ISNUMBER(System!$C17),PlotData!B17,PlotData!$CB$3)</f>
        <v>-6.45</v>
      </c>
      <c r="AO16" s="447">
        <f>IF(ISNUMBER(System!$C17),AB16,PlotData!$CB$3)</f>
        <v>-6.45</v>
      </c>
      <c r="AQ16" s="568">
        <v>14</v>
      </c>
      <c r="AR16" s="607">
        <f>IF(ISNUMBER(System!$C17),PlotData!O17+ Querkraft!$E$2*$AF$1*O16,PlotData!$CB$4)</f>
        <v>0.9</v>
      </c>
      <c r="AS16" s="566">
        <f>IF(ISNUMBER(System!$C17),PlotData!P17+Querkraft!$E$2* $AF$1*P16,PlotData!$CB$4)</f>
        <v>0.9</v>
      </c>
      <c r="AT16" s="566">
        <f>IF(ISNUMBER(System!$C17),PlotData!Q17+Querkraft!$E$2*$AF$1*Q16,PlotData!$CB$4)</f>
        <v>0.9</v>
      </c>
      <c r="AU16" s="566">
        <f>IF(ISNUMBER(System!$C17),PlotData!R17+ Querkraft!$E$2*$AF$1*R16,PlotData!$CB$4)</f>
        <v>0.9</v>
      </c>
      <c r="AV16" s="566">
        <f>IF(ISNUMBER(System!$C17),PlotData!S17+ Querkraft!$E$2*$AF$1*S16,PlotData!$CB$4)</f>
        <v>0.9</v>
      </c>
      <c r="AW16" s="566">
        <f>IF(ISNUMBER(System!$C17),PlotData!T17+ Querkraft!$E$2*$AF$1*T16,PlotData!$CB$4)</f>
        <v>0.9</v>
      </c>
      <c r="AX16" s="566">
        <f>IF(ISNUMBER(System!$C17),PlotData!U17+ Querkraft!$E$2*$AF$1*U16,PlotData!$CB$4)</f>
        <v>0.9</v>
      </c>
      <c r="AY16" s="566">
        <f>IF(ISNUMBER(System!$C17),PlotData!V17+ Querkraft!$E$2*$AF$1*V16,PlotData!$CB$4)</f>
        <v>0.9</v>
      </c>
      <c r="AZ16" s="566">
        <f>IF(ISNUMBER(System!$C17),PlotData!W17+ Querkraft!$E$2*$AF$1*W16,PlotData!$CB$4)</f>
        <v>0.9</v>
      </c>
      <c r="BA16" s="566">
        <f>IF(ISNUMBER(System!$C17),PlotData!X17+Querkraft!$E$2* $AF$1*X16,PlotData!$CB$4)</f>
        <v>0.9</v>
      </c>
      <c r="BB16" s="567">
        <f>IF(ISNUMBER(System!$C17),PlotData!Y17+Querkraft!$E$2*$AF$1*Y16,PlotData!$CB$4)</f>
        <v>0.9</v>
      </c>
      <c r="BC16" s="565">
        <f>IF(ISNUMBER(System!$C17),PlotData!Y17, PlotData!CB$4)</f>
        <v>0.9</v>
      </c>
      <c r="BD16" s="566">
        <f>IF(ISNUMBER(System!$C17),PlotData!O17, PlotData!$CB$4)</f>
        <v>0.9</v>
      </c>
      <c r="BE16" s="567">
        <f>IF(ISNUMBER(System!$C17), AR16,PlotData!$CB$4)</f>
        <v>0.9</v>
      </c>
    </row>
    <row r="17" spans="1:57" x14ac:dyDescent="0.35">
      <c r="A17" s="568">
        <v>15</v>
      </c>
      <c r="B17" s="565">
        <v>0</v>
      </c>
      <c r="C17" s="566">
        <v>0</v>
      </c>
      <c r="D17" s="566">
        <v>0</v>
      </c>
      <c r="E17" s="566">
        <v>0</v>
      </c>
      <c r="F17" s="566">
        <v>0</v>
      </c>
      <c r="G17" s="566">
        <v>0</v>
      </c>
      <c r="H17" s="566">
        <v>0</v>
      </c>
      <c r="I17" s="566">
        <v>0</v>
      </c>
      <c r="J17" s="566">
        <v>0</v>
      </c>
      <c r="K17" s="566">
        <v>0</v>
      </c>
      <c r="L17" s="567">
        <v>0</v>
      </c>
      <c r="N17" s="568">
        <v>15</v>
      </c>
      <c r="O17" s="565">
        <v>0</v>
      </c>
      <c r="P17" s="566">
        <v>0</v>
      </c>
      <c r="Q17" s="566">
        <v>0</v>
      </c>
      <c r="R17" s="566">
        <v>0</v>
      </c>
      <c r="S17" s="566">
        <v>0</v>
      </c>
      <c r="T17" s="566">
        <v>0</v>
      </c>
      <c r="U17" s="566">
        <v>0</v>
      </c>
      <c r="V17" s="566">
        <v>0</v>
      </c>
      <c r="W17" s="566">
        <v>0</v>
      </c>
      <c r="X17" s="566">
        <v>0</v>
      </c>
      <c r="Y17" s="567">
        <v>0</v>
      </c>
      <c r="AA17" s="569">
        <v>15</v>
      </c>
      <c r="AB17" s="565">
        <f>IF(ISNUMBER(System!$C18),PlotData!B18+ Querkraft!$E$2*$AF$1*B17,PlotData!$CB$3)</f>
        <v>-5.85</v>
      </c>
      <c r="AC17" s="566">
        <f>IF(ISNUMBER(System!$C18),PlotData!C18+ Querkraft!$E$2*$AF$1*C17,PlotData!$CB$3)</f>
        <v>-5.6999999999999993</v>
      </c>
      <c r="AD17" s="566">
        <f>IF(ISNUMBER(System!$C18),PlotData!D18+ Querkraft!$E$2*$AF$1*D17,PlotData!$CB$3)</f>
        <v>-5.5499999999999989</v>
      </c>
      <c r="AE17" s="566">
        <f>IF(ISNUMBER(System!$C18),PlotData!E18+ Querkraft!$E$2*$AF$1*E17,PlotData!$CB$3)</f>
        <v>-5.3999999999999986</v>
      </c>
      <c r="AF17" s="566">
        <f>IF(ISNUMBER(System!$C18),PlotData!F18+Querkraft!$E$2* $AF$1*F17,PlotData!$CB$3)</f>
        <v>-5.2499999999999982</v>
      </c>
      <c r="AG17" s="566">
        <f>IF(ISNUMBER(System!$C18),PlotData!G18+ Querkraft!$E$2*$AF$1*G17,PlotData!$CB$3)</f>
        <v>-5.0999999999999979</v>
      </c>
      <c r="AH17" s="566">
        <f>IF(ISNUMBER(System!$C18),PlotData!H18+Querkraft!$E$2* $AF$1*H17,PlotData!$CB$3)</f>
        <v>-4.9499999999999975</v>
      </c>
      <c r="AI17" s="566">
        <f>IF(ISNUMBER(System!$C18),PlotData!I18+ Querkraft!$E$2*$AF$1*I17,PlotData!$CB$3)</f>
        <v>-4.7999999999999972</v>
      </c>
      <c r="AJ17" s="566">
        <f>IF(ISNUMBER(System!$C18),PlotData!J18+Querkraft!$E$2*$AF$1*J17,PlotData!$CB$3)</f>
        <v>-4.6499999999999968</v>
      </c>
      <c r="AK17" s="566">
        <f>IF(ISNUMBER(System!$C18),PlotData!K18+ Querkraft!$E$2*$AF$1*K17,PlotData!$CB$3)</f>
        <v>-4.4999999999999964</v>
      </c>
      <c r="AL17" s="567">
        <f>IF(ISNUMBER(System!$C18),PlotData!L18+ Querkraft!$E$2*$AF$1*L17,PlotData!$CB$3)</f>
        <v>-4.3499999999999961</v>
      </c>
      <c r="AM17" s="565">
        <f>IF(ISNUMBER(System!$C18),PlotData!L18,PlotData!$CB$3)</f>
        <v>-4.3499999999999961</v>
      </c>
      <c r="AN17" s="566">
        <f>IF(ISNUMBER(System!$C18),PlotData!B18,PlotData!$CB$3)</f>
        <v>-5.85</v>
      </c>
      <c r="AO17" s="447">
        <f>IF(ISNUMBER(System!$C18),AB17,PlotData!$CB$3)</f>
        <v>-5.85</v>
      </c>
      <c r="AQ17" s="568">
        <v>15</v>
      </c>
      <c r="AR17" s="607">
        <f>IF(ISNUMBER(System!$C18),PlotData!O18+ Querkraft!$E$2*$AF$1*O17,PlotData!$CB$4)</f>
        <v>0.9</v>
      </c>
      <c r="AS17" s="566">
        <f>IF(ISNUMBER(System!$C18),PlotData!P18+Querkraft!$E$2* $AF$1*P17,PlotData!$CB$4)</f>
        <v>0.9</v>
      </c>
      <c r="AT17" s="566">
        <f>IF(ISNUMBER(System!$C18),PlotData!Q18+Querkraft!$E$2*$AF$1*Q17,PlotData!$CB$4)</f>
        <v>0.9</v>
      </c>
      <c r="AU17" s="566">
        <f>IF(ISNUMBER(System!$C18),PlotData!R18+ Querkraft!$E$2*$AF$1*R17,PlotData!$CB$4)</f>
        <v>0.9</v>
      </c>
      <c r="AV17" s="566">
        <f>IF(ISNUMBER(System!$C18),PlotData!S18+ Querkraft!$E$2*$AF$1*S17,PlotData!$CB$4)</f>
        <v>0.9</v>
      </c>
      <c r="AW17" s="566">
        <f>IF(ISNUMBER(System!$C18),PlotData!T18+ Querkraft!$E$2*$AF$1*T17,PlotData!$CB$4)</f>
        <v>0.9</v>
      </c>
      <c r="AX17" s="566">
        <f>IF(ISNUMBER(System!$C18),PlotData!U18+ Querkraft!$E$2*$AF$1*U17,PlotData!$CB$4)</f>
        <v>0.9</v>
      </c>
      <c r="AY17" s="566">
        <f>IF(ISNUMBER(System!$C18),PlotData!V18+ Querkraft!$E$2*$AF$1*V17,PlotData!$CB$4)</f>
        <v>0.9</v>
      </c>
      <c r="AZ17" s="566">
        <f>IF(ISNUMBER(System!$C18),PlotData!W18+ Querkraft!$E$2*$AF$1*W17,PlotData!$CB$4)</f>
        <v>0.9</v>
      </c>
      <c r="BA17" s="566">
        <f>IF(ISNUMBER(System!$C18),PlotData!X18+Querkraft!$E$2* $AF$1*X17,PlotData!$CB$4)</f>
        <v>0.9</v>
      </c>
      <c r="BB17" s="567">
        <f>IF(ISNUMBER(System!$C18),PlotData!Y18+Querkraft!$E$2*$AF$1*Y17,PlotData!$CB$4)</f>
        <v>0.9</v>
      </c>
      <c r="BC17" s="565">
        <f>IF(ISNUMBER(System!$C18),PlotData!Y18, PlotData!CB$4)</f>
        <v>0.9</v>
      </c>
      <c r="BD17" s="566">
        <f>IF(ISNUMBER(System!$C18),PlotData!O18, PlotData!$CB$4)</f>
        <v>0.9</v>
      </c>
      <c r="BE17" s="567">
        <f>IF(ISNUMBER(System!$C18), AR17,PlotData!$CB$4)</f>
        <v>0.9</v>
      </c>
    </row>
    <row r="18" spans="1:57" x14ac:dyDescent="0.35">
      <c r="A18" s="568">
        <v>16</v>
      </c>
      <c r="B18" s="565">
        <v>0</v>
      </c>
      <c r="C18" s="566">
        <v>0</v>
      </c>
      <c r="D18" s="566">
        <v>0</v>
      </c>
      <c r="E18" s="566">
        <v>0</v>
      </c>
      <c r="F18" s="566">
        <v>0</v>
      </c>
      <c r="G18" s="566">
        <v>0</v>
      </c>
      <c r="H18" s="566">
        <v>0</v>
      </c>
      <c r="I18" s="566">
        <v>0</v>
      </c>
      <c r="J18" s="566">
        <v>0</v>
      </c>
      <c r="K18" s="566">
        <v>0</v>
      </c>
      <c r="L18" s="567">
        <v>0</v>
      </c>
      <c r="N18" s="568">
        <v>16</v>
      </c>
      <c r="O18" s="565">
        <v>0</v>
      </c>
      <c r="P18" s="566">
        <v>0</v>
      </c>
      <c r="Q18" s="566">
        <v>0</v>
      </c>
      <c r="R18" s="566">
        <v>0</v>
      </c>
      <c r="S18" s="566">
        <v>0</v>
      </c>
      <c r="T18" s="566">
        <v>0</v>
      </c>
      <c r="U18" s="566">
        <v>0</v>
      </c>
      <c r="V18" s="566">
        <v>0</v>
      </c>
      <c r="W18" s="566">
        <v>0</v>
      </c>
      <c r="X18" s="566">
        <v>0</v>
      </c>
      <c r="Y18" s="567">
        <v>0</v>
      </c>
      <c r="AA18" s="569">
        <v>16</v>
      </c>
      <c r="AB18" s="565">
        <f>IF(ISNUMBER(System!$C19),PlotData!B19+ Querkraft!$E$2*$AF$1*B18,PlotData!$CB$3)</f>
        <v>-4.3499999999999996</v>
      </c>
      <c r="AC18" s="566">
        <f>IF(ISNUMBER(System!$C19),PlotData!C19+ Querkraft!$E$2*$AF$1*C18,PlotData!$CB$3)</f>
        <v>-4.29</v>
      </c>
      <c r="AD18" s="566">
        <f>IF(ISNUMBER(System!$C19),PlotData!D19+ Querkraft!$E$2*$AF$1*D18,PlotData!$CB$3)</f>
        <v>-4.2300000000000004</v>
      </c>
      <c r="AE18" s="566">
        <f>IF(ISNUMBER(System!$C19),PlotData!E19+ Querkraft!$E$2*$AF$1*E18,PlotData!$CB$3)</f>
        <v>-4.1700000000000008</v>
      </c>
      <c r="AF18" s="566">
        <f>IF(ISNUMBER(System!$C19),PlotData!F19+Querkraft!$E$2* $AF$1*F18,PlotData!$CB$3)</f>
        <v>-4.1100000000000012</v>
      </c>
      <c r="AG18" s="566">
        <f>IF(ISNUMBER(System!$C19),PlotData!G19+ Querkraft!$E$2*$AF$1*G18,PlotData!$CB$3)</f>
        <v>-4.0500000000000016</v>
      </c>
      <c r="AH18" s="566">
        <f>IF(ISNUMBER(System!$C19),PlotData!H19+Querkraft!$E$2* $AF$1*H18,PlotData!$CB$3)</f>
        <v>-3.9900000000000015</v>
      </c>
      <c r="AI18" s="566">
        <f>IF(ISNUMBER(System!$C19),PlotData!I19+ Querkraft!$E$2*$AF$1*I18,PlotData!$CB$3)</f>
        <v>-3.9300000000000015</v>
      </c>
      <c r="AJ18" s="566">
        <f>IF(ISNUMBER(System!$C19),PlotData!J19+Querkraft!$E$2*$AF$1*J18,PlotData!$CB$3)</f>
        <v>-3.8700000000000014</v>
      </c>
      <c r="AK18" s="566">
        <f>IF(ISNUMBER(System!$C19),PlotData!K19+ Querkraft!$E$2*$AF$1*K18,PlotData!$CB$3)</f>
        <v>-3.8100000000000014</v>
      </c>
      <c r="AL18" s="567">
        <f>IF(ISNUMBER(System!$C19),PlotData!L19+ Querkraft!$E$2*$AF$1*L18,PlotData!$CB$3)</f>
        <v>-3.7500000000000013</v>
      </c>
      <c r="AM18" s="565">
        <f>IF(ISNUMBER(System!$C19),PlotData!L19,PlotData!$CB$3)</f>
        <v>-3.7500000000000013</v>
      </c>
      <c r="AN18" s="566">
        <f>IF(ISNUMBER(System!$C19),PlotData!B19,PlotData!$CB$3)</f>
        <v>-4.3499999999999996</v>
      </c>
      <c r="AO18" s="447">
        <f>IF(ISNUMBER(System!$C19),AB18,PlotData!$CB$3)</f>
        <v>-4.3499999999999996</v>
      </c>
      <c r="AQ18" s="568">
        <v>16</v>
      </c>
      <c r="AR18" s="607">
        <f>IF(ISNUMBER(System!$C19),PlotData!O19+ Querkraft!$E$2*$AF$1*O18,PlotData!$CB$4)</f>
        <v>0.9</v>
      </c>
      <c r="AS18" s="566">
        <f>IF(ISNUMBER(System!$C19),PlotData!P19+Querkraft!$E$2* $AF$1*P18,PlotData!$CB$4)</f>
        <v>0.9</v>
      </c>
      <c r="AT18" s="566">
        <f>IF(ISNUMBER(System!$C19),PlotData!Q19+Querkraft!$E$2*$AF$1*Q18,PlotData!$CB$4)</f>
        <v>0.9</v>
      </c>
      <c r="AU18" s="566">
        <f>IF(ISNUMBER(System!$C19),PlotData!R19+ Querkraft!$E$2*$AF$1*R18,PlotData!$CB$4)</f>
        <v>0.9</v>
      </c>
      <c r="AV18" s="566">
        <f>IF(ISNUMBER(System!$C19),PlotData!S19+ Querkraft!$E$2*$AF$1*S18,PlotData!$CB$4)</f>
        <v>0.9</v>
      </c>
      <c r="AW18" s="566">
        <f>IF(ISNUMBER(System!$C19),PlotData!T19+ Querkraft!$E$2*$AF$1*T18,PlotData!$CB$4)</f>
        <v>0.9</v>
      </c>
      <c r="AX18" s="566">
        <f>IF(ISNUMBER(System!$C19),PlotData!U19+ Querkraft!$E$2*$AF$1*U18,PlotData!$CB$4)</f>
        <v>0.9</v>
      </c>
      <c r="AY18" s="566">
        <f>IF(ISNUMBER(System!$C19),PlotData!V19+ Querkraft!$E$2*$AF$1*V18,PlotData!$CB$4)</f>
        <v>0.9</v>
      </c>
      <c r="AZ18" s="566">
        <f>IF(ISNUMBER(System!$C19),PlotData!W19+ Querkraft!$E$2*$AF$1*W18,PlotData!$CB$4)</f>
        <v>0.9</v>
      </c>
      <c r="BA18" s="566">
        <f>IF(ISNUMBER(System!$C19),PlotData!X19+Querkraft!$E$2* $AF$1*X18,PlotData!$CB$4)</f>
        <v>0.9</v>
      </c>
      <c r="BB18" s="567">
        <f>IF(ISNUMBER(System!$C19),PlotData!Y19+Querkraft!$E$2*$AF$1*Y18,PlotData!$CB$4)</f>
        <v>0.9</v>
      </c>
      <c r="BC18" s="565">
        <f>IF(ISNUMBER(System!$C19),PlotData!Y19, PlotData!CB$4)</f>
        <v>0.9</v>
      </c>
      <c r="BD18" s="566">
        <f>IF(ISNUMBER(System!$C19),PlotData!O19, PlotData!$CB$4)</f>
        <v>0.9</v>
      </c>
      <c r="BE18" s="567">
        <f>IF(ISNUMBER(System!$C19), AR18,PlotData!$CB$4)</f>
        <v>0.9</v>
      </c>
    </row>
    <row r="19" spans="1:57" x14ac:dyDescent="0.35">
      <c r="A19" s="568">
        <v>17</v>
      </c>
      <c r="B19" s="565">
        <v>0</v>
      </c>
      <c r="C19" s="566">
        <v>0</v>
      </c>
      <c r="D19" s="566">
        <v>0</v>
      </c>
      <c r="E19" s="566">
        <v>0</v>
      </c>
      <c r="F19" s="566">
        <v>0</v>
      </c>
      <c r="G19" s="566">
        <v>0</v>
      </c>
      <c r="H19" s="566">
        <v>0</v>
      </c>
      <c r="I19" s="566">
        <v>0</v>
      </c>
      <c r="J19" s="566">
        <v>0</v>
      </c>
      <c r="K19" s="566">
        <v>0</v>
      </c>
      <c r="L19" s="567">
        <v>0</v>
      </c>
      <c r="N19" s="568">
        <v>17</v>
      </c>
      <c r="O19" s="565">
        <v>0</v>
      </c>
      <c r="P19" s="566">
        <v>0</v>
      </c>
      <c r="Q19" s="566">
        <v>0</v>
      </c>
      <c r="R19" s="566">
        <v>0</v>
      </c>
      <c r="S19" s="566">
        <v>0</v>
      </c>
      <c r="T19" s="566">
        <v>0</v>
      </c>
      <c r="U19" s="566">
        <v>0</v>
      </c>
      <c r="V19" s="566">
        <v>0</v>
      </c>
      <c r="W19" s="566">
        <v>0</v>
      </c>
      <c r="X19" s="566">
        <v>0</v>
      </c>
      <c r="Y19" s="567">
        <v>0</v>
      </c>
      <c r="AA19" s="569">
        <v>17</v>
      </c>
      <c r="AB19" s="565">
        <f>IF(ISNUMBER(System!$C20),PlotData!B20+ Querkraft!$E$2*$AF$1*B19,PlotData!$CB$3)</f>
        <v>-5.55</v>
      </c>
      <c r="AC19" s="566">
        <f>IF(ISNUMBER(System!$C20),PlotData!C20+ Querkraft!$E$2*$AF$1*C19,PlotData!$CB$3)</f>
        <v>-5.58</v>
      </c>
      <c r="AD19" s="566">
        <f>IF(ISNUMBER(System!$C20),PlotData!D20+ Querkraft!$E$2*$AF$1*D19,PlotData!$CB$3)</f>
        <v>-5.61</v>
      </c>
      <c r="AE19" s="566">
        <f>IF(ISNUMBER(System!$C20),PlotData!E20+ Querkraft!$E$2*$AF$1*E19,PlotData!$CB$3)</f>
        <v>-5.6400000000000006</v>
      </c>
      <c r="AF19" s="566">
        <f>IF(ISNUMBER(System!$C20),PlotData!F20+Querkraft!$E$2* $AF$1*F19,PlotData!$CB$3)</f>
        <v>-5.6700000000000008</v>
      </c>
      <c r="AG19" s="566">
        <f>IF(ISNUMBER(System!$C20),PlotData!G20+ Querkraft!$E$2*$AF$1*G19,PlotData!$CB$3)</f>
        <v>-5.7000000000000011</v>
      </c>
      <c r="AH19" s="566">
        <f>IF(ISNUMBER(System!$C20),PlotData!H20+Querkraft!$E$2* $AF$1*H19,PlotData!$CB$3)</f>
        <v>-5.7300000000000013</v>
      </c>
      <c r="AI19" s="566">
        <f>IF(ISNUMBER(System!$C20),PlotData!I20+ Querkraft!$E$2*$AF$1*I19,PlotData!$CB$3)</f>
        <v>-5.7600000000000016</v>
      </c>
      <c r="AJ19" s="566">
        <f>IF(ISNUMBER(System!$C20),PlotData!J20+Querkraft!$E$2*$AF$1*J19,PlotData!$CB$3)</f>
        <v>-5.7900000000000018</v>
      </c>
      <c r="AK19" s="566">
        <f>IF(ISNUMBER(System!$C20),PlotData!K20+ Querkraft!$E$2*$AF$1*K19,PlotData!$CB$3)</f>
        <v>-5.8200000000000021</v>
      </c>
      <c r="AL19" s="567">
        <f>IF(ISNUMBER(System!$C20),PlotData!L20+ Querkraft!$E$2*$AF$1*L19,PlotData!$CB$3)</f>
        <v>-5.8500000000000023</v>
      </c>
      <c r="AM19" s="565">
        <f>IF(ISNUMBER(System!$C20),PlotData!L20,PlotData!$CB$3)</f>
        <v>-5.8500000000000023</v>
      </c>
      <c r="AN19" s="566">
        <f>IF(ISNUMBER(System!$C20),PlotData!B20,PlotData!$CB$3)</f>
        <v>-5.55</v>
      </c>
      <c r="AO19" s="447">
        <f>IF(ISNUMBER(System!$C20),AB19,PlotData!$CB$3)</f>
        <v>-5.55</v>
      </c>
      <c r="AQ19" s="568">
        <v>17</v>
      </c>
      <c r="AR19" s="607">
        <f>IF(ISNUMBER(System!$C20),PlotData!O20+ Querkraft!$E$2*$AF$1*O19,PlotData!$CB$4)</f>
        <v>2.85</v>
      </c>
      <c r="AS19" s="566">
        <f>IF(ISNUMBER(System!$C20),PlotData!P20+Querkraft!$E$2* $AF$1*P19,PlotData!$CB$4)</f>
        <v>2.6550000000000002</v>
      </c>
      <c r="AT19" s="566">
        <f>IF(ISNUMBER(System!$C20),PlotData!Q20+Querkraft!$E$2*$AF$1*Q19,PlotData!$CB$4)</f>
        <v>2.4600000000000004</v>
      </c>
      <c r="AU19" s="566">
        <f>IF(ISNUMBER(System!$C20),PlotData!R20+ Querkraft!$E$2*$AF$1*R19,PlotData!$CB$4)</f>
        <v>2.2650000000000006</v>
      </c>
      <c r="AV19" s="566">
        <f>IF(ISNUMBER(System!$C20),PlotData!S20+ Querkraft!$E$2*$AF$1*S19,PlotData!$CB$4)</f>
        <v>2.0700000000000007</v>
      </c>
      <c r="AW19" s="566">
        <f>IF(ISNUMBER(System!$C20),PlotData!T20+ Querkraft!$E$2*$AF$1*T19,PlotData!$CB$4)</f>
        <v>1.8750000000000007</v>
      </c>
      <c r="AX19" s="566">
        <f>IF(ISNUMBER(System!$C20),PlotData!U20+ Querkraft!$E$2*$AF$1*U19,PlotData!$CB$4)</f>
        <v>1.6800000000000006</v>
      </c>
      <c r="AY19" s="566">
        <f>IF(ISNUMBER(System!$C20),PlotData!V20+ Querkraft!$E$2*$AF$1*V19,PlotData!$CB$4)</f>
        <v>1.4850000000000005</v>
      </c>
      <c r="AZ19" s="566">
        <f>IF(ISNUMBER(System!$C20),PlotData!W20+ Querkraft!$E$2*$AF$1*W19,PlotData!$CB$4)</f>
        <v>1.2900000000000005</v>
      </c>
      <c r="BA19" s="566">
        <f>IF(ISNUMBER(System!$C20),PlotData!X20+Querkraft!$E$2* $AF$1*X19,PlotData!$CB$4)</f>
        <v>1.0950000000000004</v>
      </c>
      <c r="BB19" s="567">
        <f>IF(ISNUMBER(System!$C20),PlotData!Y20+Querkraft!$E$2*$AF$1*Y19,PlotData!$CB$4)</f>
        <v>0.90000000000000036</v>
      </c>
      <c r="BC19" s="565">
        <f>IF(ISNUMBER(System!$C20),PlotData!Y20, PlotData!CB$4)</f>
        <v>0.90000000000000036</v>
      </c>
      <c r="BD19" s="566">
        <f>IF(ISNUMBER(System!$C20),PlotData!O20, PlotData!$CB$4)</f>
        <v>2.85</v>
      </c>
      <c r="BE19" s="567">
        <f>IF(ISNUMBER(System!$C20), AR19,PlotData!$CB$4)</f>
        <v>2.85</v>
      </c>
    </row>
    <row r="20" spans="1:57" x14ac:dyDescent="0.35">
      <c r="A20" s="568">
        <v>18</v>
      </c>
      <c r="B20" s="565">
        <v>0</v>
      </c>
      <c r="C20" s="566">
        <v>0</v>
      </c>
      <c r="D20" s="566">
        <v>0</v>
      </c>
      <c r="E20" s="566">
        <v>0</v>
      </c>
      <c r="F20" s="566">
        <v>0</v>
      </c>
      <c r="G20" s="566">
        <v>0</v>
      </c>
      <c r="H20" s="566">
        <v>0</v>
      </c>
      <c r="I20" s="566">
        <v>0</v>
      </c>
      <c r="J20" s="566">
        <v>0</v>
      </c>
      <c r="K20" s="566">
        <v>0</v>
      </c>
      <c r="L20" s="567">
        <v>0</v>
      </c>
      <c r="N20" s="568">
        <v>18</v>
      </c>
      <c r="O20" s="565">
        <v>0</v>
      </c>
      <c r="P20" s="566">
        <v>0</v>
      </c>
      <c r="Q20" s="566">
        <v>0</v>
      </c>
      <c r="R20" s="566">
        <v>0</v>
      </c>
      <c r="S20" s="566">
        <v>0</v>
      </c>
      <c r="T20" s="566">
        <v>0</v>
      </c>
      <c r="U20" s="566">
        <v>0</v>
      </c>
      <c r="V20" s="566">
        <v>0</v>
      </c>
      <c r="W20" s="566">
        <v>0</v>
      </c>
      <c r="X20" s="566">
        <v>0</v>
      </c>
      <c r="Y20" s="567">
        <v>0</v>
      </c>
      <c r="AA20" s="569">
        <v>18</v>
      </c>
      <c r="AB20" s="565">
        <f>IF(ISNUMBER(System!$C21),PlotData!B21+ Querkraft!$E$2*$AF$1*B20,PlotData!$CB$3)</f>
        <v>-4.6500000000000004</v>
      </c>
      <c r="AC20" s="566">
        <f>IF(ISNUMBER(System!$C21),PlotData!C21+ Querkraft!$E$2*$AF$1*C20,PlotData!$CB$3)</f>
        <v>-4.62</v>
      </c>
      <c r="AD20" s="566">
        <f>IF(ISNUMBER(System!$C21),PlotData!D21+ Querkraft!$E$2*$AF$1*D20,PlotData!$CB$3)</f>
        <v>-4.59</v>
      </c>
      <c r="AE20" s="566">
        <f>IF(ISNUMBER(System!$C21),PlotData!E21+ Querkraft!$E$2*$AF$1*E20,PlotData!$CB$3)</f>
        <v>-4.5599999999999996</v>
      </c>
      <c r="AF20" s="566">
        <f>IF(ISNUMBER(System!$C21),PlotData!F21+Querkraft!$E$2* $AF$1*F20,PlotData!$CB$3)</f>
        <v>-4.5299999999999994</v>
      </c>
      <c r="AG20" s="566">
        <f>IF(ISNUMBER(System!$C21),PlotData!G21+ Querkraft!$E$2*$AF$1*G20,PlotData!$CB$3)</f>
        <v>-4.4999999999999991</v>
      </c>
      <c r="AH20" s="566">
        <f>IF(ISNUMBER(System!$C21),PlotData!H21+Querkraft!$E$2* $AF$1*H20,PlotData!$CB$3)</f>
        <v>-4.4699999999999989</v>
      </c>
      <c r="AI20" s="566">
        <f>IF(ISNUMBER(System!$C21),PlotData!I21+ Querkraft!$E$2*$AF$1*I20,PlotData!$CB$3)</f>
        <v>-4.4399999999999986</v>
      </c>
      <c r="AJ20" s="566">
        <f>IF(ISNUMBER(System!$C21),PlotData!J21+Querkraft!$E$2*$AF$1*J20,PlotData!$CB$3)</f>
        <v>-4.4099999999999984</v>
      </c>
      <c r="AK20" s="566">
        <f>IF(ISNUMBER(System!$C21),PlotData!K21+ Querkraft!$E$2*$AF$1*K20,PlotData!$CB$3)</f>
        <v>-4.3799999999999981</v>
      </c>
      <c r="AL20" s="567">
        <f>IF(ISNUMBER(System!$C21),PlotData!L21+ Querkraft!$E$2*$AF$1*L20,PlotData!$CB$3)</f>
        <v>-4.3499999999999979</v>
      </c>
      <c r="AM20" s="565">
        <f>IF(ISNUMBER(System!$C21),PlotData!L21,PlotData!$CB$3)</f>
        <v>-4.3499999999999979</v>
      </c>
      <c r="AN20" s="566">
        <f>IF(ISNUMBER(System!$C21),PlotData!B21,PlotData!$CB$3)</f>
        <v>-4.6500000000000004</v>
      </c>
      <c r="AO20" s="447">
        <f>IF(ISNUMBER(System!$C21),AB20,PlotData!$CB$3)</f>
        <v>-4.6500000000000004</v>
      </c>
      <c r="AQ20" s="568">
        <v>18</v>
      </c>
      <c r="AR20" s="607">
        <f>IF(ISNUMBER(System!$C21),PlotData!O21+ Querkraft!$E$2*$AF$1*O20,PlotData!$CB$4)</f>
        <v>2.85</v>
      </c>
      <c r="AS20" s="566">
        <f>IF(ISNUMBER(System!$C21),PlotData!P21+Querkraft!$E$2* $AF$1*P20,PlotData!$CB$4)</f>
        <v>2.6550000000000002</v>
      </c>
      <c r="AT20" s="566">
        <f>IF(ISNUMBER(System!$C21),PlotData!Q21+Querkraft!$E$2*$AF$1*Q20,PlotData!$CB$4)</f>
        <v>2.4600000000000004</v>
      </c>
      <c r="AU20" s="566">
        <f>IF(ISNUMBER(System!$C21),PlotData!R21+ Querkraft!$E$2*$AF$1*R20,PlotData!$CB$4)</f>
        <v>2.2650000000000006</v>
      </c>
      <c r="AV20" s="566">
        <f>IF(ISNUMBER(System!$C21),PlotData!S21+ Querkraft!$E$2*$AF$1*S20,PlotData!$CB$4)</f>
        <v>2.0700000000000007</v>
      </c>
      <c r="AW20" s="566">
        <f>IF(ISNUMBER(System!$C21),PlotData!T21+ Querkraft!$E$2*$AF$1*T20,PlotData!$CB$4)</f>
        <v>1.8750000000000007</v>
      </c>
      <c r="AX20" s="566">
        <f>IF(ISNUMBER(System!$C21),PlotData!U21+ Querkraft!$E$2*$AF$1*U20,PlotData!$CB$4)</f>
        <v>1.6800000000000006</v>
      </c>
      <c r="AY20" s="566">
        <f>IF(ISNUMBER(System!$C21),PlotData!V21+ Querkraft!$E$2*$AF$1*V20,PlotData!$CB$4)</f>
        <v>1.4850000000000005</v>
      </c>
      <c r="AZ20" s="566">
        <f>IF(ISNUMBER(System!$C21),PlotData!W21+ Querkraft!$E$2*$AF$1*W20,PlotData!$CB$4)</f>
        <v>1.2900000000000005</v>
      </c>
      <c r="BA20" s="566">
        <f>IF(ISNUMBER(System!$C21),PlotData!X21+Querkraft!$E$2* $AF$1*X20,PlotData!$CB$4)</f>
        <v>1.0950000000000004</v>
      </c>
      <c r="BB20" s="567">
        <f>IF(ISNUMBER(System!$C21),PlotData!Y21+Querkraft!$E$2*$AF$1*Y20,PlotData!$CB$4)</f>
        <v>0.90000000000000036</v>
      </c>
      <c r="BC20" s="565">
        <f>IF(ISNUMBER(System!$C21),PlotData!Y21, PlotData!CB$4)</f>
        <v>0.90000000000000036</v>
      </c>
      <c r="BD20" s="566">
        <f>IF(ISNUMBER(System!$C21),PlotData!O21, PlotData!$CB$4)</f>
        <v>2.85</v>
      </c>
      <c r="BE20" s="567">
        <f>IF(ISNUMBER(System!$C21), AR20,PlotData!$CB$4)</f>
        <v>2.85</v>
      </c>
    </row>
    <row r="21" spans="1:57" x14ac:dyDescent="0.35">
      <c r="A21" s="608">
        <v>19</v>
      </c>
      <c r="B21" s="576">
        <v>0</v>
      </c>
      <c r="C21" s="577">
        <v>0</v>
      </c>
      <c r="D21" s="577">
        <v>0</v>
      </c>
      <c r="E21" s="577">
        <v>0</v>
      </c>
      <c r="F21" s="577">
        <v>0</v>
      </c>
      <c r="G21" s="577">
        <v>0</v>
      </c>
      <c r="H21" s="577">
        <v>0</v>
      </c>
      <c r="I21" s="577">
        <v>0</v>
      </c>
      <c r="J21" s="577">
        <v>0</v>
      </c>
      <c r="K21" s="577">
        <v>0</v>
      </c>
      <c r="L21" s="578">
        <v>0</v>
      </c>
      <c r="N21" s="568">
        <v>19</v>
      </c>
      <c r="O21" s="565">
        <v>-95.067897206101634</v>
      </c>
      <c r="P21" s="566">
        <v>-95.067897206101634</v>
      </c>
      <c r="Q21" s="566">
        <v>-95.067897206101634</v>
      </c>
      <c r="R21" s="566">
        <v>-95.067897206101634</v>
      </c>
      <c r="S21" s="566">
        <v>-95.067897206101634</v>
      </c>
      <c r="T21" s="566">
        <v>-95.067897206101634</v>
      </c>
      <c r="U21" s="566">
        <v>-95.067897206101634</v>
      </c>
      <c r="V21" s="566">
        <v>-95.067897206101634</v>
      </c>
      <c r="W21" s="566">
        <v>-95.067897206101634</v>
      </c>
      <c r="X21" s="566">
        <v>-95.067897206101634</v>
      </c>
      <c r="Y21" s="567">
        <v>-95.067897206101634</v>
      </c>
      <c r="AA21" s="569">
        <v>19</v>
      </c>
      <c r="AB21" s="565">
        <f>IF(ISNUMBER(System!$C22),PlotData!B22+ Querkraft!$E$2*$AF$1*B21,PlotData!$CB$3)</f>
        <v>8.6999999999999993</v>
      </c>
      <c r="AC21" s="566">
        <f>IF(ISNUMBER(System!$C22),PlotData!C22+ Querkraft!$E$2*$AF$1*C21,PlotData!$CB$3)</f>
        <v>9.0449999999999999</v>
      </c>
      <c r="AD21" s="566">
        <f>IF(ISNUMBER(System!$C22),PlotData!D22+ Querkraft!$E$2*$AF$1*D21,PlotData!$CB$3)</f>
        <v>9.39</v>
      </c>
      <c r="AE21" s="566">
        <f>IF(ISNUMBER(System!$C22),PlotData!E22+ Querkraft!$E$2*$AF$1*E21,PlotData!$CB$3)</f>
        <v>9.7350000000000012</v>
      </c>
      <c r="AF21" s="566">
        <f>IF(ISNUMBER(System!$C22),PlotData!F22+Querkraft!$E$2* $AF$1*F21,PlotData!$CB$3)</f>
        <v>10.080000000000002</v>
      </c>
      <c r="AG21" s="566">
        <f>IF(ISNUMBER(System!$C22),PlotData!G22+ Querkraft!$E$2*$AF$1*G21,PlotData!$CB$3)</f>
        <v>10.425000000000002</v>
      </c>
      <c r="AH21" s="566">
        <f>IF(ISNUMBER(System!$C22),PlotData!H22+Querkraft!$E$2* $AF$1*H21,PlotData!$CB$3)</f>
        <v>10.770000000000003</v>
      </c>
      <c r="AI21" s="566">
        <f>IF(ISNUMBER(System!$C22),PlotData!I22+ Querkraft!$E$2*$AF$1*I21,PlotData!$CB$3)</f>
        <v>11.115000000000004</v>
      </c>
      <c r="AJ21" s="566">
        <f>IF(ISNUMBER(System!$C22),PlotData!J22+Querkraft!$E$2*$AF$1*J21,PlotData!$CB$3)</f>
        <v>11.460000000000004</v>
      </c>
      <c r="AK21" s="566">
        <f>IF(ISNUMBER(System!$C22),PlotData!K22+ Querkraft!$E$2*$AF$1*K21,PlotData!$CB$3)</f>
        <v>11.805000000000005</v>
      </c>
      <c r="AL21" s="567">
        <f>IF(ISNUMBER(System!$C22),PlotData!L22+ Querkraft!$E$2*$AF$1*L21,PlotData!$CB$3)</f>
        <v>12.150000000000006</v>
      </c>
      <c r="AM21" s="565">
        <f>IF(ISNUMBER(System!$C22),PlotData!L22,PlotData!$CB$3)</f>
        <v>12.150000000000006</v>
      </c>
      <c r="AN21" s="566">
        <f>IF(ISNUMBER(System!$C22),PlotData!B22,PlotData!$CB$3)</f>
        <v>8.6999999999999993</v>
      </c>
      <c r="AO21" s="447">
        <f>IF(ISNUMBER(System!$C22),AB21,PlotData!$CB$3)</f>
        <v>8.6999999999999993</v>
      </c>
      <c r="AQ21" s="568">
        <v>19</v>
      </c>
      <c r="AR21" s="607">
        <f>IF(ISNUMBER(System!$C22),PlotData!O22+ Querkraft!$E$2*$AF$1*O21,PlotData!$CB$4)</f>
        <v>-4.2786534524921533</v>
      </c>
      <c r="AS21" s="566">
        <f>IF(ISNUMBER(System!$C22),PlotData!P22+Querkraft!$E$2* $AF$1*P21,PlotData!$CB$4)</f>
        <v>-4.2786534524921533</v>
      </c>
      <c r="AT21" s="566">
        <f>IF(ISNUMBER(System!$C22),PlotData!Q22+Querkraft!$E$2*$AF$1*Q21,PlotData!$CB$4)</f>
        <v>-4.2786534524921533</v>
      </c>
      <c r="AU21" s="566">
        <f>IF(ISNUMBER(System!$C22),PlotData!R22+ Querkraft!$E$2*$AF$1*R21,PlotData!$CB$4)</f>
        <v>-4.2786534524921533</v>
      </c>
      <c r="AV21" s="566">
        <f>IF(ISNUMBER(System!$C22),PlotData!S22+ Querkraft!$E$2*$AF$1*S21,PlotData!$CB$4)</f>
        <v>-4.2786534524921533</v>
      </c>
      <c r="AW21" s="566">
        <f>IF(ISNUMBER(System!$C22),PlotData!T22+ Querkraft!$E$2*$AF$1*T21,PlotData!$CB$4)</f>
        <v>-4.2786534524921533</v>
      </c>
      <c r="AX21" s="566">
        <f>IF(ISNUMBER(System!$C22),PlotData!U22+ Querkraft!$E$2*$AF$1*U21,PlotData!$CB$4)</f>
        <v>-4.2786534524921533</v>
      </c>
      <c r="AY21" s="566">
        <f>IF(ISNUMBER(System!$C22),PlotData!V22+ Querkraft!$E$2*$AF$1*V21,PlotData!$CB$4)</f>
        <v>-4.2786534524921533</v>
      </c>
      <c r="AZ21" s="566">
        <f>IF(ISNUMBER(System!$C22),PlotData!W22+ Querkraft!$E$2*$AF$1*W21,PlotData!$CB$4)</f>
        <v>-4.2786534524921533</v>
      </c>
      <c r="BA21" s="566">
        <f>IF(ISNUMBER(System!$C22),PlotData!X22+Querkraft!$E$2* $AF$1*X21,PlotData!$CB$4)</f>
        <v>-4.2786534524921533</v>
      </c>
      <c r="BB21" s="567">
        <f>IF(ISNUMBER(System!$C22),PlotData!Y22+Querkraft!$E$2*$AF$1*Y21,PlotData!$CB$4)</f>
        <v>-4.2786534524921533</v>
      </c>
      <c r="BC21" s="565">
        <f>IF(ISNUMBER(System!$C22),PlotData!Y22, PlotData!CB$4)</f>
        <v>0.9</v>
      </c>
      <c r="BD21" s="566">
        <f>IF(ISNUMBER(System!$C22),PlotData!O22, PlotData!$CB$4)</f>
        <v>0.9</v>
      </c>
      <c r="BE21" s="567">
        <f>IF(ISNUMBER(System!$C22), AR21,PlotData!$CB$4)</f>
        <v>-4.2786534524921533</v>
      </c>
    </row>
    <row r="22" spans="1:57" x14ac:dyDescent="0.35">
      <c r="A22" s="568">
        <v>20</v>
      </c>
      <c r="B22" s="565">
        <v>-0.19648797071980462</v>
      </c>
      <c r="C22" s="566">
        <v>-0.19648797071980462</v>
      </c>
      <c r="D22" s="566">
        <v>-0.19648797071980462</v>
      </c>
      <c r="E22" s="566">
        <v>-0.19648797071980462</v>
      </c>
      <c r="F22" s="566">
        <v>-0.19648797071980462</v>
      </c>
      <c r="G22" s="566">
        <v>-0.19648797071980462</v>
      </c>
      <c r="H22" s="566">
        <v>-0.19648797071980462</v>
      </c>
      <c r="I22" s="566">
        <v>-0.19648797071980462</v>
      </c>
      <c r="J22" s="566">
        <v>-0.19648797071980462</v>
      </c>
      <c r="K22" s="566">
        <v>-0.19648797071980462</v>
      </c>
      <c r="L22" s="567">
        <v>-0.19648797071980462</v>
      </c>
      <c r="N22" s="608">
        <v>20</v>
      </c>
      <c r="O22" s="576">
        <v>12.93798982885056</v>
      </c>
      <c r="P22" s="577">
        <v>12.93798982885056</v>
      </c>
      <c r="Q22" s="577">
        <v>12.93798982885056</v>
      </c>
      <c r="R22" s="577">
        <v>12.93798982885056</v>
      </c>
      <c r="S22" s="577">
        <v>12.93798982885056</v>
      </c>
      <c r="T22" s="577">
        <v>12.93798982885056</v>
      </c>
      <c r="U22" s="577">
        <v>12.93798982885056</v>
      </c>
      <c r="V22" s="577">
        <v>12.93798982885056</v>
      </c>
      <c r="W22" s="577">
        <v>12.93798982885056</v>
      </c>
      <c r="X22" s="577">
        <v>12.93798982885056</v>
      </c>
      <c r="Y22" s="578">
        <v>12.93798982885056</v>
      </c>
      <c r="AA22" s="579">
        <v>20</v>
      </c>
      <c r="AB22" s="565">
        <f>IF(ISNUMBER(System!$C23),PlotData!B23+ Querkraft!$E$2*$AF$1*B22,PlotData!$CB$3)</f>
        <v>3.374946669666151</v>
      </c>
      <c r="AC22" s="566">
        <f>IF(ISNUMBER(System!$C23),PlotData!C23+ Querkraft!$E$2*$AF$1*C22,PlotData!$CB$3)</f>
        <v>3.4769819696661508</v>
      </c>
      <c r="AD22" s="566">
        <f>IF(ISNUMBER(System!$C23),PlotData!D23+ Querkraft!$E$2*$AF$1*D22,PlotData!$CB$3)</f>
        <v>3.5790172696661506</v>
      </c>
      <c r="AE22" s="566">
        <f>IF(ISNUMBER(System!$C23),PlotData!E23+ Querkraft!$E$2*$AF$1*E22,PlotData!$CB$3)</f>
        <v>3.6810525696661505</v>
      </c>
      <c r="AF22" s="566">
        <f>IF(ISNUMBER(System!$C23),PlotData!F23+Querkraft!$E$2* $AF$1*F22,PlotData!$CB$3)</f>
        <v>3.7830878696661503</v>
      </c>
      <c r="AG22" s="566">
        <f>IF(ISNUMBER(System!$C23),PlotData!G23+ Querkraft!$E$2*$AF$1*G22,PlotData!$CB$3)</f>
        <v>3.8851231696661501</v>
      </c>
      <c r="AH22" s="566">
        <f>IF(ISNUMBER(System!$C23),PlotData!H23+Querkraft!$E$2* $AF$1*H22,PlotData!$CB$3)</f>
        <v>3.98715846966615</v>
      </c>
      <c r="AI22" s="566">
        <f>IF(ISNUMBER(System!$C23),PlotData!I23+ Querkraft!$E$2*$AF$1*I22,PlotData!$CB$3)</f>
        <v>4.0891937696661502</v>
      </c>
      <c r="AJ22" s="566">
        <f>IF(ISNUMBER(System!$C23),PlotData!J23+Querkraft!$E$2*$AF$1*J22,PlotData!$CB$3)</f>
        <v>4.1912290696661501</v>
      </c>
      <c r="AK22" s="566">
        <f>IF(ISNUMBER(System!$C23),PlotData!K23+ Querkraft!$E$2*$AF$1*K22,PlotData!$CB$3)</f>
        <v>4.2932643696661499</v>
      </c>
      <c r="AL22" s="567">
        <f>IF(ISNUMBER(System!$C23),PlotData!L23+ Querkraft!$E$2*$AF$1*L22,PlotData!$CB$3)</f>
        <v>4.3952996696661497</v>
      </c>
      <c r="AM22" s="565">
        <f>IF(ISNUMBER(System!$C23),PlotData!L23,PlotData!$CB$3)</f>
        <v>4.4060029999999983</v>
      </c>
      <c r="AN22" s="566">
        <f>IF(ISNUMBER(System!$C23),PlotData!B23,PlotData!$CB$3)</f>
        <v>3.38565</v>
      </c>
      <c r="AO22" s="447">
        <f>IF(ISNUMBER(System!$C23),AB22,PlotData!$CB$3)</f>
        <v>3.374946669666151</v>
      </c>
      <c r="AQ22" s="608">
        <v>20</v>
      </c>
      <c r="AR22" s="607">
        <f>IF(ISNUMBER(System!$C23),PlotData!O23+ Querkraft!$E$2*$AF$1*O22,PlotData!$CB$4)</f>
        <v>3.43410482654452</v>
      </c>
      <c r="AS22" s="566">
        <f>IF(ISNUMBER(System!$C23),PlotData!P23+Querkraft!$E$2* $AF$1*P22,PlotData!$CB$4)</f>
        <v>3.4356544265445201</v>
      </c>
      <c r="AT22" s="566">
        <f>IF(ISNUMBER(System!$C23),PlotData!Q23+Querkraft!$E$2*$AF$1*Q22,PlotData!$CB$4)</f>
        <v>3.4372040265445203</v>
      </c>
      <c r="AU22" s="566">
        <f>IF(ISNUMBER(System!$C23),PlotData!R23+ Querkraft!$E$2*$AF$1*R22,PlotData!$CB$4)</f>
        <v>3.4387536265445204</v>
      </c>
      <c r="AV22" s="566">
        <f>IF(ISNUMBER(System!$C23),PlotData!S23+ Querkraft!$E$2*$AF$1*S22,PlotData!$CB$4)</f>
        <v>3.4403032265445206</v>
      </c>
      <c r="AW22" s="566">
        <f>IF(ISNUMBER(System!$C23),PlotData!T23+ Querkraft!$E$2*$AF$1*T22,PlotData!$CB$4)</f>
        <v>3.4418528265445207</v>
      </c>
      <c r="AX22" s="566">
        <f>IF(ISNUMBER(System!$C23),PlotData!U23+ Querkraft!$E$2*$AF$1*U22,PlotData!$CB$4)</f>
        <v>3.4434024265445209</v>
      </c>
      <c r="AY22" s="566">
        <f>IF(ISNUMBER(System!$C23),PlotData!V23+ Querkraft!$E$2*$AF$1*V22,PlotData!$CB$4)</f>
        <v>3.444952026544521</v>
      </c>
      <c r="AZ22" s="566">
        <f>IF(ISNUMBER(System!$C23),PlotData!W23+ Querkraft!$E$2*$AF$1*W22,PlotData!$CB$4)</f>
        <v>3.4465016265445212</v>
      </c>
      <c r="BA22" s="566">
        <f>IF(ISNUMBER(System!$C23),PlotData!X23+Querkraft!$E$2* $AF$1*X22,PlotData!$CB$4)</f>
        <v>3.4480512265445213</v>
      </c>
      <c r="BB22" s="567">
        <f>IF(ISNUMBER(System!$C23),PlotData!Y23+Querkraft!$E$2*$AF$1*Y22,PlotData!$CB$4)</f>
        <v>3.4496008265445215</v>
      </c>
      <c r="BC22" s="565">
        <f>IF(ISNUMBER(System!$C23),PlotData!Y23, PlotData!CB$4)</f>
        <v>2.7448270000000017</v>
      </c>
      <c r="BD22" s="566">
        <f>IF(ISNUMBER(System!$C23),PlotData!O23, PlotData!$CB$4)</f>
        <v>2.7293310000000002</v>
      </c>
      <c r="BE22" s="567">
        <f>IF(ISNUMBER(System!$C23), AR22,PlotData!$CB$4)</f>
        <v>3.43410482654452</v>
      </c>
    </row>
    <row r="23" spans="1:57" x14ac:dyDescent="0.35">
      <c r="A23" s="609">
        <v>21</v>
      </c>
      <c r="B23" s="565">
        <v>7.5156352138192507E-8</v>
      </c>
      <c r="C23" s="566">
        <v>7.5156352138192507E-8</v>
      </c>
      <c r="D23" s="566">
        <v>7.5156352138192507E-8</v>
      </c>
      <c r="E23" s="566">
        <v>7.5156352138192507E-8</v>
      </c>
      <c r="F23" s="566">
        <v>7.5156352138192507E-8</v>
      </c>
      <c r="G23" s="566">
        <v>7.5156352138192507E-8</v>
      </c>
      <c r="H23" s="566">
        <v>7.5156352138192507E-8</v>
      </c>
      <c r="I23" s="566">
        <v>7.5156352138192507E-8</v>
      </c>
      <c r="J23" s="566">
        <v>7.5156352138192507E-8</v>
      </c>
      <c r="K23" s="566">
        <v>7.5156352138192507E-8</v>
      </c>
      <c r="L23" s="567">
        <v>7.5156352138192507E-8</v>
      </c>
      <c r="N23" s="609">
        <v>21</v>
      </c>
      <c r="O23" s="565">
        <v>1.5814074244901047E-3</v>
      </c>
      <c r="P23" s="566">
        <v>1.5814074244901047E-3</v>
      </c>
      <c r="Q23" s="566">
        <v>1.5814074244901047E-3</v>
      </c>
      <c r="R23" s="566">
        <v>1.5814074244901047E-3</v>
      </c>
      <c r="S23" s="566">
        <v>1.5814074244901047E-3</v>
      </c>
      <c r="T23" s="566">
        <v>1.5814074244901047E-3</v>
      </c>
      <c r="U23" s="566">
        <v>1.5814074244901047E-3</v>
      </c>
      <c r="V23" s="566">
        <v>1.5814074244901047E-3</v>
      </c>
      <c r="W23" s="566">
        <v>1.5814074244901047E-3</v>
      </c>
      <c r="X23" s="566">
        <v>1.5814074244901047E-3</v>
      </c>
      <c r="Y23" s="567">
        <v>1.5814074244901047E-3</v>
      </c>
      <c r="AA23" s="580">
        <v>21</v>
      </c>
      <c r="AB23" s="565">
        <f>IF(ISNUMBER(System!$C24),PlotData!B24+ Querkraft!$E$2*$AF$1*B23,PlotData!$CB$3)</f>
        <v>12.150000004094007</v>
      </c>
      <c r="AC23" s="566">
        <f>IF(ISNUMBER(System!$C24),PlotData!C24+ Querkraft!$E$2*$AF$1*C23,PlotData!$CB$3)</f>
        <v>12.495081704094007</v>
      </c>
      <c r="AD23" s="566">
        <f>IF(ISNUMBER(System!$C24),PlotData!D24+ Querkraft!$E$2*$AF$1*D23,PlotData!$CB$3)</f>
        <v>12.840163404094007</v>
      </c>
      <c r="AE23" s="566">
        <f>IF(ISNUMBER(System!$C24),PlotData!E24+ Querkraft!$E$2*$AF$1*E23,PlotData!$CB$3)</f>
        <v>13.185245104094006</v>
      </c>
      <c r="AF23" s="566">
        <f>IF(ISNUMBER(System!$C24),PlotData!F24+Querkraft!$E$2* $AF$1*F23,PlotData!$CB$3)</f>
        <v>13.530326804094006</v>
      </c>
      <c r="AG23" s="566">
        <f>IF(ISNUMBER(System!$C24),PlotData!G24+ Querkraft!$E$2*$AF$1*G23,PlotData!$CB$3)</f>
        <v>13.875408504094006</v>
      </c>
      <c r="AH23" s="566">
        <f>IF(ISNUMBER(System!$C24),PlotData!H24+Querkraft!$E$2* $AF$1*H23,PlotData!$CB$3)</f>
        <v>14.220490204094006</v>
      </c>
      <c r="AI23" s="566">
        <f>IF(ISNUMBER(System!$C24),PlotData!I24+ Querkraft!$E$2*$AF$1*I23,PlotData!$CB$3)</f>
        <v>14.565571904094005</v>
      </c>
      <c r="AJ23" s="566">
        <f>IF(ISNUMBER(System!$C24),PlotData!J24+Querkraft!$E$2*$AF$1*J23,PlotData!$CB$3)</f>
        <v>14.910653604094005</v>
      </c>
      <c r="AK23" s="566">
        <f>IF(ISNUMBER(System!$C24),PlotData!K24+ Querkraft!$E$2*$AF$1*K23,PlotData!$CB$3)</f>
        <v>15.255735304094005</v>
      </c>
      <c r="AL23" s="567">
        <f>IF(ISNUMBER(System!$C24),PlotData!L24+ Querkraft!$E$2*$AF$1*L23,PlotData!$CB$3)</f>
        <v>15.600817004094004</v>
      </c>
      <c r="AM23" s="565">
        <f>IF(ISNUMBER(System!$C24),PlotData!L24,PlotData!$CB$3)</f>
        <v>15.600816999999997</v>
      </c>
      <c r="AN23" s="566">
        <f>IF(ISNUMBER(System!$C24),PlotData!B24,PlotData!$CB$3)</f>
        <v>12.15</v>
      </c>
      <c r="AO23" s="447">
        <f>IF(ISNUMBER(System!$C24),AB23,PlotData!$CB$3)</f>
        <v>12.150000004094007</v>
      </c>
      <c r="AQ23" s="609">
        <v>21</v>
      </c>
      <c r="AR23" s="607">
        <f>IF(ISNUMBER(System!$C24),PlotData!O24+ Querkraft!$E$2*$AF$1*O23,PlotData!$CB$4)</f>
        <v>0.90008614433746104</v>
      </c>
      <c r="AS23" s="566">
        <f>IF(ISNUMBER(System!$C24),PlotData!P24+Querkraft!$E$2* $AF$1*P23,PlotData!$CB$4)</f>
        <v>0.90006974433746101</v>
      </c>
      <c r="AT23" s="566">
        <f>IF(ISNUMBER(System!$C24),PlotData!Q24+Querkraft!$E$2*$AF$1*Q23,PlotData!$CB$4)</f>
        <v>0.90005334433746098</v>
      </c>
      <c r="AU23" s="566">
        <f>IF(ISNUMBER(System!$C24),PlotData!R24+ Querkraft!$E$2*$AF$1*R23,PlotData!$CB$4)</f>
        <v>0.90003694433746095</v>
      </c>
      <c r="AV23" s="566">
        <f>IF(ISNUMBER(System!$C24),PlotData!S24+ Querkraft!$E$2*$AF$1*S23,PlotData!$CB$4)</f>
        <v>0.90002054433746093</v>
      </c>
      <c r="AW23" s="566">
        <f>IF(ISNUMBER(System!$C24),PlotData!T24+ Querkraft!$E$2*$AF$1*T23,PlotData!$CB$4)</f>
        <v>0.9000041443374609</v>
      </c>
      <c r="AX23" s="566">
        <f>IF(ISNUMBER(System!$C24),PlotData!U24+ Querkraft!$E$2*$AF$1*U23,PlotData!$CB$4)</f>
        <v>0.89998774433746087</v>
      </c>
      <c r="AY23" s="566">
        <f>IF(ISNUMBER(System!$C24),PlotData!V24+ Querkraft!$E$2*$AF$1*V23,PlotData!$CB$4)</f>
        <v>0.89997134433746084</v>
      </c>
      <c r="AZ23" s="566">
        <f>IF(ISNUMBER(System!$C24),PlotData!W24+ Querkraft!$E$2*$AF$1*W23,PlotData!$CB$4)</f>
        <v>0.89995494433746082</v>
      </c>
      <c r="BA23" s="566">
        <f>IF(ISNUMBER(System!$C24),PlotData!X24+Querkraft!$E$2* $AF$1*X23,PlotData!$CB$4)</f>
        <v>0.89993854433746079</v>
      </c>
      <c r="BB23" s="567">
        <f>IF(ISNUMBER(System!$C24),PlotData!Y24+Querkraft!$E$2*$AF$1*Y23,PlotData!$CB$4)</f>
        <v>0.89992214433746076</v>
      </c>
      <c r="BC23" s="565">
        <f>IF(ISNUMBER(System!$C24),PlotData!Y24, PlotData!CB$4)</f>
        <v>0.89983599999999975</v>
      </c>
      <c r="BD23" s="566">
        <f>IF(ISNUMBER(System!$C24),PlotData!O24, PlotData!$CB$4)</f>
        <v>0.9</v>
      </c>
      <c r="BE23" s="567">
        <f>IF(ISNUMBER(System!$C24), AR23,PlotData!$CB$4)</f>
        <v>0.90008614433746104</v>
      </c>
    </row>
    <row r="24" spans="1:57" x14ac:dyDescent="0.35">
      <c r="A24" s="609">
        <v>22</v>
      </c>
      <c r="B24" s="565">
        <v>6.6656507900769322E-4</v>
      </c>
      <c r="C24" s="566">
        <v>6.6656507900769322E-4</v>
      </c>
      <c r="D24" s="566">
        <v>6.6656507900769322E-4</v>
      </c>
      <c r="E24" s="566">
        <v>6.6656507900769322E-4</v>
      </c>
      <c r="F24" s="566">
        <v>6.6656507900769322E-4</v>
      </c>
      <c r="G24" s="566">
        <v>6.6656507900769322E-4</v>
      </c>
      <c r="H24" s="566">
        <v>6.6656507900769322E-4</v>
      </c>
      <c r="I24" s="566">
        <v>6.6656507900769322E-4</v>
      </c>
      <c r="J24" s="566">
        <v>6.6656507900769322E-4</v>
      </c>
      <c r="K24" s="566">
        <v>6.6656507900769322E-4</v>
      </c>
      <c r="L24" s="567">
        <v>6.6656507900769322E-4</v>
      </c>
      <c r="N24" s="609">
        <v>22</v>
      </c>
      <c r="O24" s="565">
        <v>1.0665043486006688E-3</v>
      </c>
      <c r="P24" s="566">
        <v>1.0665043486006688E-3</v>
      </c>
      <c r="Q24" s="566">
        <v>1.0665043486006688E-3</v>
      </c>
      <c r="R24" s="566">
        <v>1.0665043486006688E-3</v>
      </c>
      <c r="S24" s="566">
        <v>1.0665043486006688E-3</v>
      </c>
      <c r="T24" s="566">
        <v>1.0665043486006688E-3</v>
      </c>
      <c r="U24" s="566">
        <v>1.0665043486006688E-3</v>
      </c>
      <c r="V24" s="566">
        <v>1.0665043486006688E-3</v>
      </c>
      <c r="W24" s="566">
        <v>1.0665043486006688E-3</v>
      </c>
      <c r="X24" s="566">
        <v>1.0665043486006688E-3</v>
      </c>
      <c r="Y24" s="567">
        <v>1.0665043486006688E-3</v>
      </c>
      <c r="AA24" s="580">
        <v>22</v>
      </c>
      <c r="AB24" s="565">
        <f>IF(ISNUMBER(System!$C25),PlotData!B25+ Querkraft!$E$2*$AF$1*B24,PlotData!$CB$3)</f>
        <v>12.150036309938994</v>
      </c>
      <c r="AC24" s="566">
        <f>IF(ISNUMBER(System!$C25),PlotData!C25+ Querkraft!$E$2*$AF$1*C24,PlotData!$CB$3)</f>
        <v>12.630036409938993</v>
      </c>
      <c r="AD24" s="566">
        <f>IF(ISNUMBER(System!$C25),PlotData!D25+ Querkraft!$E$2*$AF$1*D24,PlotData!$CB$3)</f>
        <v>13.110036509938993</v>
      </c>
      <c r="AE24" s="566">
        <f>IF(ISNUMBER(System!$C25),PlotData!E25+ Querkraft!$E$2*$AF$1*E24,PlotData!$CB$3)</f>
        <v>13.590036609938993</v>
      </c>
      <c r="AF24" s="566">
        <f>IF(ISNUMBER(System!$C25),PlotData!F25+Querkraft!$E$2* $AF$1*F24,PlotData!$CB$3)</f>
        <v>14.070036709938993</v>
      </c>
      <c r="AG24" s="566">
        <f>IF(ISNUMBER(System!$C25),PlotData!G25+ Querkraft!$E$2*$AF$1*G24,PlotData!$CB$3)</f>
        <v>14.550036809938993</v>
      </c>
      <c r="AH24" s="566">
        <f>IF(ISNUMBER(System!$C25),PlotData!H25+Querkraft!$E$2* $AF$1*H24,PlotData!$CB$3)</f>
        <v>15.030036909938993</v>
      </c>
      <c r="AI24" s="566">
        <f>IF(ISNUMBER(System!$C25),PlotData!I25+ Querkraft!$E$2*$AF$1*I24,PlotData!$CB$3)</f>
        <v>15.510037009938992</v>
      </c>
      <c r="AJ24" s="566">
        <f>IF(ISNUMBER(System!$C25),PlotData!J25+Querkraft!$E$2*$AF$1*J24,PlotData!$CB$3)</f>
        <v>15.990037109938992</v>
      </c>
      <c r="AK24" s="566">
        <f>IF(ISNUMBER(System!$C25),PlotData!K25+ Querkraft!$E$2*$AF$1*K24,PlotData!$CB$3)</f>
        <v>16.47003720993899</v>
      </c>
      <c r="AL24" s="567">
        <f>IF(ISNUMBER(System!$C25),PlotData!L25+ Querkraft!$E$2*$AF$1*L24,PlotData!$CB$3)</f>
        <v>16.950037309938992</v>
      </c>
      <c r="AM24" s="565">
        <f>IF(ISNUMBER(System!$C25),PlotData!L25,PlotData!$CB$3)</f>
        <v>16.950001</v>
      </c>
      <c r="AN24" s="566">
        <f>IF(ISNUMBER(System!$C25),PlotData!B25,PlotData!$CB$3)</f>
        <v>12.15</v>
      </c>
      <c r="AO24" s="447">
        <f>IF(ISNUMBER(System!$C25),AB24,PlotData!$CB$3)</f>
        <v>12.150036309938994</v>
      </c>
      <c r="AQ24" s="609">
        <v>22</v>
      </c>
      <c r="AR24" s="607">
        <f>IF(ISNUMBER(System!$C25),PlotData!O25+ Querkraft!$E$2*$AF$1*O24,PlotData!$CB$4)</f>
        <v>0.9000580959144916</v>
      </c>
      <c r="AS24" s="566">
        <f>IF(ISNUMBER(System!$C25),PlotData!P25+Querkraft!$E$2* $AF$1*P24,PlotData!$CB$4)</f>
        <v>0.60005809591449155</v>
      </c>
      <c r="AT24" s="566">
        <f>IF(ISNUMBER(System!$C25),PlotData!Q25+Querkraft!$E$2*$AF$1*Q24,PlotData!$CB$4)</f>
        <v>0.30005809591449151</v>
      </c>
      <c r="AU24" s="566">
        <f>IF(ISNUMBER(System!$C25),PlotData!R25+ Querkraft!$E$2*$AF$1*R24,PlotData!$CB$4)</f>
        <v>5.809591449145584E-5</v>
      </c>
      <c r="AV24" s="566">
        <f>IF(ISNUMBER(System!$C25),PlotData!S25+ Querkraft!$E$2*$AF$1*S24,PlotData!$CB$4)</f>
        <v>-0.29994190408550858</v>
      </c>
      <c r="AW24" s="566">
        <f>IF(ISNUMBER(System!$C25),PlotData!T25+ Querkraft!$E$2*$AF$1*T24,PlotData!$CB$4)</f>
        <v>-0.59994190408550863</v>
      </c>
      <c r="AX24" s="566">
        <f>IF(ISNUMBER(System!$C25),PlotData!U25+ Querkraft!$E$2*$AF$1*U24,PlotData!$CB$4)</f>
        <v>-0.89994190408550867</v>
      </c>
      <c r="AY24" s="566">
        <f>IF(ISNUMBER(System!$C25),PlotData!V25+ Querkraft!$E$2*$AF$1*V24,PlotData!$CB$4)</f>
        <v>-1.1999419040855086</v>
      </c>
      <c r="AZ24" s="566">
        <f>IF(ISNUMBER(System!$C25),PlotData!W25+ Querkraft!$E$2*$AF$1*W24,PlotData!$CB$4)</f>
        <v>-1.4999419040855086</v>
      </c>
      <c r="BA24" s="566">
        <f>IF(ISNUMBER(System!$C25),PlotData!X25+Querkraft!$E$2* $AF$1*X24,PlotData!$CB$4)</f>
        <v>-1.7999419040855087</v>
      </c>
      <c r="BB24" s="567">
        <f>IF(ISNUMBER(System!$C25),PlotData!Y25+Querkraft!$E$2*$AF$1*Y24,PlotData!$CB$4)</f>
        <v>-2.099941904085509</v>
      </c>
      <c r="BC24" s="565">
        <f>IF(ISNUMBER(System!$C25),PlotData!Y25, PlotData!CB$4)</f>
        <v>-2.1000000000000005</v>
      </c>
      <c r="BD24" s="566">
        <f>IF(ISNUMBER(System!$C25),PlotData!O25, PlotData!$CB$4)</f>
        <v>0.9</v>
      </c>
      <c r="BE24" s="567">
        <f>IF(ISNUMBER(System!$C25), AR24,PlotData!$CB$4)</f>
        <v>0.9000580959144916</v>
      </c>
    </row>
    <row r="25" spans="1:57" x14ac:dyDescent="0.35">
      <c r="A25" s="609">
        <v>23</v>
      </c>
      <c r="B25" s="565">
        <v>6.6520213749695148E-4</v>
      </c>
      <c r="C25" s="566">
        <v>6.6520213749695148E-4</v>
      </c>
      <c r="D25" s="566">
        <v>6.6520213749695148E-4</v>
      </c>
      <c r="E25" s="566">
        <v>6.6520213749695148E-4</v>
      </c>
      <c r="F25" s="566">
        <v>6.6520213749695148E-4</v>
      </c>
      <c r="G25" s="566">
        <v>6.6520213749695148E-4</v>
      </c>
      <c r="H25" s="566">
        <v>6.6520213749695148E-4</v>
      </c>
      <c r="I25" s="566">
        <v>6.6520213749695148E-4</v>
      </c>
      <c r="J25" s="566">
        <v>6.6520213749695148E-4</v>
      </c>
      <c r="K25" s="566">
        <v>6.6520213749695148E-4</v>
      </c>
      <c r="L25" s="567">
        <v>6.6520213749695148E-4</v>
      </c>
      <c r="N25" s="609">
        <v>23</v>
      </c>
      <c r="O25" s="565">
        <v>-1.0643231982610764E-3</v>
      </c>
      <c r="P25" s="566">
        <v>-1.0643231982610764E-3</v>
      </c>
      <c r="Q25" s="566">
        <v>-1.0643231982610764E-3</v>
      </c>
      <c r="R25" s="566">
        <v>-1.0643231982610764E-3</v>
      </c>
      <c r="S25" s="566">
        <v>-1.0643231982610764E-3</v>
      </c>
      <c r="T25" s="566">
        <v>-1.0643231982610764E-3</v>
      </c>
      <c r="U25" s="566">
        <v>-1.0643231982610764E-3</v>
      </c>
      <c r="V25" s="566">
        <v>-1.0643231982610764E-3</v>
      </c>
      <c r="W25" s="566">
        <v>-1.0643231982610764E-3</v>
      </c>
      <c r="X25" s="566">
        <v>-1.0643231982610764E-3</v>
      </c>
      <c r="Y25" s="567">
        <v>-1.0643231982610764E-3</v>
      </c>
      <c r="AA25" s="580">
        <v>23</v>
      </c>
      <c r="AB25" s="565">
        <f>IF(ISNUMBER(System!$C26),PlotData!B26+ Querkraft!$E$2*$AF$1*B25,PlotData!$CB$3)</f>
        <v>21.750036235695195</v>
      </c>
      <c r="AC25" s="566">
        <f>IF(ISNUMBER(System!$C26),PlotData!C26+ Querkraft!$E$2*$AF$1*C25,PlotData!$CB$3)</f>
        <v>21.270036335695195</v>
      </c>
      <c r="AD25" s="566">
        <f>IF(ISNUMBER(System!$C26),PlotData!D26+ Querkraft!$E$2*$AF$1*D25,PlotData!$CB$3)</f>
        <v>20.790036435695196</v>
      </c>
      <c r="AE25" s="566">
        <f>IF(ISNUMBER(System!$C26),PlotData!E26+ Querkraft!$E$2*$AF$1*E25,PlotData!$CB$3)</f>
        <v>20.310036535695197</v>
      </c>
      <c r="AF25" s="566">
        <f>IF(ISNUMBER(System!$C26),PlotData!F26+Querkraft!$E$2* $AF$1*F25,PlotData!$CB$3)</f>
        <v>19.830036635695198</v>
      </c>
      <c r="AG25" s="566">
        <f>IF(ISNUMBER(System!$C26),PlotData!G26+ Querkraft!$E$2*$AF$1*G25,PlotData!$CB$3)</f>
        <v>19.350036735695198</v>
      </c>
      <c r="AH25" s="566">
        <f>IF(ISNUMBER(System!$C26),PlotData!H26+Querkraft!$E$2* $AF$1*H25,PlotData!$CB$3)</f>
        <v>18.870036835695199</v>
      </c>
      <c r="AI25" s="566">
        <f>IF(ISNUMBER(System!$C26),PlotData!I26+ Querkraft!$E$2*$AF$1*I25,PlotData!$CB$3)</f>
        <v>18.3900369356952</v>
      </c>
      <c r="AJ25" s="566">
        <f>IF(ISNUMBER(System!$C26),PlotData!J26+Querkraft!$E$2*$AF$1*J25,PlotData!$CB$3)</f>
        <v>17.910037035695201</v>
      </c>
      <c r="AK25" s="566">
        <f>IF(ISNUMBER(System!$C26),PlotData!K26+ Querkraft!$E$2*$AF$1*K25,PlotData!$CB$3)</f>
        <v>17.430037135695201</v>
      </c>
      <c r="AL25" s="567">
        <f>IF(ISNUMBER(System!$C26),PlotData!L26+ Querkraft!$E$2*$AF$1*L25,PlotData!$CB$3)</f>
        <v>16.950037235695202</v>
      </c>
      <c r="AM25" s="565">
        <f>IF(ISNUMBER(System!$C26),PlotData!L26,PlotData!$CB$3)</f>
        <v>16.950001000000007</v>
      </c>
      <c r="AN25" s="566">
        <f>IF(ISNUMBER(System!$C26),PlotData!B26,PlotData!$CB$3)</f>
        <v>21.75</v>
      </c>
      <c r="AO25" s="447">
        <f>IF(ISNUMBER(System!$C26),AB25,PlotData!$CB$3)</f>
        <v>21.750036235695195</v>
      </c>
      <c r="AQ25" s="609">
        <v>23</v>
      </c>
      <c r="AR25" s="607">
        <f>IF(ISNUMBER(System!$C26),PlotData!O26+ Querkraft!$E$2*$AF$1*O25,PlotData!$CB$4)</f>
        <v>0.89994202289976721</v>
      </c>
      <c r="AS25" s="566">
        <f>IF(ISNUMBER(System!$C26),PlotData!P26+Querkraft!$E$2* $AF$1*P25,PlotData!$CB$4)</f>
        <v>0.59994202289976717</v>
      </c>
      <c r="AT25" s="566">
        <f>IF(ISNUMBER(System!$C26),PlotData!Q26+Querkraft!$E$2*$AF$1*Q25,PlotData!$CB$4)</f>
        <v>0.29994202289976712</v>
      </c>
      <c r="AU25" s="566">
        <f>IF(ISNUMBER(System!$C26),PlotData!R26+ Querkraft!$E$2*$AF$1*R25,PlotData!$CB$4)</f>
        <v>-5.797710023293767E-5</v>
      </c>
      <c r="AV25" s="566">
        <f>IF(ISNUMBER(System!$C26),PlotData!S26+ Querkraft!$E$2*$AF$1*S25,PlotData!$CB$4)</f>
        <v>-0.30005797710023296</v>
      </c>
      <c r="AW25" s="566">
        <f>IF(ISNUMBER(System!$C26),PlotData!T26+ Querkraft!$E$2*$AF$1*T25,PlotData!$CB$4)</f>
        <v>-0.60005797710023301</v>
      </c>
      <c r="AX25" s="566">
        <f>IF(ISNUMBER(System!$C26),PlotData!U26+ Querkraft!$E$2*$AF$1*U25,PlotData!$CB$4)</f>
        <v>-0.90005797710023305</v>
      </c>
      <c r="AY25" s="566">
        <f>IF(ISNUMBER(System!$C26),PlotData!V26+ Querkraft!$E$2*$AF$1*V25,PlotData!$CB$4)</f>
        <v>-1.2000579771002331</v>
      </c>
      <c r="AZ25" s="566">
        <f>IF(ISNUMBER(System!$C26),PlotData!W26+ Querkraft!$E$2*$AF$1*W25,PlotData!$CB$4)</f>
        <v>-1.5000579771002331</v>
      </c>
      <c r="BA25" s="566">
        <f>IF(ISNUMBER(System!$C26),PlotData!X26+Querkraft!$E$2* $AF$1*X25,PlotData!$CB$4)</f>
        <v>-1.8000579771002332</v>
      </c>
      <c r="BB25" s="567">
        <f>IF(ISNUMBER(System!$C26),PlotData!Y26+Querkraft!$E$2*$AF$1*Y25,PlotData!$CB$4)</f>
        <v>-2.1000579771002332</v>
      </c>
      <c r="BC25" s="565">
        <f>IF(ISNUMBER(System!$C26),PlotData!Y26, PlotData!CB$4)</f>
        <v>-2.1000000000000005</v>
      </c>
      <c r="BD25" s="566">
        <f>IF(ISNUMBER(System!$C26),PlotData!O26, PlotData!$CB$4)</f>
        <v>0.9</v>
      </c>
      <c r="BE25" s="567">
        <f>IF(ISNUMBER(System!$C26), AR25,PlotData!$CB$4)</f>
        <v>0.89994202289976721</v>
      </c>
    </row>
    <row r="26" spans="1:57" x14ac:dyDescent="0.35">
      <c r="A26" s="609">
        <v>24</v>
      </c>
      <c r="B26" s="565">
        <v>-4.8118000548873392E-7</v>
      </c>
      <c r="C26" s="566">
        <v>-4.8118000548873392E-7</v>
      </c>
      <c r="D26" s="566">
        <v>-4.8118000548873392E-7</v>
      </c>
      <c r="E26" s="566">
        <v>-4.8118000548873392E-7</v>
      </c>
      <c r="F26" s="566">
        <v>-4.8118000548873392E-7</v>
      </c>
      <c r="G26" s="566">
        <v>-4.8118000548873392E-7</v>
      </c>
      <c r="H26" s="566">
        <v>-4.8118000548873392E-7</v>
      </c>
      <c r="I26" s="566">
        <v>-4.8118000548873392E-7</v>
      </c>
      <c r="J26" s="566">
        <v>-4.8118000548873392E-7</v>
      </c>
      <c r="K26" s="566">
        <v>-4.8118000548873392E-7</v>
      </c>
      <c r="L26" s="567">
        <v>-4.8118000548873392E-7</v>
      </c>
      <c r="N26" s="609">
        <v>24</v>
      </c>
      <c r="O26" s="565">
        <v>-4.0247626733474701E-3</v>
      </c>
      <c r="P26" s="566">
        <v>-4.0247626733474701E-3</v>
      </c>
      <c r="Q26" s="566">
        <v>-4.0247626733474701E-3</v>
      </c>
      <c r="R26" s="566">
        <v>-4.0247626733474701E-3</v>
      </c>
      <c r="S26" s="566">
        <v>-4.0247626733474701E-3</v>
      </c>
      <c r="T26" s="566">
        <v>-4.0247626733474701E-3</v>
      </c>
      <c r="U26" s="566">
        <v>-4.0247626733474701E-3</v>
      </c>
      <c r="V26" s="566">
        <v>-4.0247626733474701E-3</v>
      </c>
      <c r="W26" s="566">
        <v>-4.0247626733474701E-3</v>
      </c>
      <c r="X26" s="566">
        <v>-4.0247626733474701E-3</v>
      </c>
      <c r="Y26" s="567">
        <v>-4.0247626733474701E-3</v>
      </c>
      <c r="AA26" s="580">
        <v>24</v>
      </c>
      <c r="AB26" s="565">
        <f>IF(ISNUMBER(System!$C27),PlotData!B27+ Querkraft!$E$2*$AF$1*B26,PlotData!$CB$3)</f>
        <v>16.95000097378858</v>
      </c>
      <c r="AC26" s="566">
        <f>IF(ISNUMBER(System!$C27),PlotData!C27+ Querkraft!$E$2*$AF$1*C26,PlotData!$CB$3)</f>
        <v>17.087176473788581</v>
      </c>
      <c r="AD26" s="566">
        <f>IF(ISNUMBER(System!$C27),PlotData!D27+ Querkraft!$E$2*$AF$1*D26,PlotData!$CB$3)</f>
        <v>17.224351973788583</v>
      </c>
      <c r="AE26" s="566">
        <f>IF(ISNUMBER(System!$C27),PlotData!E27+ Querkraft!$E$2*$AF$1*E26,PlotData!$CB$3)</f>
        <v>17.361527473788584</v>
      </c>
      <c r="AF26" s="566">
        <f>IF(ISNUMBER(System!$C27),PlotData!F27+Querkraft!$E$2* $AF$1*F26,PlotData!$CB$3)</f>
        <v>17.498702973788586</v>
      </c>
      <c r="AG26" s="566">
        <f>IF(ISNUMBER(System!$C27),PlotData!G27+ Querkraft!$E$2*$AF$1*G26,PlotData!$CB$3)</f>
        <v>17.635878473788587</v>
      </c>
      <c r="AH26" s="566">
        <f>IF(ISNUMBER(System!$C27),PlotData!H27+Querkraft!$E$2* $AF$1*H26,PlotData!$CB$3)</f>
        <v>17.773053973788588</v>
      </c>
      <c r="AI26" s="566">
        <f>IF(ISNUMBER(System!$C27),PlotData!I27+ Querkraft!$E$2*$AF$1*I26,PlotData!$CB$3)</f>
        <v>17.91022947378859</v>
      </c>
      <c r="AJ26" s="566">
        <f>IF(ISNUMBER(System!$C27),PlotData!J27+Querkraft!$E$2*$AF$1*J26,PlotData!$CB$3)</f>
        <v>18.047404973788591</v>
      </c>
      <c r="AK26" s="566">
        <f>IF(ISNUMBER(System!$C27),PlotData!K27+ Querkraft!$E$2*$AF$1*K26,PlotData!$CB$3)</f>
        <v>18.184580473788593</v>
      </c>
      <c r="AL26" s="567">
        <f>IF(ISNUMBER(System!$C27),PlotData!L27+ Querkraft!$E$2*$AF$1*L26,PlotData!$CB$3)</f>
        <v>18.321755973788594</v>
      </c>
      <c r="AM26" s="565">
        <f>IF(ISNUMBER(System!$C27),PlotData!L27,PlotData!$CB$3)</f>
        <v>18.321756000000015</v>
      </c>
      <c r="AN26" s="566">
        <f>IF(ISNUMBER(System!$C27),PlotData!B27,PlotData!$CB$3)</f>
        <v>16.950001</v>
      </c>
      <c r="AO26" s="447">
        <f>IF(ISNUMBER(System!$C27),AB26,PlotData!$CB$3)</f>
        <v>16.95000097378858</v>
      </c>
      <c r="AQ26" s="609">
        <v>24</v>
      </c>
      <c r="AR26" s="607">
        <f>IF(ISNUMBER(System!$C27),PlotData!O27+ Querkraft!$E$2*$AF$1*O26,PlotData!$CB$4)</f>
        <v>0.89978075826092374</v>
      </c>
      <c r="AS26" s="566">
        <f>IF(ISNUMBER(System!$C27),PlotData!P27+Querkraft!$E$2* $AF$1*P26,PlotData!$CB$4)</f>
        <v>0.89976435826092371</v>
      </c>
      <c r="AT26" s="566">
        <f>IF(ISNUMBER(System!$C27),PlotData!Q27+Querkraft!$E$2*$AF$1*Q26,PlotData!$CB$4)</f>
        <v>0.89974795826092369</v>
      </c>
      <c r="AU26" s="566">
        <f>IF(ISNUMBER(System!$C27),PlotData!R27+ Querkraft!$E$2*$AF$1*R26,PlotData!$CB$4)</f>
        <v>0.89973155826092366</v>
      </c>
      <c r="AV26" s="566">
        <f>IF(ISNUMBER(System!$C27),PlotData!S27+ Querkraft!$E$2*$AF$1*S26,PlotData!$CB$4)</f>
        <v>0.89971515826092363</v>
      </c>
      <c r="AW26" s="566">
        <f>IF(ISNUMBER(System!$C27),PlotData!T27+ Querkraft!$E$2*$AF$1*T26,PlotData!$CB$4)</f>
        <v>0.8996987582609236</v>
      </c>
      <c r="AX26" s="566">
        <f>IF(ISNUMBER(System!$C27),PlotData!U27+ Querkraft!$E$2*$AF$1*U26,PlotData!$CB$4)</f>
        <v>0.89968235826092358</v>
      </c>
      <c r="AY26" s="566">
        <f>IF(ISNUMBER(System!$C27),PlotData!V27+ Querkraft!$E$2*$AF$1*V26,PlotData!$CB$4)</f>
        <v>0.89966595826092355</v>
      </c>
      <c r="AZ26" s="566">
        <f>IF(ISNUMBER(System!$C27),PlotData!W27+ Querkraft!$E$2*$AF$1*W26,PlotData!$CB$4)</f>
        <v>0.89964955826092352</v>
      </c>
      <c r="BA26" s="566">
        <f>IF(ISNUMBER(System!$C27),PlotData!X27+Querkraft!$E$2* $AF$1*X26,PlotData!$CB$4)</f>
        <v>0.89963315826092349</v>
      </c>
      <c r="BB26" s="567">
        <f>IF(ISNUMBER(System!$C27),PlotData!Y27+Querkraft!$E$2*$AF$1*Y26,PlotData!$CB$4)</f>
        <v>0.89961675826092347</v>
      </c>
      <c r="BC26" s="565">
        <f>IF(ISNUMBER(System!$C27),PlotData!Y27, PlotData!CB$4)</f>
        <v>0.89983599999999975</v>
      </c>
      <c r="BD26" s="566">
        <f>IF(ISNUMBER(System!$C27),PlotData!O27, PlotData!$CB$4)</f>
        <v>0.9</v>
      </c>
      <c r="BE26" s="567">
        <f>IF(ISNUMBER(System!$C27), AR26,PlotData!$CB$4)</f>
        <v>0.89978075826092374</v>
      </c>
    </row>
    <row r="27" spans="1:57" x14ac:dyDescent="0.35">
      <c r="A27" s="609">
        <v>25</v>
      </c>
      <c r="B27" s="565">
        <v>-4.29306806854077E-3</v>
      </c>
      <c r="C27" s="566">
        <v>-4.29306806854077E-3</v>
      </c>
      <c r="D27" s="566">
        <v>-4.29306806854077E-3</v>
      </c>
      <c r="E27" s="566">
        <v>-4.29306806854077E-3</v>
      </c>
      <c r="F27" s="566">
        <v>-4.29306806854077E-3</v>
      </c>
      <c r="G27" s="566">
        <v>-4.29306806854077E-3</v>
      </c>
      <c r="H27" s="566">
        <v>-4.29306806854077E-3</v>
      </c>
      <c r="I27" s="566">
        <v>-4.29306806854077E-3</v>
      </c>
      <c r="J27" s="566">
        <v>-4.29306806854077E-3</v>
      </c>
      <c r="K27" s="566">
        <v>-4.29306806854077E-3</v>
      </c>
      <c r="L27" s="567">
        <v>-4.29306806854077E-3</v>
      </c>
      <c r="N27" s="609">
        <v>25</v>
      </c>
      <c r="O27" s="565">
        <v>-4.2232039968174642E-4</v>
      </c>
      <c r="P27" s="566">
        <v>-4.2232039968174642E-4</v>
      </c>
      <c r="Q27" s="566">
        <v>-4.2232039968174642E-4</v>
      </c>
      <c r="R27" s="566">
        <v>-4.2232039968174642E-4</v>
      </c>
      <c r="S27" s="566">
        <v>-4.2232039968174642E-4</v>
      </c>
      <c r="T27" s="566">
        <v>-4.2232039968174642E-4</v>
      </c>
      <c r="U27" s="566">
        <v>-4.2232039968174642E-4</v>
      </c>
      <c r="V27" s="566">
        <v>-4.2232039968174642E-4</v>
      </c>
      <c r="W27" s="566">
        <v>-4.2232039968174642E-4</v>
      </c>
      <c r="X27" s="566">
        <v>-4.2232039968174642E-4</v>
      </c>
      <c r="Y27" s="567">
        <v>-4.2232039968174642E-4</v>
      </c>
      <c r="AA27" s="580">
        <v>25</v>
      </c>
      <c r="AB27" s="565">
        <f>IF(ISNUMBER(System!$C28),PlotData!B28+ Querkraft!$E$2*$AF$1*B27,PlotData!$CB$3)</f>
        <v>16.349766142805002</v>
      </c>
      <c r="AC27" s="566">
        <f>IF(ISNUMBER(System!$C28),PlotData!C28+ Querkraft!$E$2*$AF$1*C27,PlotData!$CB$3)</f>
        <v>16.358331142805003</v>
      </c>
      <c r="AD27" s="566">
        <f>IF(ISNUMBER(System!$C28),PlotData!D28+ Querkraft!$E$2*$AF$1*D27,PlotData!$CB$3)</f>
        <v>16.366896142805004</v>
      </c>
      <c r="AE27" s="566">
        <f>IF(ISNUMBER(System!$C28),PlotData!E28+ Querkraft!$E$2*$AF$1*E27,PlotData!$CB$3)</f>
        <v>16.375461142805005</v>
      </c>
      <c r="AF27" s="566">
        <f>IF(ISNUMBER(System!$C28),PlotData!F28+Querkraft!$E$2* $AF$1*F27,PlotData!$CB$3)</f>
        <v>16.384026142805006</v>
      </c>
      <c r="AG27" s="566">
        <f>IF(ISNUMBER(System!$C28),PlotData!G28+ Querkraft!$E$2*$AF$1*G27,PlotData!$CB$3)</f>
        <v>16.392591142805006</v>
      </c>
      <c r="AH27" s="566">
        <f>IF(ISNUMBER(System!$C28),PlotData!H28+Querkraft!$E$2* $AF$1*H27,PlotData!$CB$3)</f>
        <v>16.401156142805007</v>
      </c>
      <c r="AI27" s="566">
        <f>IF(ISNUMBER(System!$C28),PlotData!I28+ Querkraft!$E$2*$AF$1*I27,PlotData!$CB$3)</f>
        <v>16.409721142805008</v>
      </c>
      <c r="AJ27" s="566">
        <f>IF(ISNUMBER(System!$C28),PlotData!J28+Querkraft!$E$2*$AF$1*J27,PlotData!$CB$3)</f>
        <v>16.418286142805009</v>
      </c>
      <c r="AK27" s="566">
        <f>IF(ISNUMBER(System!$C28),PlotData!K28+ Querkraft!$E$2*$AF$1*K27,PlotData!$CB$3)</f>
        <v>16.42685114280501</v>
      </c>
      <c r="AL27" s="567">
        <f>IF(ISNUMBER(System!$C28),PlotData!L28+ Querkraft!$E$2*$AF$1*L27,PlotData!$CB$3)</f>
        <v>16.435416142805011</v>
      </c>
      <c r="AM27" s="565">
        <f>IF(ISNUMBER(System!$C28),PlotData!L28,PlotData!$CB$3)</f>
        <v>16.43565000000001</v>
      </c>
      <c r="AN27" s="566">
        <f>IF(ISNUMBER(System!$C28),PlotData!B28,PlotData!$CB$3)</f>
        <v>16.350000000000001</v>
      </c>
      <c r="AO27" s="447">
        <f>IF(ISNUMBER(System!$C28),AB27,PlotData!$CB$3)</f>
        <v>16.349766142805002</v>
      </c>
      <c r="AQ27" s="609">
        <v>25</v>
      </c>
      <c r="AR27" s="607">
        <f>IF(ISNUMBER(System!$C28),PlotData!O28+ Querkraft!$E$2*$AF$1*O27,PlotData!$CB$4)</f>
        <v>3.5999769948525198</v>
      </c>
      <c r="AS27" s="566">
        <f>IF(ISNUMBER(System!$C28),PlotData!P28+Querkraft!$E$2* $AF$1*P27,PlotData!$CB$4)</f>
        <v>3.5129100948525198</v>
      </c>
      <c r="AT27" s="566">
        <f>IF(ISNUMBER(System!$C28),PlotData!Q28+Querkraft!$E$2*$AF$1*Q27,PlotData!$CB$4)</f>
        <v>3.4258431948525199</v>
      </c>
      <c r="AU27" s="566">
        <f>IF(ISNUMBER(System!$C28),PlotData!R28+ Querkraft!$E$2*$AF$1*R27,PlotData!$CB$4)</f>
        <v>3.3387762948525199</v>
      </c>
      <c r="AV27" s="566">
        <f>IF(ISNUMBER(System!$C28),PlotData!S28+ Querkraft!$E$2*$AF$1*S27,PlotData!$CB$4)</f>
        <v>3.25170939485252</v>
      </c>
      <c r="AW27" s="566">
        <f>IF(ISNUMBER(System!$C28),PlotData!T28+ Querkraft!$E$2*$AF$1*T27,PlotData!$CB$4)</f>
        <v>3.16464249485252</v>
      </c>
      <c r="AX27" s="566">
        <f>IF(ISNUMBER(System!$C28),PlotData!U28+ Querkraft!$E$2*$AF$1*U27,PlotData!$CB$4)</f>
        <v>3.0775755948525201</v>
      </c>
      <c r="AY27" s="566">
        <f>IF(ISNUMBER(System!$C28),PlotData!V28+ Querkraft!$E$2*$AF$1*V27,PlotData!$CB$4)</f>
        <v>2.9905086948525201</v>
      </c>
      <c r="AZ27" s="566">
        <f>IF(ISNUMBER(System!$C28),PlotData!W28+ Querkraft!$E$2*$AF$1*W27,PlotData!$CB$4)</f>
        <v>2.9034417948525202</v>
      </c>
      <c r="BA27" s="566">
        <f>IF(ISNUMBER(System!$C28),PlotData!X28+Querkraft!$E$2* $AF$1*X27,PlotData!$CB$4)</f>
        <v>2.8163748948525202</v>
      </c>
      <c r="BB27" s="567">
        <f>IF(ISNUMBER(System!$C28),PlotData!Y28+Querkraft!$E$2*$AF$1*Y27,PlotData!$CB$4)</f>
        <v>2.7293079948525203</v>
      </c>
      <c r="BC27" s="565">
        <f>IF(ISNUMBER(System!$C28),PlotData!Y28, PlotData!CB$4)</f>
        <v>2.7293310000000006</v>
      </c>
      <c r="BD27" s="566">
        <f>IF(ISNUMBER(System!$C28),PlotData!O28, PlotData!$CB$4)</f>
        <v>3.6</v>
      </c>
      <c r="BE27" s="567">
        <f>IF(ISNUMBER(System!$C28), AR27,PlotData!$CB$4)</f>
        <v>3.5999769948525198</v>
      </c>
    </row>
    <row r="28" spans="1:57" x14ac:dyDescent="0.35">
      <c r="A28" s="609">
        <v>26</v>
      </c>
      <c r="B28" s="565">
        <v>-4.5834759333211288E-3</v>
      </c>
      <c r="C28" s="566">
        <v>-4.5834759333211288E-3</v>
      </c>
      <c r="D28" s="566">
        <v>-4.5834759333211288E-3</v>
      </c>
      <c r="E28" s="566">
        <v>-4.5834759333211288E-3</v>
      </c>
      <c r="F28" s="566">
        <v>-4.5834759333211288E-3</v>
      </c>
      <c r="G28" s="566">
        <v>-4.5834759333211288E-3</v>
      </c>
      <c r="H28" s="566">
        <v>-4.5834759333211288E-3</v>
      </c>
      <c r="I28" s="566">
        <v>-4.5834759333211288E-3</v>
      </c>
      <c r="J28" s="566">
        <v>-4.5834759333211288E-3</v>
      </c>
      <c r="K28" s="566">
        <v>-4.5834759333211288E-3</v>
      </c>
      <c r="L28" s="567">
        <v>-4.5834759333211288E-3</v>
      </c>
      <c r="N28" s="609">
        <v>26</v>
      </c>
      <c r="O28" s="565">
        <v>5.0379093332981236E-4</v>
      </c>
      <c r="P28" s="566">
        <v>5.0379093332981236E-4</v>
      </c>
      <c r="Q28" s="566">
        <v>5.0379093332981236E-4</v>
      </c>
      <c r="R28" s="566">
        <v>5.0379093332981236E-4</v>
      </c>
      <c r="S28" s="566">
        <v>5.0379093332981236E-4</v>
      </c>
      <c r="T28" s="566">
        <v>5.0379093332981236E-4</v>
      </c>
      <c r="U28" s="566">
        <v>5.0379093332981236E-4</v>
      </c>
      <c r="V28" s="566">
        <v>5.0379093332981236E-4</v>
      </c>
      <c r="W28" s="566">
        <v>5.0379093332981236E-4</v>
      </c>
      <c r="X28" s="566">
        <v>5.0379093332981236E-4</v>
      </c>
      <c r="Y28" s="567">
        <v>5.0379093332981236E-4</v>
      </c>
      <c r="AA28" s="580">
        <v>26</v>
      </c>
      <c r="AB28" s="565">
        <f>IF(ISNUMBER(System!$C29),PlotData!B29+ Querkraft!$E$2*$AF$1*B28,PlotData!$CB$3)</f>
        <v>17.549749323356632</v>
      </c>
      <c r="AC28" s="566">
        <f>IF(ISNUMBER(System!$C29),PlotData!C29+ Querkraft!$E$2*$AF$1*C28,PlotData!$CB$3)</f>
        <v>17.540349723356631</v>
      </c>
      <c r="AD28" s="566">
        <f>IF(ISNUMBER(System!$C29),PlotData!D29+ Querkraft!$E$2*$AF$1*D28,PlotData!$CB$3)</f>
        <v>17.530950123356629</v>
      </c>
      <c r="AE28" s="566">
        <f>IF(ISNUMBER(System!$C29),PlotData!E29+ Querkraft!$E$2*$AF$1*E28,PlotData!$CB$3)</f>
        <v>17.521550523356627</v>
      </c>
      <c r="AF28" s="566">
        <f>IF(ISNUMBER(System!$C29),PlotData!F29+Querkraft!$E$2* $AF$1*F28,PlotData!$CB$3)</f>
        <v>17.512150923356625</v>
      </c>
      <c r="AG28" s="566">
        <f>IF(ISNUMBER(System!$C29),PlotData!G29+ Querkraft!$E$2*$AF$1*G28,PlotData!$CB$3)</f>
        <v>17.502751323356623</v>
      </c>
      <c r="AH28" s="566">
        <f>IF(ISNUMBER(System!$C29),PlotData!H29+Querkraft!$E$2* $AF$1*H28,PlotData!$CB$3)</f>
        <v>17.493351723356621</v>
      </c>
      <c r="AI28" s="566">
        <f>IF(ISNUMBER(System!$C29),PlotData!I29+ Querkraft!$E$2*$AF$1*I28,PlotData!$CB$3)</f>
        <v>17.48395212335662</v>
      </c>
      <c r="AJ28" s="566">
        <f>IF(ISNUMBER(System!$C29),PlotData!J29+Querkraft!$E$2*$AF$1*J28,PlotData!$CB$3)</f>
        <v>17.474552523356618</v>
      </c>
      <c r="AK28" s="566">
        <f>IF(ISNUMBER(System!$C29),PlotData!K29+ Querkraft!$E$2*$AF$1*K28,PlotData!$CB$3)</f>
        <v>17.465152923356616</v>
      </c>
      <c r="AL28" s="567">
        <f>IF(ISNUMBER(System!$C29),PlotData!L29+ Querkraft!$E$2*$AF$1*L28,PlotData!$CB$3)</f>
        <v>17.455753323356614</v>
      </c>
      <c r="AM28" s="565">
        <f>IF(ISNUMBER(System!$C29),PlotData!L29,PlotData!$CB$3)</f>
        <v>17.456002999999981</v>
      </c>
      <c r="AN28" s="566">
        <f>IF(ISNUMBER(System!$C29),PlotData!B29,PlotData!$CB$3)</f>
        <v>17.549999</v>
      </c>
      <c r="AO28" s="447">
        <f>IF(ISNUMBER(System!$C29),AB28,PlotData!$CB$3)</f>
        <v>17.549749323356632</v>
      </c>
      <c r="AQ28" s="609">
        <v>26</v>
      </c>
      <c r="AR28" s="607">
        <f>IF(ISNUMBER(System!$C29),PlotData!O29+ Querkraft!$E$2*$AF$1*O28,PlotData!$CB$4)</f>
        <v>3.6000274431089032</v>
      </c>
      <c r="AS28" s="566">
        <f>IF(ISNUMBER(System!$C29),PlotData!P29+Querkraft!$E$2* $AF$1*P28,PlotData!$CB$4)</f>
        <v>3.5145101431089034</v>
      </c>
      <c r="AT28" s="566">
        <f>IF(ISNUMBER(System!$C29),PlotData!Q29+Querkraft!$E$2*$AF$1*Q28,PlotData!$CB$4)</f>
        <v>3.4289928431089032</v>
      </c>
      <c r="AU28" s="566">
        <f>IF(ISNUMBER(System!$C29),PlotData!R29+ Querkraft!$E$2*$AF$1*R28,PlotData!$CB$4)</f>
        <v>3.3434755431089029</v>
      </c>
      <c r="AV28" s="566">
        <f>IF(ISNUMBER(System!$C29),PlotData!S29+ Querkraft!$E$2*$AF$1*S28,PlotData!$CB$4)</f>
        <v>3.2579582431089027</v>
      </c>
      <c r="AW28" s="566">
        <f>IF(ISNUMBER(System!$C29),PlotData!T29+ Querkraft!$E$2*$AF$1*T28,PlotData!$CB$4)</f>
        <v>3.1724409431089025</v>
      </c>
      <c r="AX28" s="566">
        <f>IF(ISNUMBER(System!$C29),PlotData!U29+ Querkraft!$E$2*$AF$1*U28,PlotData!$CB$4)</f>
        <v>3.0869236431089022</v>
      </c>
      <c r="AY28" s="566">
        <f>IF(ISNUMBER(System!$C29),PlotData!V29+ Querkraft!$E$2*$AF$1*V28,PlotData!$CB$4)</f>
        <v>3.001406343108902</v>
      </c>
      <c r="AZ28" s="566">
        <f>IF(ISNUMBER(System!$C29),PlotData!W29+ Querkraft!$E$2*$AF$1*W28,PlotData!$CB$4)</f>
        <v>2.9158890431089017</v>
      </c>
      <c r="BA28" s="566">
        <f>IF(ISNUMBER(System!$C29),PlotData!X29+Querkraft!$E$2* $AF$1*X28,PlotData!$CB$4)</f>
        <v>2.8303717431089015</v>
      </c>
      <c r="BB28" s="567">
        <f>IF(ISNUMBER(System!$C29),PlotData!Y29+Querkraft!$E$2*$AF$1*Y28,PlotData!$CB$4)</f>
        <v>2.7448544431089013</v>
      </c>
      <c r="BC28" s="565">
        <f>IF(ISNUMBER(System!$C29),PlotData!Y29, PlotData!CB$4)</f>
        <v>2.7448269999999981</v>
      </c>
      <c r="BD28" s="566">
        <f>IF(ISNUMBER(System!$C29),PlotData!O29, PlotData!$CB$4)</f>
        <v>3.6</v>
      </c>
      <c r="BE28" s="567">
        <f>IF(ISNUMBER(System!$C29), AR28,PlotData!$CB$4)</f>
        <v>3.6000274431089032</v>
      </c>
    </row>
    <row r="29" spans="1:57" x14ac:dyDescent="0.35">
      <c r="A29" s="609">
        <v>27</v>
      </c>
      <c r="B29" s="565">
        <v>4.8947733653510595E-7</v>
      </c>
      <c r="C29" s="566">
        <v>4.8947733653510595E-7</v>
      </c>
      <c r="D29" s="566">
        <v>4.8947733653510595E-7</v>
      </c>
      <c r="E29" s="566">
        <v>4.8947733653510595E-7</v>
      </c>
      <c r="F29" s="566">
        <v>4.8947733653510595E-7</v>
      </c>
      <c r="G29" s="566">
        <v>4.8947733653510595E-7</v>
      </c>
      <c r="H29" s="566">
        <v>4.8947733653510595E-7</v>
      </c>
      <c r="I29" s="566">
        <v>4.8947733653510595E-7</v>
      </c>
      <c r="J29" s="566">
        <v>4.8947733653510595E-7</v>
      </c>
      <c r="K29" s="566">
        <v>4.8947733653510595E-7</v>
      </c>
      <c r="L29" s="567">
        <v>4.8947733653510595E-7</v>
      </c>
      <c r="N29" s="609">
        <v>27</v>
      </c>
      <c r="O29" s="565">
        <v>-4.0267987244851679E-3</v>
      </c>
      <c r="P29" s="566">
        <v>-4.0267987244851679E-3</v>
      </c>
      <c r="Q29" s="566">
        <v>-4.0267987244851679E-3</v>
      </c>
      <c r="R29" s="566">
        <v>-4.0267987244851679E-3</v>
      </c>
      <c r="S29" s="566">
        <v>-4.0267987244851679E-3</v>
      </c>
      <c r="T29" s="566">
        <v>-4.0267987244851679E-3</v>
      </c>
      <c r="U29" s="566">
        <v>-4.0267987244851679E-3</v>
      </c>
      <c r="V29" s="566">
        <v>-4.0267987244851679E-3</v>
      </c>
      <c r="W29" s="566">
        <v>-4.0267987244851679E-3</v>
      </c>
      <c r="X29" s="566">
        <v>-4.0267987244851679E-3</v>
      </c>
      <c r="Y29" s="567">
        <v>-4.0267987244851679E-3</v>
      </c>
      <c r="AA29" s="580">
        <v>27</v>
      </c>
      <c r="AB29" s="565">
        <f>IF(ISNUMBER(System!$C30),PlotData!B30+ Querkraft!$E$2*$AF$1*B29,PlotData!$CB$3)</f>
        <v>15.600817026663401</v>
      </c>
      <c r="AC29" s="566">
        <f>IF(ISNUMBER(System!$C30),PlotData!C30+ Querkraft!$E$2*$AF$1*C29,PlotData!$CB$3)</f>
        <v>15.735735426663402</v>
      </c>
      <c r="AD29" s="566">
        <f>IF(ISNUMBER(System!$C30),PlotData!D30+ Querkraft!$E$2*$AF$1*D29,PlotData!$CB$3)</f>
        <v>15.870653826663402</v>
      </c>
      <c r="AE29" s="566">
        <f>IF(ISNUMBER(System!$C30),PlotData!E30+ Querkraft!$E$2*$AF$1*E29,PlotData!$CB$3)</f>
        <v>16.0055722266634</v>
      </c>
      <c r="AF29" s="566">
        <f>IF(ISNUMBER(System!$C30),PlotData!F30+Querkraft!$E$2* $AF$1*F29,PlotData!$CB$3)</f>
        <v>16.1404906266634</v>
      </c>
      <c r="AG29" s="566">
        <f>IF(ISNUMBER(System!$C30),PlotData!G30+ Querkraft!$E$2*$AF$1*G29,PlotData!$CB$3)</f>
        <v>16.2754090266634</v>
      </c>
      <c r="AH29" s="566">
        <f>IF(ISNUMBER(System!$C30),PlotData!H30+Querkraft!$E$2* $AF$1*H29,PlotData!$CB$3)</f>
        <v>16.4103274266634</v>
      </c>
      <c r="AI29" s="566">
        <f>IF(ISNUMBER(System!$C30),PlotData!I30+ Querkraft!$E$2*$AF$1*I29,PlotData!$CB$3)</f>
        <v>16.5452458266634</v>
      </c>
      <c r="AJ29" s="566">
        <f>IF(ISNUMBER(System!$C30),PlotData!J30+Querkraft!$E$2*$AF$1*J29,PlotData!$CB$3)</f>
        <v>16.6801642266634</v>
      </c>
      <c r="AK29" s="566">
        <f>IF(ISNUMBER(System!$C30),PlotData!K30+ Querkraft!$E$2*$AF$1*K29,PlotData!$CB$3)</f>
        <v>16.815082626663401</v>
      </c>
      <c r="AL29" s="567">
        <f>IF(ISNUMBER(System!$C30),PlotData!L30+ Querkraft!$E$2*$AF$1*L29,PlotData!$CB$3)</f>
        <v>16.950001026663401</v>
      </c>
      <c r="AM29" s="565">
        <f>IF(ISNUMBER(System!$C30),PlotData!L30,PlotData!$CB$3)</f>
        <v>16.950001</v>
      </c>
      <c r="AN29" s="566">
        <f>IF(ISNUMBER(System!$C30),PlotData!B30,PlotData!$CB$3)</f>
        <v>15.600816999999999</v>
      </c>
      <c r="AO29" s="447">
        <f>IF(ISNUMBER(System!$C30),AB29,PlotData!$CB$3)</f>
        <v>15.600817026663401</v>
      </c>
      <c r="AQ29" s="609">
        <v>27</v>
      </c>
      <c r="AR29" s="607">
        <f>IF(ISNUMBER(System!$C30),PlotData!O30+ Querkraft!$E$2*$AF$1*O29,PlotData!$CB$4)</f>
        <v>0.89961664735068414</v>
      </c>
      <c r="AS29" s="566">
        <f>IF(ISNUMBER(System!$C30),PlotData!P30+Querkraft!$E$2* $AF$1*P29,PlotData!$CB$4)</f>
        <v>0.89963304735068417</v>
      </c>
      <c r="AT29" s="566">
        <f>IF(ISNUMBER(System!$C30),PlotData!Q30+Querkraft!$E$2*$AF$1*Q29,PlotData!$CB$4)</f>
        <v>0.89964944735068419</v>
      </c>
      <c r="AU29" s="566">
        <f>IF(ISNUMBER(System!$C30),PlotData!R30+ Querkraft!$E$2*$AF$1*R29,PlotData!$CB$4)</f>
        <v>0.89966584735068422</v>
      </c>
      <c r="AV29" s="566">
        <f>IF(ISNUMBER(System!$C30),PlotData!S30+ Querkraft!$E$2*$AF$1*S29,PlotData!$CB$4)</f>
        <v>0.89968224735068425</v>
      </c>
      <c r="AW29" s="566">
        <f>IF(ISNUMBER(System!$C30),PlotData!T30+ Querkraft!$E$2*$AF$1*T29,PlotData!$CB$4)</f>
        <v>0.89969864735068428</v>
      </c>
      <c r="AX29" s="566">
        <f>IF(ISNUMBER(System!$C30),PlotData!U30+ Querkraft!$E$2*$AF$1*U29,PlotData!$CB$4)</f>
        <v>0.8997150473506843</v>
      </c>
      <c r="AY29" s="566">
        <f>IF(ISNUMBER(System!$C30),PlotData!V30+ Querkraft!$E$2*$AF$1*V29,PlotData!$CB$4)</f>
        <v>0.89973144735068433</v>
      </c>
      <c r="AZ29" s="566">
        <f>IF(ISNUMBER(System!$C30),PlotData!W30+ Querkraft!$E$2*$AF$1*W29,PlotData!$CB$4)</f>
        <v>0.89974784735068436</v>
      </c>
      <c r="BA29" s="566">
        <f>IF(ISNUMBER(System!$C30),PlotData!X30+Querkraft!$E$2* $AF$1*X29,PlotData!$CB$4)</f>
        <v>0.89976424735068439</v>
      </c>
      <c r="BB29" s="567">
        <f>IF(ISNUMBER(System!$C30),PlotData!Y30+Querkraft!$E$2*$AF$1*Y29,PlotData!$CB$4)</f>
        <v>0.89978064735068441</v>
      </c>
      <c r="BC29" s="565">
        <f>IF(ISNUMBER(System!$C30),PlotData!Y30, PlotData!CB$4)</f>
        <v>0.90000000000000024</v>
      </c>
      <c r="BD29" s="566">
        <f>IF(ISNUMBER(System!$C30),PlotData!O30, PlotData!$CB$4)</f>
        <v>0.89983599999999997</v>
      </c>
      <c r="BE29" s="567">
        <f>IF(ISNUMBER(System!$C30), AR29,PlotData!$CB$4)</f>
        <v>0.89961664735068414</v>
      </c>
    </row>
    <row r="30" spans="1:57" x14ac:dyDescent="0.35">
      <c r="A30" s="609">
        <v>28</v>
      </c>
      <c r="B30" s="565">
        <v>-7.6701712393936966E-8</v>
      </c>
      <c r="C30" s="566">
        <v>-7.6701712393936966E-8</v>
      </c>
      <c r="D30" s="566">
        <v>-7.6701712393936966E-8</v>
      </c>
      <c r="E30" s="566">
        <v>-7.6701712393936966E-8</v>
      </c>
      <c r="F30" s="566">
        <v>-7.6701712393936966E-8</v>
      </c>
      <c r="G30" s="566">
        <v>-7.6701712393936966E-8</v>
      </c>
      <c r="H30" s="566">
        <v>-7.6701712393936966E-8</v>
      </c>
      <c r="I30" s="566">
        <v>-7.6701712393936966E-8</v>
      </c>
      <c r="J30" s="566">
        <v>-7.6701712393936966E-8</v>
      </c>
      <c r="K30" s="566">
        <v>-7.6701712393936966E-8</v>
      </c>
      <c r="L30" s="567">
        <v>-7.6701712393936966E-8</v>
      </c>
      <c r="N30" s="609">
        <v>28</v>
      </c>
      <c r="O30" s="565">
        <v>1.6033669835619211E-3</v>
      </c>
      <c r="P30" s="566">
        <v>1.6033669835619211E-3</v>
      </c>
      <c r="Q30" s="566">
        <v>1.6033669835619211E-3</v>
      </c>
      <c r="R30" s="566">
        <v>1.6033669835619211E-3</v>
      </c>
      <c r="S30" s="566">
        <v>1.6033669835619211E-3</v>
      </c>
      <c r="T30" s="566">
        <v>1.6033669835619211E-3</v>
      </c>
      <c r="U30" s="566">
        <v>1.6033669835619211E-3</v>
      </c>
      <c r="V30" s="566">
        <v>1.6033669835619211E-3</v>
      </c>
      <c r="W30" s="566">
        <v>1.6033669835619211E-3</v>
      </c>
      <c r="X30" s="566">
        <v>1.6033669835619211E-3</v>
      </c>
      <c r="Y30" s="567">
        <v>1.6033669835619211E-3</v>
      </c>
      <c r="AA30" s="580">
        <v>28</v>
      </c>
      <c r="AB30" s="565">
        <f>IF(ISNUMBER(System!$C31),PlotData!B31+ Querkraft!$E$2*$AF$1*B30,PlotData!$CB$3)</f>
        <v>18.321755995821814</v>
      </c>
      <c r="AC30" s="566">
        <f>IF(ISNUMBER(System!$C31),PlotData!C31+ Querkraft!$E$2*$AF$1*C30,PlotData!$CB$3)</f>
        <v>18.664580395821815</v>
      </c>
      <c r="AD30" s="566">
        <f>IF(ISNUMBER(System!$C31),PlotData!D31+ Querkraft!$E$2*$AF$1*D30,PlotData!$CB$3)</f>
        <v>19.007404795821817</v>
      </c>
      <c r="AE30" s="566">
        <f>IF(ISNUMBER(System!$C31),PlotData!E31+ Querkraft!$E$2*$AF$1*E30,PlotData!$CB$3)</f>
        <v>19.350229195821818</v>
      </c>
      <c r="AF30" s="566">
        <f>IF(ISNUMBER(System!$C31),PlotData!F31+Querkraft!$E$2* $AF$1*F30,PlotData!$CB$3)</f>
        <v>19.693053595821819</v>
      </c>
      <c r="AG30" s="566">
        <f>IF(ISNUMBER(System!$C31),PlotData!G31+ Querkraft!$E$2*$AF$1*G30,PlotData!$CB$3)</f>
        <v>20.035877995821821</v>
      </c>
      <c r="AH30" s="566">
        <f>IF(ISNUMBER(System!$C31),PlotData!H31+Querkraft!$E$2* $AF$1*H30,PlotData!$CB$3)</f>
        <v>20.378702395821822</v>
      </c>
      <c r="AI30" s="566">
        <f>IF(ISNUMBER(System!$C31),PlotData!I31+ Querkraft!$E$2*$AF$1*I30,PlotData!$CB$3)</f>
        <v>20.721526795821823</v>
      </c>
      <c r="AJ30" s="566">
        <f>IF(ISNUMBER(System!$C31),PlotData!J31+Querkraft!$E$2*$AF$1*J30,PlotData!$CB$3)</f>
        <v>21.064351195821825</v>
      </c>
      <c r="AK30" s="566">
        <f>IF(ISNUMBER(System!$C31),PlotData!K31+ Querkraft!$E$2*$AF$1*K30,PlotData!$CB$3)</f>
        <v>21.407175595821826</v>
      </c>
      <c r="AL30" s="567">
        <f>IF(ISNUMBER(System!$C31),PlotData!L31+ Querkraft!$E$2*$AF$1*L30,PlotData!$CB$3)</f>
        <v>21.749999995821828</v>
      </c>
      <c r="AM30" s="565">
        <f>IF(ISNUMBER(System!$C31),PlotData!L31,PlotData!$CB$3)</f>
        <v>21.750000000000014</v>
      </c>
      <c r="AN30" s="566">
        <f>IF(ISNUMBER(System!$C31),PlotData!B31,PlotData!$CB$3)</f>
        <v>18.321756000000001</v>
      </c>
      <c r="AO30" s="447">
        <f>IF(ISNUMBER(System!$C31),AB30,PlotData!$CB$3)</f>
        <v>18.321755995821814</v>
      </c>
      <c r="AQ30" s="609">
        <v>28</v>
      </c>
      <c r="AR30" s="607">
        <f>IF(ISNUMBER(System!$C31),PlotData!O31+ Querkraft!$E$2*$AF$1*O30,PlotData!$CB$4)</f>
        <v>0.89992334054511625</v>
      </c>
      <c r="AS30" s="566">
        <f>IF(ISNUMBER(System!$C31),PlotData!P31+Querkraft!$E$2* $AF$1*P30,PlotData!$CB$4)</f>
        <v>0.89993974054511627</v>
      </c>
      <c r="AT30" s="566">
        <f>IF(ISNUMBER(System!$C31),PlotData!Q31+Querkraft!$E$2*$AF$1*Q30,PlotData!$CB$4)</f>
        <v>0.8999561405451163</v>
      </c>
      <c r="AU30" s="566">
        <f>IF(ISNUMBER(System!$C31),PlotData!R31+ Querkraft!$E$2*$AF$1*R30,PlotData!$CB$4)</f>
        <v>0.89997254054511633</v>
      </c>
      <c r="AV30" s="566">
        <f>IF(ISNUMBER(System!$C31),PlotData!S31+ Querkraft!$E$2*$AF$1*S30,PlotData!$CB$4)</f>
        <v>0.89998894054511636</v>
      </c>
      <c r="AW30" s="566">
        <f>IF(ISNUMBER(System!$C31),PlotData!T31+ Querkraft!$E$2*$AF$1*T30,PlotData!$CB$4)</f>
        <v>0.90000534054511638</v>
      </c>
      <c r="AX30" s="566">
        <f>IF(ISNUMBER(System!$C31),PlotData!U31+ Querkraft!$E$2*$AF$1*U30,PlotData!$CB$4)</f>
        <v>0.90002174054511641</v>
      </c>
      <c r="AY30" s="566">
        <f>IF(ISNUMBER(System!$C31),PlotData!V31+ Querkraft!$E$2*$AF$1*V30,PlotData!$CB$4)</f>
        <v>0.90003814054511644</v>
      </c>
      <c r="AZ30" s="566">
        <f>IF(ISNUMBER(System!$C31),PlotData!W31+ Querkraft!$E$2*$AF$1*W30,PlotData!$CB$4)</f>
        <v>0.90005454054511647</v>
      </c>
      <c r="BA30" s="566">
        <f>IF(ISNUMBER(System!$C31),PlotData!X31+Querkraft!$E$2* $AF$1*X30,PlotData!$CB$4)</f>
        <v>0.90007094054511649</v>
      </c>
      <c r="BB30" s="567">
        <f>IF(ISNUMBER(System!$C31),PlotData!Y31+Querkraft!$E$2*$AF$1*Y30,PlotData!$CB$4)</f>
        <v>0.90008734054511652</v>
      </c>
      <c r="BC30" s="565">
        <f>IF(ISNUMBER(System!$C31),PlotData!Y31, PlotData!CB$4)</f>
        <v>0.90000000000000024</v>
      </c>
      <c r="BD30" s="566">
        <f>IF(ISNUMBER(System!$C31),PlotData!O31, PlotData!$CB$4)</f>
        <v>0.89983599999999997</v>
      </c>
      <c r="BE30" s="567">
        <f>IF(ISNUMBER(System!$C31), AR30,PlotData!$CB$4)</f>
        <v>0.89992334054511625</v>
      </c>
    </row>
    <row r="31" spans="1:57" x14ac:dyDescent="0.35">
      <c r="A31" s="609">
        <v>29</v>
      </c>
      <c r="B31" s="565">
        <v>1.9193167963630842E-4</v>
      </c>
      <c r="C31" s="566">
        <v>1.9193167963630842E-4</v>
      </c>
      <c r="D31" s="566">
        <v>1.9193167963630842E-4</v>
      </c>
      <c r="E31" s="566">
        <v>1.9193167963630842E-4</v>
      </c>
      <c r="F31" s="566">
        <v>1.9193167963630842E-4</v>
      </c>
      <c r="G31" s="566">
        <v>1.9193167963630842E-4</v>
      </c>
      <c r="H31" s="566">
        <v>1.9193167963630842E-4</v>
      </c>
      <c r="I31" s="566">
        <v>1.9193167963630842E-4</v>
      </c>
      <c r="J31" s="566">
        <v>1.9193167963630842E-4</v>
      </c>
      <c r="K31" s="566">
        <v>1.9193167963630842E-4</v>
      </c>
      <c r="L31" s="567">
        <v>1.9193167963630842E-4</v>
      </c>
      <c r="N31" s="609">
        <v>29</v>
      </c>
      <c r="O31" s="565">
        <v>2.0441806816019677E-5</v>
      </c>
      <c r="P31" s="566">
        <v>2.0441806816019677E-5</v>
      </c>
      <c r="Q31" s="566">
        <v>2.0441806816019677E-5</v>
      </c>
      <c r="R31" s="566">
        <v>2.0441806816019677E-5</v>
      </c>
      <c r="S31" s="566">
        <v>2.0441806816019677E-5</v>
      </c>
      <c r="T31" s="566">
        <v>2.0441806816019677E-5</v>
      </c>
      <c r="U31" s="566">
        <v>2.0441806816019677E-5</v>
      </c>
      <c r="V31" s="566">
        <v>2.0441806816019677E-5</v>
      </c>
      <c r="W31" s="566">
        <v>2.0441806816019677E-5</v>
      </c>
      <c r="X31" s="566">
        <v>2.0441806816019677E-5</v>
      </c>
      <c r="Y31" s="567">
        <v>2.0441806816019677E-5</v>
      </c>
      <c r="AA31" s="580">
        <v>29</v>
      </c>
      <c r="AB31" s="565">
        <f>IF(ISNUMBER(System!$C32),PlotData!B32+ Querkraft!$E$2*$AF$1*B31,PlotData!$CB$3)</f>
        <v>16.435660455134535</v>
      </c>
      <c r="AC31" s="566">
        <f>IF(ISNUMBER(System!$C32),PlotData!C32+ Querkraft!$E$2*$AF$1*C31,PlotData!$CB$3)</f>
        <v>16.487095555134534</v>
      </c>
      <c r="AD31" s="566">
        <f>IF(ISNUMBER(System!$C32),PlotData!D32+ Querkraft!$E$2*$AF$1*D31,PlotData!$CB$3)</f>
        <v>16.538530655134533</v>
      </c>
      <c r="AE31" s="566">
        <f>IF(ISNUMBER(System!$C32),PlotData!E32+ Querkraft!$E$2*$AF$1*E31,PlotData!$CB$3)</f>
        <v>16.589965755134532</v>
      </c>
      <c r="AF31" s="566">
        <f>IF(ISNUMBER(System!$C32),PlotData!F32+Querkraft!$E$2* $AF$1*F31,PlotData!$CB$3)</f>
        <v>16.641400855134531</v>
      </c>
      <c r="AG31" s="566">
        <f>IF(ISNUMBER(System!$C32),PlotData!G32+ Querkraft!$E$2*$AF$1*G31,PlotData!$CB$3)</f>
        <v>16.69283595513453</v>
      </c>
      <c r="AH31" s="566">
        <f>IF(ISNUMBER(System!$C32),PlotData!H32+Querkraft!$E$2* $AF$1*H31,PlotData!$CB$3)</f>
        <v>16.744271055134529</v>
      </c>
      <c r="AI31" s="566">
        <f>IF(ISNUMBER(System!$C32),PlotData!I32+ Querkraft!$E$2*$AF$1*I31,PlotData!$CB$3)</f>
        <v>16.795706155134528</v>
      </c>
      <c r="AJ31" s="566">
        <f>IF(ISNUMBER(System!$C32),PlotData!J32+Querkraft!$E$2*$AF$1*J31,PlotData!$CB$3)</f>
        <v>16.847141255134527</v>
      </c>
      <c r="AK31" s="566">
        <f>IF(ISNUMBER(System!$C32),PlotData!K32+ Querkraft!$E$2*$AF$1*K31,PlotData!$CB$3)</f>
        <v>16.898576355134526</v>
      </c>
      <c r="AL31" s="567">
        <f>IF(ISNUMBER(System!$C32),PlotData!L32+ Querkraft!$E$2*$AF$1*L31,PlotData!$CB$3)</f>
        <v>16.950011455134526</v>
      </c>
      <c r="AM31" s="565">
        <f>IF(ISNUMBER(System!$C32),PlotData!L32,PlotData!$CB$3)</f>
        <v>16.95000099999999</v>
      </c>
      <c r="AN31" s="566">
        <f>IF(ISNUMBER(System!$C32),PlotData!B32,PlotData!$CB$3)</f>
        <v>16.435649999999999</v>
      </c>
      <c r="AO31" s="447">
        <f>IF(ISNUMBER(System!$C32),AB31,PlotData!$CB$3)</f>
        <v>16.435660455134535</v>
      </c>
      <c r="AQ31" s="609">
        <v>29</v>
      </c>
      <c r="AR31" s="607">
        <f>IF(ISNUMBER(System!$C32),PlotData!O32+ Querkraft!$E$2*$AF$1*O31,PlotData!$CB$4)</f>
        <v>2.7293321135308193</v>
      </c>
      <c r="AS31" s="566">
        <f>IF(ISNUMBER(System!$C32),PlotData!P32+Querkraft!$E$2* $AF$1*P31,PlotData!$CB$4)</f>
        <v>2.2463990135308194</v>
      </c>
      <c r="AT31" s="566">
        <f>IF(ISNUMBER(System!$C32),PlotData!Q32+Querkraft!$E$2*$AF$1*Q31,PlotData!$CB$4)</f>
        <v>1.7634659135308193</v>
      </c>
      <c r="AU31" s="566">
        <f>IF(ISNUMBER(System!$C32),PlotData!R32+ Querkraft!$E$2*$AF$1*R31,PlotData!$CB$4)</f>
        <v>1.2805328135308192</v>
      </c>
      <c r="AV31" s="566">
        <f>IF(ISNUMBER(System!$C32),PlotData!S32+ Querkraft!$E$2*$AF$1*S31,PlotData!$CB$4)</f>
        <v>0.79759971353081904</v>
      </c>
      <c r="AW31" s="566">
        <f>IF(ISNUMBER(System!$C32),PlotData!T32+ Querkraft!$E$2*$AF$1*T31,PlotData!$CB$4)</f>
        <v>0.31466661353081893</v>
      </c>
      <c r="AX31" s="566">
        <f>IF(ISNUMBER(System!$C32),PlotData!U32+ Querkraft!$E$2*$AF$1*U31,PlotData!$CB$4)</f>
        <v>-0.1682664864691811</v>
      </c>
      <c r="AY31" s="566">
        <f>IF(ISNUMBER(System!$C32),PlotData!V32+ Querkraft!$E$2*$AF$1*V31,PlotData!$CB$4)</f>
        <v>-0.65119958646918108</v>
      </c>
      <c r="AZ31" s="566">
        <f>IF(ISNUMBER(System!$C32),PlotData!W32+ Querkraft!$E$2*$AF$1*W31,PlotData!$CB$4)</f>
        <v>-1.1341326864691812</v>
      </c>
      <c r="BA31" s="566">
        <f>IF(ISNUMBER(System!$C32),PlotData!X32+Querkraft!$E$2* $AF$1*X31,PlotData!$CB$4)</f>
        <v>-1.6170657864691813</v>
      </c>
      <c r="BB31" s="567">
        <f>IF(ISNUMBER(System!$C32),PlotData!Y32+Querkraft!$E$2*$AF$1*Y31,PlotData!$CB$4)</f>
        <v>-2.0999988864691814</v>
      </c>
      <c r="BC31" s="565">
        <f>IF(ISNUMBER(System!$C32),PlotData!Y32, PlotData!CB$4)</f>
        <v>-2.1000000000000005</v>
      </c>
      <c r="BD31" s="566">
        <f>IF(ISNUMBER(System!$C32),PlotData!O32, PlotData!$CB$4)</f>
        <v>2.7293310000000002</v>
      </c>
      <c r="BE31" s="567">
        <f>IF(ISNUMBER(System!$C32), AR31,PlotData!$CB$4)</f>
        <v>2.7293321135308193</v>
      </c>
    </row>
    <row r="32" spans="1:57" x14ac:dyDescent="0.35">
      <c r="A32" s="609">
        <v>30</v>
      </c>
      <c r="B32" s="565">
        <v>1.934671149439026E-4</v>
      </c>
      <c r="C32" s="566">
        <v>1.934671149439026E-4</v>
      </c>
      <c r="D32" s="566">
        <v>1.934671149439026E-4</v>
      </c>
      <c r="E32" s="566">
        <v>1.934671149439026E-4</v>
      </c>
      <c r="F32" s="566">
        <v>1.934671149439026E-4</v>
      </c>
      <c r="G32" s="566">
        <v>1.934671149439026E-4</v>
      </c>
      <c r="H32" s="566">
        <v>1.934671149439026E-4</v>
      </c>
      <c r="I32" s="566">
        <v>1.934671149439026E-4</v>
      </c>
      <c r="J32" s="566">
        <v>1.934671149439026E-4</v>
      </c>
      <c r="K32" s="566">
        <v>1.934671149439026E-4</v>
      </c>
      <c r="L32" s="567">
        <v>1.934671149439026E-4</v>
      </c>
      <c r="N32" s="609">
        <v>30</v>
      </c>
      <c r="O32" s="565">
        <v>-2.0206035653253322E-5</v>
      </c>
      <c r="P32" s="566">
        <v>-2.0206035653253322E-5</v>
      </c>
      <c r="Q32" s="566">
        <v>-2.0206035653253322E-5</v>
      </c>
      <c r="R32" s="566">
        <v>-2.0206035653253322E-5</v>
      </c>
      <c r="S32" s="566">
        <v>-2.0206035653253322E-5</v>
      </c>
      <c r="T32" s="566">
        <v>-2.0206035653253322E-5</v>
      </c>
      <c r="U32" s="566">
        <v>-2.0206035653253322E-5</v>
      </c>
      <c r="V32" s="566">
        <v>-2.0206035653253322E-5</v>
      </c>
      <c r="W32" s="566">
        <v>-2.0206035653253322E-5</v>
      </c>
      <c r="X32" s="566">
        <v>-2.0206035653253322E-5</v>
      </c>
      <c r="Y32" s="567">
        <v>-2.0206035653253322E-5</v>
      </c>
      <c r="AA32" s="580">
        <v>30</v>
      </c>
      <c r="AB32" s="565">
        <f>IF(ISNUMBER(System!$C33),PlotData!B33+ Querkraft!$E$2*$AF$1*B32,PlotData!$CB$3)</f>
        <v>17.456013538774624</v>
      </c>
      <c r="AC32" s="566">
        <f>IF(ISNUMBER(System!$C33),PlotData!C33+ Querkraft!$E$2*$AF$1*C32,PlotData!$CB$3)</f>
        <v>17.405413338774622</v>
      </c>
      <c r="AD32" s="566">
        <f>IF(ISNUMBER(System!$C33),PlotData!D33+ Querkraft!$E$2*$AF$1*D32,PlotData!$CB$3)</f>
        <v>17.354813138774624</v>
      </c>
      <c r="AE32" s="566">
        <f>IF(ISNUMBER(System!$C33),PlotData!E33+ Querkraft!$E$2*$AF$1*E32,PlotData!$CB$3)</f>
        <v>17.304212938774626</v>
      </c>
      <c r="AF32" s="566">
        <f>IF(ISNUMBER(System!$C33),PlotData!F33+Querkraft!$E$2* $AF$1*F32,PlotData!$CB$3)</f>
        <v>17.253612738774628</v>
      </c>
      <c r="AG32" s="566">
        <f>IF(ISNUMBER(System!$C33),PlotData!G33+ Querkraft!$E$2*$AF$1*G32,PlotData!$CB$3)</f>
        <v>17.20301253877463</v>
      </c>
      <c r="AH32" s="566">
        <f>IF(ISNUMBER(System!$C33),PlotData!H33+Querkraft!$E$2* $AF$1*H32,PlotData!$CB$3)</f>
        <v>17.152412338774631</v>
      </c>
      <c r="AI32" s="566">
        <f>IF(ISNUMBER(System!$C33),PlotData!I33+ Querkraft!$E$2*$AF$1*I32,PlotData!$CB$3)</f>
        <v>17.101812138774633</v>
      </c>
      <c r="AJ32" s="566">
        <f>IF(ISNUMBER(System!$C33),PlotData!J33+Querkraft!$E$2*$AF$1*J32,PlotData!$CB$3)</f>
        <v>17.051211938774635</v>
      </c>
      <c r="AK32" s="566">
        <f>IF(ISNUMBER(System!$C33),PlotData!K33+ Querkraft!$E$2*$AF$1*K32,PlotData!$CB$3)</f>
        <v>17.000611738774637</v>
      </c>
      <c r="AL32" s="567">
        <f>IF(ISNUMBER(System!$C33),PlotData!L33+ Querkraft!$E$2*$AF$1*L32,PlotData!$CB$3)</f>
        <v>16.950011538774639</v>
      </c>
      <c r="AM32" s="565">
        <f>IF(ISNUMBER(System!$C33),PlotData!L33,PlotData!$CB$3)</f>
        <v>16.950001000000015</v>
      </c>
      <c r="AN32" s="566">
        <f>IF(ISNUMBER(System!$C33),PlotData!B33,PlotData!$CB$3)</f>
        <v>17.456002999999999</v>
      </c>
      <c r="AO32" s="447">
        <f>IF(ISNUMBER(System!$C33),AB32,PlotData!$CB$3)</f>
        <v>17.456013538774624</v>
      </c>
      <c r="AQ32" s="609">
        <v>30</v>
      </c>
      <c r="AR32" s="607">
        <f>IF(ISNUMBER(System!$C33),PlotData!O33+ Querkraft!$E$2*$AF$1*O32,PlotData!$CB$4)</f>
        <v>2.7448258993123926</v>
      </c>
      <c r="AS32" s="566">
        <f>IF(ISNUMBER(System!$C33),PlotData!P33+Querkraft!$E$2* $AF$1*P32,PlotData!$CB$4)</f>
        <v>2.2603431993123926</v>
      </c>
      <c r="AT32" s="566">
        <f>IF(ISNUMBER(System!$C33),PlotData!Q33+Querkraft!$E$2*$AF$1*Q32,PlotData!$CB$4)</f>
        <v>1.7758604993123925</v>
      </c>
      <c r="AU32" s="566">
        <f>IF(ISNUMBER(System!$C33),PlotData!R33+ Querkraft!$E$2*$AF$1*R32,PlotData!$CB$4)</f>
        <v>1.2913777993123925</v>
      </c>
      <c r="AV32" s="566">
        <f>IF(ISNUMBER(System!$C33),PlotData!S33+ Querkraft!$E$2*$AF$1*S32,PlotData!$CB$4)</f>
        <v>0.80689509931239256</v>
      </c>
      <c r="AW32" s="566">
        <f>IF(ISNUMBER(System!$C33),PlotData!T33+ Querkraft!$E$2*$AF$1*T32,PlotData!$CB$4)</f>
        <v>0.32241239931239252</v>
      </c>
      <c r="AX32" s="566">
        <f>IF(ISNUMBER(System!$C33),PlotData!U33+ Querkraft!$E$2*$AF$1*U32,PlotData!$CB$4)</f>
        <v>-0.16207030068760755</v>
      </c>
      <c r="AY32" s="566">
        <f>IF(ISNUMBER(System!$C33),PlotData!V33+ Querkraft!$E$2*$AF$1*V32,PlotData!$CB$4)</f>
        <v>-0.64655300068760757</v>
      </c>
      <c r="AZ32" s="566">
        <f>IF(ISNUMBER(System!$C33),PlotData!W33+ Querkraft!$E$2*$AF$1*W32,PlotData!$CB$4)</f>
        <v>-1.1310357006876077</v>
      </c>
      <c r="BA32" s="566">
        <f>IF(ISNUMBER(System!$C33),PlotData!X33+Querkraft!$E$2* $AF$1*X32,PlotData!$CB$4)</f>
        <v>-1.6155184006876078</v>
      </c>
      <c r="BB32" s="567">
        <f>IF(ISNUMBER(System!$C33),PlotData!Y33+Querkraft!$E$2*$AF$1*Y32,PlotData!$CB$4)</f>
        <v>-2.1000011006876078</v>
      </c>
      <c r="BC32" s="565">
        <f>IF(ISNUMBER(System!$C33),PlotData!Y33, PlotData!CB$4)</f>
        <v>-2.1000000000000005</v>
      </c>
      <c r="BD32" s="566">
        <f>IF(ISNUMBER(System!$C33),PlotData!O33, PlotData!$CB$4)</f>
        <v>2.7448269999999999</v>
      </c>
      <c r="BE32" s="567">
        <f>IF(ISNUMBER(System!$C33), AR32,PlotData!$CB$4)</f>
        <v>2.7448258993123926</v>
      </c>
    </row>
    <row r="33" spans="1:57" x14ac:dyDescent="0.35">
      <c r="A33" s="609">
        <v>31</v>
      </c>
      <c r="B33" s="565">
        <v>-1.2630568921500761E-2</v>
      </c>
      <c r="C33" s="566">
        <v>-1.2630568921500761E-2</v>
      </c>
      <c r="D33" s="566">
        <v>-1.2630568921500761E-2</v>
      </c>
      <c r="E33" s="566">
        <v>-1.2630568921500761E-2</v>
      </c>
      <c r="F33" s="566">
        <v>-1.2630568921500761E-2</v>
      </c>
      <c r="G33" s="566">
        <v>-1.2630568921500761E-2</v>
      </c>
      <c r="H33" s="566">
        <v>-1.2630568921500761E-2</v>
      </c>
      <c r="I33" s="566">
        <v>-1.2630568921500761E-2</v>
      </c>
      <c r="J33" s="566">
        <v>-1.2630568921500761E-2</v>
      </c>
      <c r="K33" s="566">
        <v>-1.2630568921500761E-2</v>
      </c>
      <c r="L33" s="567">
        <v>-1.2630568921500761E-2</v>
      </c>
      <c r="N33" s="609">
        <v>31</v>
      </c>
      <c r="O33" s="565">
        <v>5.7635663089777456E-3</v>
      </c>
      <c r="P33" s="566">
        <v>5.7635663089777456E-3</v>
      </c>
      <c r="Q33" s="566">
        <v>5.7635663089777456E-3</v>
      </c>
      <c r="R33" s="566">
        <v>5.7635663089777456E-3</v>
      </c>
      <c r="S33" s="566">
        <v>5.7635663089777456E-3</v>
      </c>
      <c r="T33" s="566">
        <v>5.7635663089777456E-3</v>
      </c>
      <c r="U33" s="566">
        <v>5.7635663089777456E-3</v>
      </c>
      <c r="V33" s="566">
        <v>5.7635663089777456E-3</v>
      </c>
      <c r="W33" s="566">
        <v>5.7635663089777456E-3</v>
      </c>
      <c r="X33" s="566">
        <v>5.7635663089777456E-3</v>
      </c>
      <c r="Y33" s="567">
        <v>5.7635663089777456E-3</v>
      </c>
      <c r="AA33" s="580">
        <v>31</v>
      </c>
      <c r="AB33" s="565">
        <f>IF(ISNUMBER(System!$C34),PlotData!B34+ Querkraft!$E$2*$AF$1*B33,PlotData!$CB$3)</f>
        <v>16.434961972376851</v>
      </c>
      <c r="AC33" s="566">
        <f>IF(ISNUMBER(System!$C34),PlotData!C34+ Querkraft!$E$2*$AF$1*C33,PlotData!$CB$3)</f>
        <v>16.351478672376849</v>
      </c>
      <c r="AD33" s="566">
        <f>IF(ISNUMBER(System!$C34),PlotData!D34+ Querkraft!$E$2*$AF$1*D33,PlotData!$CB$3)</f>
        <v>16.267995372376848</v>
      </c>
      <c r="AE33" s="566">
        <f>IF(ISNUMBER(System!$C34),PlotData!E34+ Querkraft!$E$2*$AF$1*E33,PlotData!$CB$3)</f>
        <v>16.184512072376847</v>
      </c>
      <c r="AF33" s="566">
        <f>IF(ISNUMBER(System!$C34),PlotData!F34+Querkraft!$E$2* $AF$1*F33,PlotData!$CB$3)</f>
        <v>16.101028772376846</v>
      </c>
      <c r="AG33" s="566">
        <f>IF(ISNUMBER(System!$C34),PlotData!G34+ Querkraft!$E$2*$AF$1*G33,PlotData!$CB$3)</f>
        <v>16.017545472376845</v>
      </c>
      <c r="AH33" s="566">
        <f>IF(ISNUMBER(System!$C34),PlotData!H34+Querkraft!$E$2* $AF$1*H33,PlotData!$CB$3)</f>
        <v>15.934062172376848</v>
      </c>
      <c r="AI33" s="566">
        <f>IF(ISNUMBER(System!$C34),PlotData!I34+ Querkraft!$E$2*$AF$1*I33,PlotData!$CB$3)</f>
        <v>15.850578872376849</v>
      </c>
      <c r="AJ33" s="566">
        <f>IF(ISNUMBER(System!$C34),PlotData!J34+Querkraft!$E$2*$AF$1*J33,PlotData!$CB$3)</f>
        <v>15.767095572376849</v>
      </c>
      <c r="AK33" s="566">
        <f>IF(ISNUMBER(System!$C34),PlotData!K34+ Querkraft!$E$2*$AF$1*K33,PlotData!$CB$3)</f>
        <v>15.68361227237685</v>
      </c>
      <c r="AL33" s="567">
        <f>IF(ISNUMBER(System!$C34),PlotData!L34+ Querkraft!$E$2*$AF$1*L33,PlotData!$CB$3)</f>
        <v>15.600128972376851</v>
      </c>
      <c r="AM33" s="565">
        <f>IF(ISNUMBER(System!$C34),PlotData!L34,PlotData!$CB$3)</f>
        <v>15.600816999999997</v>
      </c>
      <c r="AN33" s="566">
        <f>IF(ISNUMBER(System!$C34),PlotData!B34,PlotData!$CB$3)</f>
        <v>16.435649999999999</v>
      </c>
      <c r="AO33" s="447">
        <f>IF(ISNUMBER(System!$C34),AB33,PlotData!$CB$3)</f>
        <v>16.434961972376851</v>
      </c>
      <c r="AQ33" s="609">
        <v>31</v>
      </c>
      <c r="AR33" s="607">
        <f>IF(ISNUMBER(System!$C34),PlotData!O34+ Querkraft!$E$2*$AF$1*O33,PlotData!$CB$4)</f>
        <v>2.7296449599532737</v>
      </c>
      <c r="AS33" s="566">
        <f>IF(ISNUMBER(System!$C34),PlotData!P34+Querkraft!$E$2* $AF$1*P33,PlotData!$CB$4)</f>
        <v>2.5466954599532738</v>
      </c>
      <c r="AT33" s="566">
        <f>IF(ISNUMBER(System!$C34),PlotData!Q34+Querkraft!$E$2*$AF$1*Q33,PlotData!$CB$4)</f>
        <v>2.363745959953274</v>
      </c>
      <c r="AU33" s="566">
        <f>IF(ISNUMBER(System!$C34),PlotData!R34+ Querkraft!$E$2*$AF$1*R33,PlotData!$CB$4)</f>
        <v>2.1807964599532741</v>
      </c>
      <c r="AV33" s="566">
        <f>IF(ISNUMBER(System!$C34),PlotData!S34+ Querkraft!$E$2*$AF$1*S33,PlotData!$CB$4)</f>
        <v>1.9978469599532742</v>
      </c>
      <c r="AW33" s="566">
        <f>IF(ISNUMBER(System!$C34),PlotData!T34+ Querkraft!$E$2*$AF$1*T33,PlotData!$CB$4)</f>
        <v>1.8148974599532741</v>
      </c>
      <c r="AX33" s="566">
        <f>IF(ISNUMBER(System!$C34),PlotData!U34+ Querkraft!$E$2*$AF$1*U33,PlotData!$CB$4)</f>
        <v>1.631947959953274</v>
      </c>
      <c r="AY33" s="566">
        <f>IF(ISNUMBER(System!$C34),PlotData!V34+ Querkraft!$E$2*$AF$1*V33,PlotData!$CB$4)</f>
        <v>1.4489984599532739</v>
      </c>
      <c r="AZ33" s="566">
        <f>IF(ISNUMBER(System!$C34),PlotData!W34+ Querkraft!$E$2*$AF$1*W33,PlotData!$CB$4)</f>
        <v>1.2660489599532738</v>
      </c>
      <c r="BA33" s="566">
        <f>IF(ISNUMBER(System!$C34),PlotData!X34+Querkraft!$E$2* $AF$1*X33,PlotData!$CB$4)</f>
        <v>1.0830994599532737</v>
      </c>
      <c r="BB33" s="567">
        <f>IF(ISNUMBER(System!$C34),PlotData!Y34+Querkraft!$E$2*$AF$1*Y33,PlotData!$CB$4)</f>
        <v>0.90014995995327352</v>
      </c>
      <c r="BC33" s="565">
        <f>IF(ISNUMBER(System!$C34),PlotData!Y34, PlotData!CB$4)</f>
        <v>0.89983599999999986</v>
      </c>
      <c r="BD33" s="566">
        <f>IF(ISNUMBER(System!$C34),PlotData!O34, PlotData!$CB$4)</f>
        <v>2.7293310000000002</v>
      </c>
      <c r="BE33" s="567">
        <f>IF(ISNUMBER(System!$C34), AR33,PlotData!$CB$4)</f>
        <v>2.7296449599532737</v>
      </c>
    </row>
    <row r="34" spans="1:57" x14ac:dyDescent="0.35">
      <c r="A34" s="609">
        <v>32</v>
      </c>
      <c r="B34" s="565">
        <v>-1.2099503984501809E-2</v>
      </c>
      <c r="C34" s="566">
        <v>-1.2099503984501809E-2</v>
      </c>
      <c r="D34" s="566">
        <v>-1.2099503984501809E-2</v>
      </c>
      <c r="E34" s="566">
        <v>-1.2099503984501809E-2</v>
      </c>
      <c r="F34" s="566">
        <v>-1.2099503984501809E-2</v>
      </c>
      <c r="G34" s="566">
        <v>-1.2099503984501809E-2</v>
      </c>
      <c r="H34" s="566">
        <v>-1.2099503984501809E-2</v>
      </c>
      <c r="I34" s="566">
        <v>-1.2099503984501809E-2</v>
      </c>
      <c r="J34" s="566">
        <v>-1.2099503984501809E-2</v>
      </c>
      <c r="K34" s="566">
        <v>-1.2099503984501809E-2</v>
      </c>
      <c r="L34" s="567">
        <v>-1.2099503984501809E-2</v>
      </c>
      <c r="N34" s="609">
        <v>32</v>
      </c>
      <c r="O34" s="565">
        <v>-5.6776330470416463E-3</v>
      </c>
      <c r="P34" s="566">
        <v>-5.6776330470416463E-3</v>
      </c>
      <c r="Q34" s="566">
        <v>-5.6776330470416463E-3</v>
      </c>
      <c r="R34" s="566">
        <v>-5.6776330470416463E-3</v>
      </c>
      <c r="S34" s="566">
        <v>-5.6776330470416463E-3</v>
      </c>
      <c r="T34" s="566">
        <v>-5.6776330470416463E-3</v>
      </c>
      <c r="U34" s="566">
        <v>-5.6776330470416463E-3</v>
      </c>
      <c r="V34" s="566">
        <v>-5.6776330470416463E-3</v>
      </c>
      <c r="W34" s="566">
        <v>-5.6776330470416463E-3</v>
      </c>
      <c r="X34" s="566">
        <v>-5.6776330470416463E-3</v>
      </c>
      <c r="Y34" s="567">
        <v>-5.6776330470416463E-3</v>
      </c>
      <c r="AA34" s="580">
        <v>32</v>
      </c>
      <c r="AB34" s="565">
        <f>IF(ISNUMBER(System!$C35),PlotData!B35+ Querkraft!$E$2*$AF$1*B34,PlotData!$CB$3)</f>
        <v>17.455343901188265</v>
      </c>
      <c r="AC34" s="566">
        <f>IF(ISNUMBER(System!$C35),PlotData!C35+ Querkraft!$E$2*$AF$1*C34,PlotData!$CB$3)</f>
        <v>17.541919201188264</v>
      </c>
      <c r="AD34" s="566">
        <f>IF(ISNUMBER(System!$C35),PlotData!D35+ Querkraft!$E$2*$AF$1*D34,PlotData!$CB$3)</f>
        <v>17.628494501188264</v>
      </c>
      <c r="AE34" s="566">
        <f>IF(ISNUMBER(System!$C35),PlotData!E35+ Querkraft!$E$2*$AF$1*E34,PlotData!$CB$3)</f>
        <v>17.715069801188264</v>
      </c>
      <c r="AF34" s="566">
        <f>IF(ISNUMBER(System!$C35),PlotData!F35+Querkraft!$E$2* $AF$1*F34,PlotData!$CB$3)</f>
        <v>17.801645101188264</v>
      </c>
      <c r="AG34" s="566">
        <f>IF(ISNUMBER(System!$C35),PlotData!G35+ Querkraft!$E$2*$AF$1*G34,PlotData!$CB$3)</f>
        <v>17.888220401188264</v>
      </c>
      <c r="AH34" s="566">
        <f>IF(ISNUMBER(System!$C35),PlotData!H35+Querkraft!$E$2* $AF$1*H34,PlotData!$CB$3)</f>
        <v>17.974795701188263</v>
      </c>
      <c r="AI34" s="566">
        <f>IF(ISNUMBER(System!$C35),PlotData!I35+ Querkraft!$E$2*$AF$1*I34,PlotData!$CB$3)</f>
        <v>18.061371001188263</v>
      </c>
      <c r="AJ34" s="566">
        <f>IF(ISNUMBER(System!$C35),PlotData!J35+Querkraft!$E$2*$AF$1*J34,PlotData!$CB$3)</f>
        <v>18.147946301188263</v>
      </c>
      <c r="AK34" s="566">
        <f>IF(ISNUMBER(System!$C35),PlotData!K35+ Querkraft!$E$2*$AF$1*K34,PlotData!$CB$3)</f>
        <v>18.234521601188263</v>
      </c>
      <c r="AL34" s="567">
        <f>IF(ISNUMBER(System!$C35),PlotData!L35+ Querkraft!$E$2*$AF$1*L34,PlotData!$CB$3)</f>
        <v>18.321096901188263</v>
      </c>
      <c r="AM34" s="565">
        <f>IF(ISNUMBER(System!$C35),PlotData!L35,PlotData!$CB$3)</f>
        <v>18.321755999999997</v>
      </c>
      <c r="AN34" s="566">
        <f>IF(ISNUMBER(System!$C35),PlotData!B35,PlotData!$CB$3)</f>
        <v>17.456002999999999</v>
      </c>
      <c r="AO34" s="447">
        <f>IF(ISNUMBER(System!$C35),AB34,PlotData!$CB$3)</f>
        <v>17.455343901188265</v>
      </c>
      <c r="AQ34" s="609">
        <v>32</v>
      </c>
      <c r="AR34" s="607">
        <f>IF(ISNUMBER(System!$C35),PlotData!O35+ Querkraft!$E$2*$AF$1*O34,PlotData!$CB$4)</f>
        <v>2.7445177211072807</v>
      </c>
      <c r="AS34" s="566">
        <f>IF(ISNUMBER(System!$C35),PlotData!P35+Querkraft!$E$2* $AF$1*P34,PlotData!$CB$4)</f>
        <v>2.5600186211072806</v>
      </c>
      <c r="AT34" s="566">
        <f>IF(ISNUMBER(System!$C35),PlotData!Q35+Querkraft!$E$2*$AF$1*Q34,PlotData!$CB$4)</f>
        <v>2.3755195211072806</v>
      </c>
      <c r="AU34" s="566">
        <f>IF(ISNUMBER(System!$C35),PlotData!R35+ Querkraft!$E$2*$AF$1*R34,PlotData!$CB$4)</f>
        <v>2.1910204211072806</v>
      </c>
      <c r="AV34" s="566">
        <f>IF(ISNUMBER(System!$C35),PlotData!S35+ Querkraft!$E$2*$AF$1*S34,PlotData!$CB$4)</f>
        <v>2.0065213211072805</v>
      </c>
      <c r="AW34" s="566">
        <f>IF(ISNUMBER(System!$C35),PlotData!T35+ Querkraft!$E$2*$AF$1*T34,PlotData!$CB$4)</f>
        <v>1.8220222211072805</v>
      </c>
      <c r="AX34" s="566">
        <f>IF(ISNUMBER(System!$C35),PlotData!U35+ Querkraft!$E$2*$AF$1*U34,PlotData!$CB$4)</f>
        <v>1.6375231211072805</v>
      </c>
      <c r="AY34" s="566">
        <f>IF(ISNUMBER(System!$C35),PlotData!V35+ Querkraft!$E$2*$AF$1*V34,PlotData!$CB$4)</f>
        <v>1.4530240211072805</v>
      </c>
      <c r="AZ34" s="566">
        <f>IF(ISNUMBER(System!$C35),PlotData!W35+ Querkraft!$E$2*$AF$1*W34,PlotData!$CB$4)</f>
        <v>1.2685249211072804</v>
      </c>
      <c r="BA34" s="566">
        <f>IF(ISNUMBER(System!$C35),PlotData!X35+Querkraft!$E$2* $AF$1*X34,PlotData!$CB$4)</f>
        <v>1.0840258211072804</v>
      </c>
      <c r="BB34" s="567">
        <f>IF(ISNUMBER(System!$C35),PlotData!Y35+Querkraft!$E$2*$AF$1*Y34,PlotData!$CB$4)</f>
        <v>0.89952672110728049</v>
      </c>
      <c r="BC34" s="565">
        <f>IF(ISNUMBER(System!$C35),PlotData!Y35, PlotData!CB$4)</f>
        <v>0.89983599999999964</v>
      </c>
      <c r="BD34" s="566">
        <f>IF(ISNUMBER(System!$C35),PlotData!O35, PlotData!$CB$4)</f>
        <v>2.7448269999999999</v>
      </c>
      <c r="BE34" s="567">
        <f>IF(ISNUMBER(System!$C35), AR34,PlotData!$CB$4)</f>
        <v>2.7445177211072807</v>
      </c>
    </row>
    <row r="35" spans="1:57" x14ac:dyDescent="0.35">
      <c r="A35" s="609">
        <v>33</v>
      </c>
      <c r="B35" s="565">
        <v>-2.6738432199401718E-4</v>
      </c>
      <c r="C35" s="566">
        <v>-2.6738432199401718E-4</v>
      </c>
      <c r="D35" s="566">
        <v>-2.6738432199401718E-4</v>
      </c>
      <c r="E35" s="566">
        <v>-2.6738432199401718E-4</v>
      </c>
      <c r="F35" s="566">
        <v>-2.6738432199401718E-4</v>
      </c>
      <c r="G35" s="566">
        <v>-2.6738432199401718E-4</v>
      </c>
      <c r="H35" s="566">
        <v>-2.6738432199401718E-4</v>
      </c>
      <c r="I35" s="566">
        <v>-2.6738432199401718E-4</v>
      </c>
      <c r="J35" s="566">
        <v>-2.6738432199401718E-4</v>
      </c>
      <c r="K35" s="566">
        <v>-2.6738432199401718E-4</v>
      </c>
      <c r="L35" s="567">
        <v>-2.6738432199401718E-4</v>
      </c>
      <c r="N35" s="609">
        <v>33</v>
      </c>
      <c r="O35" s="565">
        <v>1.7606246457122235E-2</v>
      </c>
      <c r="P35" s="566">
        <v>1.7606246457122235E-2</v>
      </c>
      <c r="Q35" s="566">
        <v>1.7606246457122235E-2</v>
      </c>
      <c r="R35" s="566">
        <v>1.7606246457122235E-2</v>
      </c>
      <c r="S35" s="566">
        <v>1.7606246457122235E-2</v>
      </c>
      <c r="T35" s="566">
        <v>1.7606246457122235E-2</v>
      </c>
      <c r="U35" s="566">
        <v>1.7606246457122235E-2</v>
      </c>
      <c r="V35" s="566">
        <v>1.7606246457122235E-2</v>
      </c>
      <c r="W35" s="566">
        <v>1.7606246457122235E-2</v>
      </c>
      <c r="X35" s="566">
        <v>1.7606246457122235E-2</v>
      </c>
      <c r="Y35" s="567">
        <v>1.7606246457122235E-2</v>
      </c>
      <c r="AA35" s="580">
        <v>33</v>
      </c>
      <c r="AB35" s="565">
        <f>IF(ISNUMBER(System!$C36),PlotData!B36+ Querkraft!$E$2*$AF$1*B35,PlotData!$CB$3)</f>
        <v>16.435635434717891</v>
      </c>
      <c r="AC35" s="566">
        <f>IF(ISNUMBER(System!$C36),PlotData!C36+ Querkraft!$E$2*$AF$1*C35,PlotData!$CB$3)</f>
        <v>16.537670734717892</v>
      </c>
      <c r="AD35" s="566">
        <f>IF(ISNUMBER(System!$C36),PlotData!D36+ Querkraft!$E$2*$AF$1*D35,PlotData!$CB$3)</f>
        <v>16.639706034717893</v>
      </c>
      <c r="AE35" s="566">
        <f>IF(ISNUMBER(System!$C36),PlotData!E36+ Querkraft!$E$2*$AF$1*E35,PlotData!$CB$3)</f>
        <v>16.741741334717894</v>
      </c>
      <c r="AF35" s="566">
        <f>IF(ISNUMBER(System!$C36),PlotData!F36+Querkraft!$E$2* $AF$1*F35,PlotData!$CB$3)</f>
        <v>16.843776634717894</v>
      </c>
      <c r="AG35" s="566">
        <f>IF(ISNUMBER(System!$C36),PlotData!G36+ Querkraft!$E$2*$AF$1*G35,PlotData!$CB$3)</f>
        <v>16.945811934717895</v>
      </c>
      <c r="AH35" s="566">
        <f>IF(ISNUMBER(System!$C36),PlotData!H36+Querkraft!$E$2* $AF$1*H35,PlotData!$CB$3)</f>
        <v>17.047847234717896</v>
      </c>
      <c r="AI35" s="566">
        <f>IF(ISNUMBER(System!$C36),PlotData!I36+ Querkraft!$E$2*$AF$1*I35,PlotData!$CB$3)</f>
        <v>17.149882534717896</v>
      </c>
      <c r="AJ35" s="566">
        <f>IF(ISNUMBER(System!$C36),PlotData!J36+Querkraft!$E$2*$AF$1*J35,PlotData!$CB$3)</f>
        <v>17.251917834717897</v>
      </c>
      <c r="AK35" s="566">
        <f>IF(ISNUMBER(System!$C36),PlotData!K36+ Querkraft!$E$2*$AF$1*K35,PlotData!$CB$3)</f>
        <v>17.353953134717898</v>
      </c>
      <c r="AL35" s="567">
        <f>IF(ISNUMBER(System!$C36),PlotData!L36+ Querkraft!$E$2*$AF$1*L35,PlotData!$CB$3)</f>
        <v>17.455988434717899</v>
      </c>
      <c r="AM35" s="565">
        <f>IF(ISNUMBER(System!$C36),PlotData!L36,PlotData!$CB$3)</f>
        <v>17.456003000000006</v>
      </c>
      <c r="AN35" s="566">
        <f>IF(ISNUMBER(System!$C36),PlotData!B36,PlotData!$CB$3)</f>
        <v>16.435649999999999</v>
      </c>
      <c r="AO35" s="447">
        <f>IF(ISNUMBER(System!$C36),AB35,PlotData!$CB$3)</f>
        <v>16.435635434717891</v>
      </c>
      <c r="AQ35" s="609">
        <v>33</v>
      </c>
      <c r="AR35" s="607">
        <f>IF(ISNUMBER(System!$C36),PlotData!O36+ Querkraft!$E$2*$AF$1*O35,PlotData!$CB$4)</f>
        <v>2.7302900687464451</v>
      </c>
      <c r="AS35" s="566">
        <f>IF(ISNUMBER(System!$C36),PlotData!P36+Querkraft!$E$2* $AF$1*P35,PlotData!$CB$4)</f>
        <v>2.7318396687464452</v>
      </c>
      <c r="AT35" s="566">
        <f>IF(ISNUMBER(System!$C36),PlotData!Q36+Querkraft!$E$2*$AF$1*Q35,PlotData!$CB$4)</f>
        <v>2.7333892687464454</v>
      </c>
      <c r="AU35" s="566">
        <f>IF(ISNUMBER(System!$C36),PlotData!R36+ Querkraft!$E$2*$AF$1*R35,PlotData!$CB$4)</f>
        <v>2.7349388687464455</v>
      </c>
      <c r="AV35" s="566">
        <f>IF(ISNUMBER(System!$C36),PlotData!S36+ Querkraft!$E$2*$AF$1*S35,PlotData!$CB$4)</f>
        <v>2.7364884687464457</v>
      </c>
      <c r="AW35" s="566">
        <f>IF(ISNUMBER(System!$C36),PlotData!T36+ Querkraft!$E$2*$AF$1*T35,PlotData!$CB$4)</f>
        <v>2.7380380687464458</v>
      </c>
      <c r="AX35" s="566">
        <f>IF(ISNUMBER(System!$C36),PlotData!U36+ Querkraft!$E$2*$AF$1*U35,PlotData!$CB$4)</f>
        <v>2.739587668746446</v>
      </c>
      <c r="AY35" s="566">
        <f>IF(ISNUMBER(System!$C36),PlotData!V36+ Querkraft!$E$2*$AF$1*V35,PlotData!$CB$4)</f>
        <v>2.7411372687464461</v>
      </c>
      <c r="AZ35" s="566">
        <f>IF(ISNUMBER(System!$C36),PlotData!W36+ Querkraft!$E$2*$AF$1*W35,PlotData!$CB$4)</f>
        <v>2.7426868687464463</v>
      </c>
      <c r="BA35" s="566">
        <f>IF(ISNUMBER(System!$C36),PlotData!X36+Querkraft!$E$2* $AF$1*X35,PlotData!$CB$4)</f>
        <v>2.7442364687464464</v>
      </c>
      <c r="BB35" s="567">
        <f>IF(ISNUMBER(System!$C36),PlotData!Y36+Querkraft!$E$2*$AF$1*Y35,PlotData!$CB$4)</f>
        <v>2.7457860687464466</v>
      </c>
      <c r="BC35" s="565">
        <f>IF(ISNUMBER(System!$C36),PlotData!Y36, PlotData!CB$4)</f>
        <v>2.7448270000000017</v>
      </c>
      <c r="BD35" s="566">
        <f>IF(ISNUMBER(System!$C36),PlotData!O36, PlotData!$CB$4)</f>
        <v>2.7293310000000002</v>
      </c>
      <c r="BE35" s="567">
        <f>IF(ISNUMBER(System!$C36), AR35,PlotData!$CB$4)</f>
        <v>2.7302900687464451</v>
      </c>
    </row>
    <row r="36" spans="1:57" x14ac:dyDescent="0.35">
      <c r="A36" s="609">
        <v>34</v>
      </c>
      <c r="B36" s="565"/>
      <c r="C36" s="566"/>
      <c r="D36" s="566"/>
      <c r="E36" s="566"/>
      <c r="F36" s="566"/>
      <c r="G36" s="566"/>
      <c r="H36" s="566"/>
      <c r="I36" s="566"/>
      <c r="J36" s="566"/>
      <c r="K36" s="566"/>
      <c r="L36" s="567"/>
      <c r="N36" s="609">
        <v>34</v>
      </c>
      <c r="O36" s="565"/>
      <c r="P36" s="566"/>
      <c r="Q36" s="566"/>
      <c r="R36" s="566"/>
      <c r="S36" s="566"/>
      <c r="T36" s="566"/>
      <c r="U36" s="566"/>
      <c r="V36" s="566"/>
      <c r="W36" s="566"/>
      <c r="X36" s="566"/>
      <c r="Y36" s="567"/>
      <c r="AA36" s="580">
        <v>34</v>
      </c>
      <c r="AB36" s="565">
        <f>IF(ISNUMBER(System!$C37),PlotData!B37+ Querkraft!$E$2*$AF$1*B36,PlotData!$CB$3)</f>
        <v>7.6500000953674316</v>
      </c>
      <c r="AC36" s="566">
        <f>IF(ISNUMBER(System!$C37),PlotData!C37+ Querkraft!$E$2*$AF$1*C36,PlotData!$CB$3)</f>
        <v>7.6500000953674316</v>
      </c>
      <c r="AD36" s="566">
        <f>IF(ISNUMBER(System!$C37),PlotData!D37+ Querkraft!$E$2*$AF$1*D36,PlotData!$CB$3)</f>
        <v>7.6500000953674316</v>
      </c>
      <c r="AE36" s="566">
        <f>IF(ISNUMBER(System!$C37),PlotData!E37+ Querkraft!$E$2*$AF$1*E36,PlotData!$CB$3)</f>
        <v>7.6500000953674316</v>
      </c>
      <c r="AF36" s="566">
        <f>IF(ISNUMBER(System!$C37),PlotData!F37+Querkraft!$E$2* $AF$1*F36,PlotData!$CB$3)</f>
        <v>7.6500000953674316</v>
      </c>
      <c r="AG36" s="566">
        <f>IF(ISNUMBER(System!$C37),PlotData!G37+ Querkraft!$E$2*$AF$1*G36,PlotData!$CB$3)</f>
        <v>7.6500000953674316</v>
      </c>
      <c r="AH36" s="566">
        <f>IF(ISNUMBER(System!$C37),PlotData!H37+Querkraft!$E$2* $AF$1*H36,PlotData!$CB$3)</f>
        <v>7.6500000953674316</v>
      </c>
      <c r="AI36" s="566">
        <f>IF(ISNUMBER(System!$C37),PlotData!I37+ Querkraft!$E$2*$AF$1*I36,PlotData!$CB$3)</f>
        <v>7.6500000953674316</v>
      </c>
      <c r="AJ36" s="566">
        <f>IF(ISNUMBER(System!$C37),PlotData!J37+Querkraft!$E$2*$AF$1*J36,PlotData!$CB$3)</f>
        <v>7.6500000953674316</v>
      </c>
      <c r="AK36" s="566">
        <f>IF(ISNUMBER(System!$C37),PlotData!K37+ Querkraft!$E$2*$AF$1*K36,PlotData!$CB$3)</f>
        <v>7.6500000953674316</v>
      </c>
      <c r="AL36" s="567">
        <f>IF(ISNUMBER(System!$C37),PlotData!L37+ Querkraft!$E$2*$AF$1*L36,PlotData!$CB$3)</f>
        <v>7.6500000953674316</v>
      </c>
      <c r="AM36" s="565">
        <f>IF(ISNUMBER(System!$C37),PlotData!L37,PlotData!$CB$3)</f>
        <v>7.6500000953674316</v>
      </c>
      <c r="AN36" s="566">
        <f>IF(ISNUMBER(System!$C37),PlotData!B37,PlotData!$CB$3)</f>
        <v>7.6500000953674316</v>
      </c>
      <c r="AO36" s="447">
        <f>IF(ISNUMBER(System!$C37),AB36,PlotData!$CB$3)</f>
        <v>7.6500000953674316</v>
      </c>
      <c r="AQ36" s="609">
        <v>34</v>
      </c>
      <c r="AR36" s="607">
        <f>IF(ISNUMBER(System!$C37),PlotData!O37+ Querkraft!$E$2*$AF$1*O36,PlotData!$CB$4)</f>
        <v>0.75</v>
      </c>
      <c r="AS36" s="566">
        <f>IF(ISNUMBER(System!$C37),PlotData!P37+Querkraft!$E$2* $AF$1*P36,PlotData!$CB$4)</f>
        <v>0.75</v>
      </c>
      <c r="AT36" s="566">
        <f>IF(ISNUMBER(System!$C37),PlotData!Q37+Querkraft!$E$2*$AF$1*Q36,PlotData!$CB$4)</f>
        <v>0.75</v>
      </c>
      <c r="AU36" s="566">
        <f>IF(ISNUMBER(System!$C37),PlotData!R37+ Querkraft!$E$2*$AF$1*R36,PlotData!$CB$4)</f>
        <v>0.75</v>
      </c>
      <c r="AV36" s="566">
        <f>IF(ISNUMBER(System!$C37),PlotData!S37+ Querkraft!$E$2*$AF$1*S36,PlotData!$CB$4)</f>
        <v>0.75</v>
      </c>
      <c r="AW36" s="566">
        <f>IF(ISNUMBER(System!$C37),PlotData!T37+ Querkraft!$E$2*$AF$1*T36,PlotData!$CB$4)</f>
        <v>0.75</v>
      </c>
      <c r="AX36" s="566">
        <f>IF(ISNUMBER(System!$C37),PlotData!U37+ Querkraft!$E$2*$AF$1*U36,PlotData!$CB$4)</f>
        <v>0.75</v>
      </c>
      <c r="AY36" s="566">
        <f>IF(ISNUMBER(System!$C37),PlotData!V37+ Querkraft!$E$2*$AF$1*V36,PlotData!$CB$4)</f>
        <v>0.75</v>
      </c>
      <c r="AZ36" s="566">
        <f>IF(ISNUMBER(System!$C37),PlotData!W37+ Querkraft!$E$2*$AF$1*W36,PlotData!$CB$4)</f>
        <v>0.75</v>
      </c>
      <c r="BA36" s="566">
        <f>IF(ISNUMBER(System!$C37),PlotData!X37+Querkraft!$E$2* $AF$1*X36,PlotData!$CB$4)</f>
        <v>0.75</v>
      </c>
      <c r="BB36" s="567">
        <f>IF(ISNUMBER(System!$C37),PlotData!Y37+Querkraft!$E$2*$AF$1*Y36,PlotData!$CB$4)</f>
        <v>0.75</v>
      </c>
      <c r="BC36" s="565">
        <f>IF(ISNUMBER(System!$C37),PlotData!Y37, PlotData!CB$4)</f>
        <v>0.75</v>
      </c>
      <c r="BD36" s="566">
        <f>IF(ISNUMBER(System!$C37),PlotData!O37, PlotData!$CB$4)</f>
        <v>0.75</v>
      </c>
      <c r="BE36" s="567">
        <f>IF(ISNUMBER(System!$C37), AR36,PlotData!$CB$4)</f>
        <v>0.75</v>
      </c>
    </row>
    <row r="37" spans="1:57" x14ac:dyDescent="0.35">
      <c r="A37" s="609">
        <v>35</v>
      </c>
      <c r="B37" s="565"/>
      <c r="C37" s="566"/>
      <c r="D37" s="566"/>
      <c r="E37" s="566"/>
      <c r="F37" s="566"/>
      <c r="G37" s="566"/>
      <c r="H37" s="566"/>
      <c r="I37" s="566"/>
      <c r="J37" s="566"/>
      <c r="K37" s="566"/>
      <c r="L37" s="567"/>
      <c r="N37" s="609">
        <v>35</v>
      </c>
      <c r="O37" s="565"/>
      <c r="P37" s="566"/>
      <c r="Q37" s="566"/>
      <c r="R37" s="566"/>
      <c r="S37" s="566"/>
      <c r="T37" s="566"/>
      <c r="U37" s="566"/>
      <c r="V37" s="566"/>
      <c r="W37" s="566"/>
      <c r="X37" s="566"/>
      <c r="Y37" s="567"/>
      <c r="AA37" s="580">
        <v>35</v>
      </c>
      <c r="AB37" s="565">
        <f>IF(ISNUMBER(System!$C38),PlotData!B38+ Querkraft!$E$2*$AF$1*B37,PlotData!$CB$3)</f>
        <v>7.6500000953674316</v>
      </c>
      <c r="AC37" s="566">
        <f>IF(ISNUMBER(System!$C38),PlotData!C38+ Querkraft!$E$2*$AF$1*C37,PlotData!$CB$3)</f>
        <v>7.6500000953674316</v>
      </c>
      <c r="AD37" s="566">
        <f>IF(ISNUMBER(System!$C38),PlotData!D38+ Querkraft!$E$2*$AF$1*D37,PlotData!$CB$3)</f>
        <v>7.6500000953674316</v>
      </c>
      <c r="AE37" s="566">
        <f>IF(ISNUMBER(System!$C38),PlotData!E38+ Querkraft!$E$2*$AF$1*E37,PlotData!$CB$3)</f>
        <v>7.6500000953674316</v>
      </c>
      <c r="AF37" s="566">
        <f>IF(ISNUMBER(System!$C38),PlotData!F38+Querkraft!$E$2* $AF$1*F37,PlotData!$CB$3)</f>
        <v>7.6500000953674316</v>
      </c>
      <c r="AG37" s="566">
        <f>IF(ISNUMBER(System!$C38),PlotData!G38+ Querkraft!$E$2*$AF$1*G37,PlotData!$CB$3)</f>
        <v>7.6500000953674316</v>
      </c>
      <c r="AH37" s="566">
        <f>IF(ISNUMBER(System!$C38),PlotData!H38+Querkraft!$E$2* $AF$1*H37,PlotData!$CB$3)</f>
        <v>7.6500000953674316</v>
      </c>
      <c r="AI37" s="566">
        <f>IF(ISNUMBER(System!$C38),PlotData!I38+ Querkraft!$E$2*$AF$1*I37,PlotData!$CB$3)</f>
        <v>7.6500000953674316</v>
      </c>
      <c r="AJ37" s="566">
        <f>IF(ISNUMBER(System!$C38),PlotData!J38+Querkraft!$E$2*$AF$1*J37,PlotData!$CB$3)</f>
        <v>7.6500000953674316</v>
      </c>
      <c r="AK37" s="566">
        <f>IF(ISNUMBER(System!$C38),PlotData!K38+ Querkraft!$E$2*$AF$1*K37,PlotData!$CB$3)</f>
        <v>7.6500000953674316</v>
      </c>
      <c r="AL37" s="567">
        <f>IF(ISNUMBER(System!$C38),PlotData!L38+ Querkraft!$E$2*$AF$1*L37,PlotData!$CB$3)</f>
        <v>7.6500000953674316</v>
      </c>
      <c r="AM37" s="565">
        <f>IF(ISNUMBER(System!$C38),PlotData!L38,PlotData!$CB$3)</f>
        <v>7.6500000953674316</v>
      </c>
      <c r="AN37" s="566">
        <f>IF(ISNUMBER(System!$C38),PlotData!B38,PlotData!$CB$3)</f>
        <v>7.6500000953674316</v>
      </c>
      <c r="AO37" s="447">
        <f>IF(ISNUMBER(System!$C38),AB37,PlotData!$CB$3)</f>
        <v>7.6500000953674316</v>
      </c>
      <c r="AQ37" s="609">
        <v>35</v>
      </c>
      <c r="AR37" s="607">
        <f>IF(ISNUMBER(System!$C38),PlotData!O38+ Querkraft!$E$2*$AF$1*O37,PlotData!$CB$4)</f>
        <v>0.75</v>
      </c>
      <c r="AS37" s="566">
        <f>IF(ISNUMBER(System!$C38),PlotData!P38+Querkraft!$E$2* $AF$1*P37,PlotData!$CB$4)</f>
        <v>0.75</v>
      </c>
      <c r="AT37" s="566">
        <f>IF(ISNUMBER(System!$C38),PlotData!Q38+Querkraft!$E$2*$AF$1*Q37,PlotData!$CB$4)</f>
        <v>0.75</v>
      </c>
      <c r="AU37" s="566">
        <f>IF(ISNUMBER(System!$C38),PlotData!R38+ Querkraft!$E$2*$AF$1*R37,PlotData!$CB$4)</f>
        <v>0.75</v>
      </c>
      <c r="AV37" s="566">
        <f>IF(ISNUMBER(System!$C38),PlotData!S38+ Querkraft!$E$2*$AF$1*S37,PlotData!$CB$4)</f>
        <v>0.75</v>
      </c>
      <c r="AW37" s="566">
        <f>IF(ISNUMBER(System!$C38),PlotData!T38+ Querkraft!$E$2*$AF$1*T37,PlotData!$CB$4)</f>
        <v>0.75</v>
      </c>
      <c r="AX37" s="566">
        <f>IF(ISNUMBER(System!$C38),PlotData!U38+ Querkraft!$E$2*$AF$1*U37,PlotData!$CB$4)</f>
        <v>0.75</v>
      </c>
      <c r="AY37" s="566">
        <f>IF(ISNUMBER(System!$C38),PlotData!V38+ Querkraft!$E$2*$AF$1*V37,PlotData!$CB$4)</f>
        <v>0.75</v>
      </c>
      <c r="AZ37" s="566">
        <f>IF(ISNUMBER(System!$C38),PlotData!W38+ Querkraft!$E$2*$AF$1*W37,PlotData!$CB$4)</f>
        <v>0.75</v>
      </c>
      <c r="BA37" s="566">
        <f>IF(ISNUMBER(System!$C38),PlotData!X38+Querkraft!$E$2* $AF$1*X37,PlotData!$CB$4)</f>
        <v>0.75</v>
      </c>
      <c r="BB37" s="567">
        <f>IF(ISNUMBER(System!$C38),PlotData!Y38+Querkraft!$E$2*$AF$1*Y37,PlotData!$CB$4)</f>
        <v>0.75</v>
      </c>
      <c r="BC37" s="565">
        <f>IF(ISNUMBER(System!$C38),PlotData!Y38, PlotData!CB$4)</f>
        <v>0.75</v>
      </c>
      <c r="BD37" s="566">
        <f>IF(ISNUMBER(System!$C38),PlotData!O38, PlotData!$CB$4)</f>
        <v>0.75</v>
      </c>
      <c r="BE37" s="567">
        <f>IF(ISNUMBER(System!$C38), AR37,PlotData!$CB$4)</f>
        <v>0.75</v>
      </c>
    </row>
    <row r="38" spans="1:57" x14ac:dyDescent="0.35">
      <c r="A38" s="609">
        <v>36</v>
      </c>
      <c r="B38" s="565"/>
      <c r="C38" s="566"/>
      <c r="D38" s="566"/>
      <c r="E38" s="566"/>
      <c r="F38" s="566"/>
      <c r="G38" s="566"/>
      <c r="H38" s="566"/>
      <c r="I38" s="566"/>
      <c r="J38" s="566"/>
      <c r="K38" s="566"/>
      <c r="L38" s="567"/>
      <c r="N38" s="609">
        <v>36</v>
      </c>
      <c r="O38" s="565"/>
      <c r="P38" s="566"/>
      <c r="Q38" s="566"/>
      <c r="R38" s="566"/>
      <c r="S38" s="566"/>
      <c r="T38" s="566"/>
      <c r="U38" s="566"/>
      <c r="V38" s="566"/>
      <c r="W38" s="566"/>
      <c r="X38" s="566"/>
      <c r="Y38" s="567"/>
      <c r="AA38" s="580">
        <v>36</v>
      </c>
      <c r="AB38" s="565">
        <f>IF(ISNUMBER(System!$C39),PlotData!B39+ Querkraft!$E$2*$AF$1*B38,PlotData!$CB$3)</f>
        <v>7.6500000953674316</v>
      </c>
      <c r="AC38" s="566">
        <f>IF(ISNUMBER(System!$C39),PlotData!C39+ Querkraft!$E$2*$AF$1*C38,PlotData!$CB$3)</f>
        <v>7.6500000953674316</v>
      </c>
      <c r="AD38" s="566">
        <f>IF(ISNUMBER(System!$C39),PlotData!D39+ Querkraft!$E$2*$AF$1*D38,PlotData!$CB$3)</f>
        <v>7.6500000953674316</v>
      </c>
      <c r="AE38" s="566">
        <f>IF(ISNUMBER(System!$C39),PlotData!E39+ Querkraft!$E$2*$AF$1*E38,PlotData!$CB$3)</f>
        <v>7.6500000953674316</v>
      </c>
      <c r="AF38" s="566">
        <f>IF(ISNUMBER(System!$C39),PlotData!F39+Querkraft!$E$2* $AF$1*F38,PlotData!$CB$3)</f>
        <v>7.6500000953674316</v>
      </c>
      <c r="AG38" s="566">
        <f>IF(ISNUMBER(System!$C39),PlotData!G39+ Querkraft!$E$2*$AF$1*G38,PlotData!$CB$3)</f>
        <v>7.6500000953674316</v>
      </c>
      <c r="AH38" s="566">
        <f>IF(ISNUMBER(System!$C39),PlotData!H39+Querkraft!$E$2* $AF$1*H38,PlotData!$CB$3)</f>
        <v>7.6500000953674316</v>
      </c>
      <c r="AI38" s="566">
        <f>IF(ISNUMBER(System!$C39),PlotData!I39+ Querkraft!$E$2*$AF$1*I38,PlotData!$CB$3)</f>
        <v>7.6500000953674316</v>
      </c>
      <c r="AJ38" s="566">
        <f>IF(ISNUMBER(System!$C39),PlotData!J39+Querkraft!$E$2*$AF$1*J38,PlotData!$CB$3)</f>
        <v>7.6500000953674316</v>
      </c>
      <c r="AK38" s="566">
        <f>IF(ISNUMBER(System!$C39),PlotData!K39+ Querkraft!$E$2*$AF$1*K38,PlotData!$CB$3)</f>
        <v>7.6500000953674316</v>
      </c>
      <c r="AL38" s="567">
        <f>IF(ISNUMBER(System!$C39),PlotData!L39+ Querkraft!$E$2*$AF$1*L38,PlotData!$CB$3)</f>
        <v>7.6500000953674316</v>
      </c>
      <c r="AM38" s="565">
        <f>IF(ISNUMBER(System!$C39),PlotData!L39,PlotData!$CB$3)</f>
        <v>7.6500000953674316</v>
      </c>
      <c r="AN38" s="566">
        <f>IF(ISNUMBER(System!$C39),PlotData!B39,PlotData!$CB$3)</f>
        <v>7.6500000953674316</v>
      </c>
      <c r="AO38" s="447">
        <f>IF(ISNUMBER(System!$C39),AB38,PlotData!$CB$3)</f>
        <v>7.6500000953674316</v>
      </c>
      <c r="AQ38" s="609">
        <v>36</v>
      </c>
      <c r="AR38" s="607">
        <f>IF(ISNUMBER(System!$C39),PlotData!O39+ Querkraft!$E$2*$AF$1*O38,PlotData!$CB$4)</f>
        <v>0.75</v>
      </c>
      <c r="AS38" s="566">
        <f>IF(ISNUMBER(System!$C39),PlotData!P39+Querkraft!$E$2* $AF$1*P38,PlotData!$CB$4)</f>
        <v>0.75</v>
      </c>
      <c r="AT38" s="566">
        <f>IF(ISNUMBER(System!$C39),PlotData!Q39+Querkraft!$E$2*$AF$1*Q38,PlotData!$CB$4)</f>
        <v>0.75</v>
      </c>
      <c r="AU38" s="566">
        <f>IF(ISNUMBER(System!$C39),PlotData!R39+ Querkraft!$E$2*$AF$1*R38,PlotData!$CB$4)</f>
        <v>0.75</v>
      </c>
      <c r="AV38" s="566">
        <f>IF(ISNUMBER(System!$C39),PlotData!S39+ Querkraft!$E$2*$AF$1*S38,PlotData!$CB$4)</f>
        <v>0.75</v>
      </c>
      <c r="AW38" s="566">
        <f>IF(ISNUMBER(System!$C39),PlotData!T39+ Querkraft!$E$2*$AF$1*T38,PlotData!$CB$4)</f>
        <v>0.75</v>
      </c>
      <c r="AX38" s="566">
        <f>IF(ISNUMBER(System!$C39),PlotData!U39+ Querkraft!$E$2*$AF$1*U38,PlotData!$CB$4)</f>
        <v>0.75</v>
      </c>
      <c r="AY38" s="566">
        <f>IF(ISNUMBER(System!$C39),PlotData!V39+ Querkraft!$E$2*$AF$1*V38,PlotData!$CB$4)</f>
        <v>0.75</v>
      </c>
      <c r="AZ38" s="566">
        <f>IF(ISNUMBER(System!$C39),PlotData!W39+ Querkraft!$E$2*$AF$1*W38,PlotData!$CB$4)</f>
        <v>0.75</v>
      </c>
      <c r="BA38" s="566">
        <f>IF(ISNUMBER(System!$C39),PlotData!X39+Querkraft!$E$2* $AF$1*X38,PlotData!$CB$4)</f>
        <v>0.75</v>
      </c>
      <c r="BB38" s="567">
        <f>IF(ISNUMBER(System!$C39),PlotData!Y39+Querkraft!$E$2*$AF$1*Y38,PlotData!$CB$4)</f>
        <v>0.75</v>
      </c>
      <c r="BC38" s="565">
        <f>IF(ISNUMBER(System!$C39),PlotData!Y39, PlotData!CB$4)</f>
        <v>0.75</v>
      </c>
      <c r="BD38" s="566">
        <f>IF(ISNUMBER(System!$C39),PlotData!O39, PlotData!$CB$4)</f>
        <v>0.75</v>
      </c>
      <c r="BE38" s="567">
        <f>IF(ISNUMBER(System!$C39), AR38,PlotData!$CB$4)</f>
        <v>0.75</v>
      </c>
    </row>
    <row r="39" spans="1:57" x14ac:dyDescent="0.35">
      <c r="A39" s="609">
        <v>37</v>
      </c>
      <c r="B39" s="565"/>
      <c r="C39" s="566"/>
      <c r="D39" s="566"/>
      <c r="E39" s="566"/>
      <c r="F39" s="566"/>
      <c r="G39" s="566"/>
      <c r="H39" s="566"/>
      <c r="I39" s="566"/>
      <c r="J39" s="566"/>
      <c r="K39" s="566"/>
      <c r="L39" s="567"/>
      <c r="N39" s="609">
        <v>37</v>
      </c>
      <c r="O39" s="565"/>
      <c r="P39" s="566"/>
      <c r="Q39" s="566"/>
      <c r="R39" s="566"/>
      <c r="S39" s="566"/>
      <c r="T39" s="566"/>
      <c r="U39" s="566"/>
      <c r="V39" s="566"/>
      <c r="W39" s="566"/>
      <c r="X39" s="566"/>
      <c r="Y39" s="567"/>
      <c r="AA39" s="580">
        <v>37</v>
      </c>
      <c r="AB39" s="565">
        <f>IF(ISNUMBER(System!$C40),PlotData!B40+ Querkraft!$E$2*$AF$1*B39,PlotData!$CB$3)</f>
        <v>7.6500000953674316</v>
      </c>
      <c r="AC39" s="566">
        <f>IF(ISNUMBER(System!$C40),PlotData!C40+ Querkraft!$E$2*$AF$1*C39,PlotData!$CB$3)</f>
        <v>7.6500000953674316</v>
      </c>
      <c r="AD39" s="566">
        <f>IF(ISNUMBER(System!$C40),PlotData!D40+ Querkraft!$E$2*$AF$1*D39,PlotData!$CB$3)</f>
        <v>7.6500000953674316</v>
      </c>
      <c r="AE39" s="566">
        <f>IF(ISNUMBER(System!$C40),PlotData!E40+ Querkraft!$E$2*$AF$1*E39,PlotData!$CB$3)</f>
        <v>7.6500000953674316</v>
      </c>
      <c r="AF39" s="566">
        <f>IF(ISNUMBER(System!$C40),PlotData!F40+Querkraft!$E$2* $AF$1*F39,PlotData!$CB$3)</f>
        <v>7.6500000953674316</v>
      </c>
      <c r="AG39" s="566">
        <f>IF(ISNUMBER(System!$C40),PlotData!G40+ Querkraft!$E$2*$AF$1*G39,PlotData!$CB$3)</f>
        <v>7.6500000953674316</v>
      </c>
      <c r="AH39" s="566">
        <f>IF(ISNUMBER(System!$C40),PlotData!H40+Querkraft!$E$2* $AF$1*H39,PlotData!$CB$3)</f>
        <v>7.6500000953674316</v>
      </c>
      <c r="AI39" s="566">
        <f>IF(ISNUMBER(System!$C40),PlotData!I40+ Querkraft!$E$2*$AF$1*I39,PlotData!$CB$3)</f>
        <v>7.6500000953674316</v>
      </c>
      <c r="AJ39" s="566">
        <f>IF(ISNUMBER(System!$C40),PlotData!J40+Querkraft!$E$2*$AF$1*J39,PlotData!$CB$3)</f>
        <v>7.6500000953674316</v>
      </c>
      <c r="AK39" s="566">
        <f>IF(ISNUMBER(System!$C40),PlotData!K40+ Querkraft!$E$2*$AF$1*K39,PlotData!$CB$3)</f>
        <v>7.6500000953674316</v>
      </c>
      <c r="AL39" s="567">
        <f>IF(ISNUMBER(System!$C40),PlotData!L40+ Querkraft!$E$2*$AF$1*L39,PlotData!$CB$3)</f>
        <v>7.6500000953674316</v>
      </c>
      <c r="AM39" s="565">
        <f>IF(ISNUMBER(System!$C40),PlotData!L40,PlotData!$CB$3)</f>
        <v>7.6500000953674316</v>
      </c>
      <c r="AN39" s="566">
        <f>IF(ISNUMBER(System!$C40),PlotData!B40,PlotData!$CB$3)</f>
        <v>7.6500000953674316</v>
      </c>
      <c r="AO39" s="447">
        <f>IF(ISNUMBER(System!$C40),AB39,PlotData!$CB$3)</f>
        <v>7.6500000953674316</v>
      </c>
      <c r="AQ39" s="609">
        <v>37</v>
      </c>
      <c r="AR39" s="607">
        <f>IF(ISNUMBER(System!$C40),PlotData!O40+ Querkraft!$E$2*$AF$1*O39,PlotData!$CB$4)</f>
        <v>0.75</v>
      </c>
      <c r="AS39" s="566">
        <f>IF(ISNUMBER(System!$C40),PlotData!P40+Querkraft!$E$2* $AF$1*P39,PlotData!$CB$4)</f>
        <v>0.75</v>
      </c>
      <c r="AT39" s="566">
        <f>IF(ISNUMBER(System!$C40),PlotData!Q40+Querkraft!$E$2*$AF$1*Q39,PlotData!$CB$4)</f>
        <v>0.75</v>
      </c>
      <c r="AU39" s="566">
        <f>IF(ISNUMBER(System!$C40),PlotData!R40+ Querkraft!$E$2*$AF$1*R39,PlotData!$CB$4)</f>
        <v>0.75</v>
      </c>
      <c r="AV39" s="566">
        <f>IF(ISNUMBER(System!$C40),PlotData!S40+ Querkraft!$E$2*$AF$1*S39,PlotData!$CB$4)</f>
        <v>0.75</v>
      </c>
      <c r="AW39" s="566">
        <f>IF(ISNUMBER(System!$C40),PlotData!T40+ Querkraft!$E$2*$AF$1*T39,PlotData!$CB$4)</f>
        <v>0.75</v>
      </c>
      <c r="AX39" s="566">
        <f>IF(ISNUMBER(System!$C40),PlotData!U40+ Querkraft!$E$2*$AF$1*U39,PlotData!$CB$4)</f>
        <v>0.75</v>
      </c>
      <c r="AY39" s="566">
        <f>IF(ISNUMBER(System!$C40),PlotData!V40+ Querkraft!$E$2*$AF$1*V39,PlotData!$CB$4)</f>
        <v>0.75</v>
      </c>
      <c r="AZ39" s="566">
        <f>IF(ISNUMBER(System!$C40),PlotData!W40+ Querkraft!$E$2*$AF$1*W39,PlotData!$CB$4)</f>
        <v>0.75</v>
      </c>
      <c r="BA39" s="566">
        <f>IF(ISNUMBER(System!$C40),PlotData!X40+Querkraft!$E$2* $AF$1*X39,PlotData!$CB$4)</f>
        <v>0.75</v>
      </c>
      <c r="BB39" s="567">
        <f>IF(ISNUMBER(System!$C40),PlotData!Y40+Querkraft!$E$2*$AF$1*Y39,PlotData!$CB$4)</f>
        <v>0.75</v>
      </c>
      <c r="BC39" s="565">
        <f>IF(ISNUMBER(System!$C40),PlotData!Y40, PlotData!CB$4)</f>
        <v>0.75</v>
      </c>
      <c r="BD39" s="566">
        <f>IF(ISNUMBER(System!$C40),PlotData!O40, PlotData!$CB$4)</f>
        <v>0.75</v>
      </c>
      <c r="BE39" s="567">
        <f>IF(ISNUMBER(System!$C40), AR39,PlotData!$CB$4)</f>
        <v>0.75</v>
      </c>
    </row>
    <row r="40" spans="1:57" x14ac:dyDescent="0.35">
      <c r="A40" s="609">
        <v>38</v>
      </c>
      <c r="B40" s="565"/>
      <c r="C40" s="566"/>
      <c r="D40" s="566"/>
      <c r="E40" s="566"/>
      <c r="F40" s="566"/>
      <c r="G40" s="566"/>
      <c r="H40" s="566"/>
      <c r="I40" s="566"/>
      <c r="J40" s="566"/>
      <c r="K40" s="566"/>
      <c r="L40" s="567"/>
      <c r="N40" s="609">
        <v>38</v>
      </c>
      <c r="O40" s="565"/>
      <c r="P40" s="566"/>
      <c r="Q40" s="566"/>
      <c r="R40" s="566"/>
      <c r="S40" s="566"/>
      <c r="T40" s="566"/>
      <c r="U40" s="566"/>
      <c r="V40" s="566"/>
      <c r="W40" s="566"/>
      <c r="X40" s="566"/>
      <c r="Y40" s="567"/>
      <c r="AA40" s="580">
        <v>38</v>
      </c>
      <c r="AB40" s="565">
        <f>IF(ISNUMBER(System!$C41),PlotData!B41+ Querkraft!$E$2*$AF$1*B40,PlotData!$CB$3)</f>
        <v>7.6500000953674316</v>
      </c>
      <c r="AC40" s="566">
        <f>IF(ISNUMBER(System!$C41),PlotData!C41+ Querkraft!$E$2*$AF$1*C40,PlotData!$CB$3)</f>
        <v>7.6500000953674316</v>
      </c>
      <c r="AD40" s="566">
        <f>IF(ISNUMBER(System!$C41),PlotData!D41+ Querkraft!$E$2*$AF$1*D40,PlotData!$CB$3)</f>
        <v>7.6500000953674316</v>
      </c>
      <c r="AE40" s="566">
        <f>IF(ISNUMBER(System!$C41),PlotData!E41+ Querkraft!$E$2*$AF$1*E40,PlotData!$CB$3)</f>
        <v>7.6500000953674316</v>
      </c>
      <c r="AF40" s="566">
        <f>IF(ISNUMBER(System!$C41),PlotData!F41+Querkraft!$E$2* $AF$1*F40,PlotData!$CB$3)</f>
        <v>7.6500000953674316</v>
      </c>
      <c r="AG40" s="566">
        <f>IF(ISNUMBER(System!$C41),PlotData!G41+ Querkraft!$E$2*$AF$1*G40,PlotData!$CB$3)</f>
        <v>7.6500000953674316</v>
      </c>
      <c r="AH40" s="566">
        <f>IF(ISNUMBER(System!$C41),PlotData!H41+Querkraft!$E$2* $AF$1*H40,PlotData!$CB$3)</f>
        <v>7.6500000953674316</v>
      </c>
      <c r="AI40" s="566">
        <f>IF(ISNUMBER(System!$C41),PlotData!I41+ Querkraft!$E$2*$AF$1*I40,PlotData!$CB$3)</f>
        <v>7.6500000953674316</v>
      </c>
      <c r="AJ40" s="566">
        <f>IF(ISNUMBER(System!$C41),PlotData!J41+Querkraft!$E$2*$AF$1*J40,PlotData!$CB$3)</f>
        <v>7.6500000953674316</v>
      </c>
      <c r="AK40" s="566">
        <f>IF(ISNUMBER(System!$C41),PlotData!K41+ Querkraft!$E$2*$AF$1*K40,PlotData!$CB$3)</f>
        <v>7.6500000953674316</v>
      </c>
      <c r="AL40" s="567">
        <f>IF(ISNUMBER(System!$C41),PlotData!L41+ Querkraft!$E$2*$AF$1*L40,PlotData!$CB$3)</f>
        <v>7.6500000953674316</v>
      </c>
      <c r="AM40" s="565">
        <f>IF(ISNUMBER(System!$C41),PlotData!L41,PlotData!$CB$3)</f>
        <v>7.6500000953674316</v>
      </c>
      <c r="AN40" s="566">
        <f>IF(ISNUMBER(System!$C41),PlotData!B41,PlotData!$CB$3)</f>
        <v>7.6500000953674316</v>
      </c>
      <c r="AO40" s="447">
        <f>IF(ISNUMBER(System!$C41),AB40,PlotData!$CB$3)</f>
        <v>7.6500000953674316</v>
      </c>
      <c r="AQ40" s="609">
        <v>38</v>
      </c>
      <c r="AR40" s="607">
        <f>IF(ISNUMBER(System!$C41),PlotData!O41+ Querkraft!$E$2*$AF$1*O40,PlotData!$CB$4)</f>
        <v>0.75</v>
      </c>
      <c r="AS40" s="566">
        <f>IF(ISNUMBER(System!$C41),PlotData!P41+Querkraft!$E$2* $AF$1*P40,PlotData!$CB$4)</f>
        <v>0.75</v>
      </c>
      <c r="AT40" s="566">
        <f>IF(ISNUMBER(System!$C41),PlotData!Q41+Querkraft!$E$2*$AF$1*Q40,PlotData!$CB$4)</f>
        <v>0.75</v>
      </c>
      <c r="AU40" s="566">
        <f>IF(ISNUMBER(System!$C41),PlotData!R41+ Querkraft!$E$2*$AF$1*R40,PlotData!$CB$4)</f>
        <v>0.75</v>
      </c>
      <c r="AV40" s="566">
        <f>IF(ISNUMBER(System!$C41),PlotData!S41+ Querkraft!$E$2*$AF$1*S40,PlotData!$CB$4)</f>
        <v>0.75</v>
      </c>
      <c r="AW40" s="566">
        <f>IF(ISNUMBER(System!$C41),PlotData!T41+ Querkraft!$E$2*$AF$1*T40,PlotData!$CB$4)</f>
        <v>0.75</v>
      </c>
      <c r="AX40" s="566">
        <f>IF(ISNUMBER(System!$C41),PlotData!U41+ Querkraft!$E$2*$AF$1*U40,PlotData!$CB$4)</f>
        <v>0.75</v>
      </c>
      <c r="AY40" s="566">
        <f>IF(ISNUMBER(System!$C41),PlotData!V41+ Querkraft!$E$2*$AF$1*V40,PlotData!$CB$4)</f>
        <v>0.75</v>
      </c>
      <c r="AZ40" s="566">
        <f>IF(ISNUMBER(System!$C41),PlotData!W41+ Querkraft!$E$2*$AF$1*W40,PlotData!$CB$4)</f>
        <v>0.75</v>
      </c>
      <c r="BA40" s="566">
        <f>IF(ISNUMBER(System!$C41),PlotData!X41+Querkraft!$E$2* $AF$1*X40,PlotData!$CB$4)</f>
        <v>0.75</v>
      </c>
      <c r="BB40" s="567">
        <f>IF(ISNUMBER(System!$C41),PlotData!Y41+Querkraft!$E$2*$AF$1*Y40,PlotData!$CB$4)</f>
        <v>0.75</v>
      </c>
      <c r="BC40" s="565">
        <f>IF(ISNUMBER(System!$C41),PlotData!Y41, PlotData!CB$4)</f>
        <v>0.75</v>
      </c>
      <c r="BD40" s="566">
        <f>IF(ISNUMBER(System!$C41),PlotData!O41, PlotData!$CB$4)</f>
        <v>0.75</v>
      </c>
      <c r="BE40" s="567">
        <f>IF(ISNUMBER(System!$C41), AR40,PlotData!$CB$4)</f>
        <v>0.75</v>
      </c>
    </row>
    <row r="41" spans="1:57" x14ac:dyDescent="0.35">
      <c r="A41" s="609">
        <v>39</v>
      </c>
      <c r="B41" s="565"/>
      <c r="C41" s="566"/>
      <c r="D41" s="566"/>
      <c r="E41" s="566"/>
      <c r="F41" s="566"/>
      <c r="G41" s="566"/>
      <c r="H41" s="566"/>
      <c r="I41" s="566"/>
      <c r="J41" s="566"/>
      <c r="K41" s="566"/>
      <c r="L41" s="567"/>
      <c r="N41" s="609">
        <v>39</v>
      </c>
      <c r="O41" s="565"/>
      <c r="P41" s="566"/>
      <c r="Q41" s="566"/>
      <c r="R41" s="566"/>
      <c r="S41" s="566"/>
      <c r="T41" s="566"/>
      <c r="U41" s="566"/>
      <c r="V41" s="566"/>
      <c r="W41" s="566"/>
      <c r="X41" s="566"/>
      <c r="Y41" s="567"/>
      <c r="AA41" s="580">
        <v>39</v>
      </c>
      <c r="AB41" s="565">
        <f>IF(ISNUMBER(System!$C42),PlotData!B42+ Querkraft!$E$2*$AF$1*B41,PlotData!$CB$3)</f>
        <v>7.6500000953674316</v>
      </c>
      <c r="AC41" s="566">
        <f>IF(ISNUMBER(System!$C42),PlotData!C42+ Querkraft!$E$2*$AF$1*C41,PlotData!$CB$3)</f>
        <v>7.6500000953674316</v>
      </c>
      <c r="AD41" s="566">
        <f>IF(ISNUMBER(System!$C42),PlotData!D42+ Querkraft!$E$2*$AF$1*D41,PlotData!$CB$3)</f>
        <v>7.6500000953674316</v>
      </c>
      <c r="AE41" s="566">
        <f>IF(ISNUMBER(System!$C42),PlotData!E42+ Querkraft!$E$2*$AF$1*E41,PlotData!$CB$3)</f>
        <v>7.6500000953674316</v>
      </c>
      <c r="AF41" s="566">
        <f>IF(ISNUMBER(System!$C42),PlotData!F42+Querkraft!$E$2* $AF$1*F41,PlotData!$CB$3)</f>
        <v>7.6500000953674316</v>
      </c>
      <c r="AG41" s="566">
        <f>IF(ISNUMBER(System!$C42),PlotData!G42+ Querkraft!$E$2*$AF$1*G41,PlotData!$CB$3)</f>
        <v>7.6500000953674316</v>
      </c>
      <c r="AH41" s="566">
        <f>IF(ISNUMBER(System!$C42),PlotData!H42+Querkraft!$E$2* $AF$1*H41,PlotData!$CB$3)</f>
        <v>7.6500000953674316</v>
      </c>
      <c r="AI41" s="566">
        <f>IF(ISNUMBER(System!$C42),PlotData!I42+ Querkraft!$E$2*$AF$1*I41,PlotData!$CB$3)</f>
        <v>7.6500000953674316</v>
      </c>
      <c r="AJ41" s="566">
        <f>IF(ISNUMBER(System!$C42),PlotData!J42+Querkraft!$E$2*$AF$1*J41,PlotData!$CB$3)</f>
        <v>7.6500000953674316</v>
      </c>
      <c r="AK41" s="566">
        <f>IF(ISNUMBER(System!$C42),PlotData!K42+ Querkraft!$E$2*$AF$1*K41,PlotData!$CB$3)</f>
        <v>7.6500000953674316</v>
      </c>
      <c r="AL41" s="567">
        <f>IF(ISNUMBER(System!$C42),PlotData!L42+ Querkraft!$E$2*$AF$1*L41,PlotData!$CB$3)</f>
        <v>7.6500000953674316</v>
      </c>
      <c r="AM41" s="565">
        <f>IF(ISNUMBER(System!$C42),PlotData!L42,PlotData!$CB$3)</f>
        <v>7.6500000953674316</v>
      </c>
      <c r="AN41" s="566">
        <f>IF(ISNUMBER(System!$C42),PlotData!B42,PlotData!$CB$3)</f>
        <v>7.6500000953674316</v>
      </c>
      <c r="AO41" s="447">
        <f>IF(ISNUMBER(System!$C42),AB41,PlotData!$CB$3)</f>
        <v>7.6500000953674316</v>
      </c>
      <c r="AQ41" s="609">
        <v>39</v>
      </c>
      <c r="AR41" s="607">
        <f>IF(ISNUMBER(System!$C42),PlotData!O42+ Querkraft!$E$2*$AF$1*O41,PlotData!$CB$4)</f>
        <v>0.75</v>
      </c>
      <c r="AS41" s="566">
        <f>IF(ISNUMBER(System!$C42),PlotData!P42+Querkraft!$E$2* $AF$1*P41,PlotData!$CB$4)</f>
        <v>0.75</v>
      </c>
      <c r="AT41" s="566">
        <f>IF(ISNUMBER(System!$C42),PlotData!Q42+Querkraft!$E$2*$AF$1*Q41,PlotData!$CB$4)</f>
        <v>0.75</v>
      </c>
      <c r="AU41" s="566">
        <f>IF(ISNUMBER(System!$C42),PlotData!R42+ Querkraft!$E$2*$AF$1*R41,PlotData!$CB$4)</f>
        <v>0.75</v>
      </c>
      <c r="AV41" s="566">
        <f>IF(ISNUMBER(System!$C42),PlotData!S42+ Querkraft!$E$2*$AF$1*S41,PlotData!$CB$4)</f>
        <v>0.75</v>
      </c>
      <c r="AW41" s="566">
        <f>IF(ISNUMBER(System!$C42),PlotData!T42+ Querkraft!$E$2*$AF$1*T41,PlotData!$CB$4)</f>
        <v>0.75</v>
      </c>
      <c r="AX41" s="566">
        <f>IF(ISNUMBER(System!$C42),PlotData!U42+ Querkraft!$E$2*$AF$1*U41,PlotData!$CB$4)</f>
        <v>0.75</v>
      </c>
      <c r="AY41" s="566">
        <f>IF(ISNUMBER(System!$C42),PlotData!V42+ Querkraft!$E$2*$AF$1*V41,PlotData!$CB$4)</f>
        <v>0.75</v>
      </c>
      <c r="AZ41" s="566">
        <f>IF(ISNUMBER(System!$C42),PlotData!W42+ Querkraft!$E$2*$AF$1*W41,PlotData!$CB$4)</f>
        <v>0.75</v>
      </c>
      <c r="BA41" s="566">
        <f>IF(ISNUMBER(System!$C42),PlotData!X42+Querkraft!$E$2* $AF$1*X41,PlotData!$CB$4)</f>
        <v>0.75</v>
      </c>
      <c r="BB41" s="567">
        <f>IF(ISNUMBER(System!$C42),PlotData!Y42+Querkraft!$E$2*$AF$1*Y41,PlotData!$CB$4)</f>
        <v>0.75</v>
      </c>
      <c r="BC41" s="565">
        <f>IF(ISNUMBER(System!$C42),PlotData!Y42, PlotData!CB$4)</f>
        <v>0.75</v>
      </c>
      <c r="BD41" s="566">
        <f>IF(ISNUMBER(System!$C42),PlotData!O42, PlotData!$CB$4)</f>
        <v>0.75</v>
      </c>
      <c r="BE41" s="567">
        <f>IF(ISNUMBER(System!$C42), AR41,PlotData!$CB$4)</f>
        <v>0.75</v>
      </c>
    </row>
    <row r="42" spans="1:57" ht="13.15" thickBot="1" x14ac:dyDescent="0.4">
      <c r="A42" s="610">
        <v>40</v>
      </c>
      <c r="B42" s="507"/>
      <c r="C42" s="503"/>
      <c r="D42" s="503"/>
      <c r="E42" s="503"/>
      <c r="F42" s="503"/>
      <c r="G42" s="503"/>
      <c r="H42" s="503"/>
      <c r="I42" s="503"/>
      <c r="J42" s="503"/>
      <c r="K42" s="503"/>
      <c r="L42" s="504"/>
      <c r="N42" s="610">
        <v>40</v>
      </c>
      <c r="O42" s="507"/>
      <c r="P42" s="503"/>
      <c r="Q42" s="503"/>
      <c r="R42" s="503"/>
      <c r="S42" s="503"/>
      <c r="T42" s="503"/>
      <c r="U42" s="503"/>
      <c r="V42" s="503"/>
      <c r="W42" s="503"/>
      <c r="X42" s="503"/>
      <c r="Y42" s="504"/>
      <c r="AA42" s="592">
        <v>40</v>
      </c>
      <c r="AB42" s="507">
        <f>IF(ISNUMBER(System!$C43),PlotData!B43+ Querkraft!$E$2*$AF$1*B42,PlotData!$CB$3)</f>
        <v>7.6500000953674316</v>
      </c>
      <c r="AC42" s="503">
        <f>IF(ISNUMBER(System!$C43),PlotData!C43+ Querkraft!$E$2*$AF$1*C42,PlotData!$CB$3)</f>
        <v>7.6500000953674316</v>
      </c>
      <c r="AD42" s="503">
        <f>IF(ISNUMBER(System!$C43),PlotData!D43+ Querkraft!$E$2*$AF$1*D42,PlotData!$CB$3)</f>
        <v>7.6500000953674316</v>
      </c>
      <c r="AE42" s="503">
        <f>IF(ISNUMBER(System!$C43),PlotData!E43+ Querkraft!$E$2*$AF$1*E42,PlotData!$CB$3)</f>
        <v>7.6500000953674316</v>
      </c>
      <c r="AF42" s="503">
        <f>IF(ISNUMBER(System!$C43),PlotData!F43+Querkraft!$E$2* $AF$1*F42,PlotData!$CB$3)</f>
        <v>7.6500000953674316</v>
      </c>
      <c r="AG42" s="503">
        <f>IF(ISNUMBER(System!$C43),PlotData!G43+ Querkraft!$E$2*$AF$1*G42,PlotData!$CB$3)</f>
        <v>7.6500000953674316</v>
      </c>
      <c r="AH42" s="503">
        <f>IF(ISNUMBER(System!$C43),PlotData!H43+Querkraft!$E$2* $AF$1*H42,PlotData!$CB$3)</f>
        <v>7.6500000953674316</v>
      </c>
      <c r="AI42" s="503">
        <f>IF(ISNUMBER(System!$C43),PlotData!I43+ Querkraft!$E$2*$AF$1*I42,PlotData!$CB$3)</f>
        <v>7.6500000953674316</v>
      </c>
      <c r="AJ42" s="503">
        <f>IF(ISNUMBER(System!$C43),PlotData!J43+Querkraft!$E$2*$AF$1*J42,PlotData!$CB$3)</f>
        <v>7.6500000953674316</v>
      </c>
      <c r="AK42" s="503">
        <f>IF(ISNUMBER(System!$C43),PlotData!K43+ Querkraft!$E$2*$AF$1*K42,PlotData!$CB$3)</f>
        <v>7.6500000953674316</v>
      </c>
      <c r="AL42" s="504">
        <f>IF(ISNUMBER(System!$C43),PlotData!L43+ Querkraft!$E$2*$AF$1*L42,PlotData!$CB$3)</f>
        <v>7.6500000953674316</v>
      </c>
      <c r="AM42" s="507">
        <f>IF(ISNUMBER(System!$C43),PlotData!L43,PlotData!$CB$3)</f>
        <v>7.6500000953674316</v>
      </c>
      <c r="AN42" s="503">
        <f>IF(ISNUMBER(System!$C43),PlotData!B43,PlotData!$CB$3)</f>
        <v>7.6500000953674316</v>
      </c>
      <c r="AO42" s="454">
        <f>IF(ISNUMBER(System!$C43),AB42,PlotData!$CB$3)</f>
        <v>7.6500000953674316</v>
      </c>
      <c r="AQ42" s="610">
        <v>40</v>
      </c>
      <c r="AR42" s="611">
        <f>IF(ISNUMBER(System!$C43),PlotData!O43+ Querkraft!$E$2*$AF$1*O42,PlotData!$CB$4)</f>
        <v>0.75</v>
      </c>
      <c r="AS42" s="503">
        <f>IF(ISNUMBER(System!$C43),PlotData!P43+Querkraft!$E$2* $AF$1*P42,PlotData!$CB$4)</f>
        <v>0.75</v>
      </c>
      <c r="AT42" s="503">
        <f>IF(ISNUMBER(System!$C43),PlotData!Q43+Querkraft!$E$2*$AF$1*Q42,PlotData!$CB$4)</f>
        <v>0.75</v>
      </c>
      <c r="AU42" s="503">
        <f>IF(ISNUMBER(System!$C43),PlotData!R43+ Querkraft!$E$2*$AF$1*R42,PlotData!$CB$4)</f>
        <v>0.75</v>
      </c>
      <c r="AV42" s="503">
        <f>IF(ISNUMBER(System!$C43),PlotData!S43+ Querkraft!$E$2*$AF$1*S42,PlotData!$CB$4)</f>
        <v>0.75</v>
      </c>
      <c r="AW42" s="503">
        <f>IF(ISNUMBER(System!$C43),PlotData!T43+ Querkraft!$E$2*$AF$1*T42,PlotData!$CB$4)</f>
        <v>0.75</v>
      </c>
      <c r="AX42" s="503">
        <f>IF(ISNUMBER(System!$C43),PlotData!U43+ Querkraft!$E$2*$AF$1*U42,PlotData!$CB$4)</f>
        <v>0.75</v>
      </c>
      <c r="AY42" s="503">
        <f>IF(ISNUMBER(System!$C43),PlotData!V43+ Querkraft!$E$2*$AF$1*V42,PlotData!$CB$4)</f>
        <v>0.75</v>
      </c>
      <c r="AZ42" s="503">
        <f>IF(ISNUMBER(System!$C43),PlotData!W43+ Querkraft!$E$2*$AF$1*W42,PlotData!$CB$4)</f>
        <v>0.75</v>
      </c>
      <c r="BA42" s="503">
        <f>IF(ISNUMBER(System!$C43),PlotData!X43+Querkraft!$E$2* $AF$1*X42,PlotData!$CB$4)</f>
        <v>0.75</v>
      </c>
      <c r="BB42" s="504">
        <f>IF(ISNUMBER(System!$C43),PlotData!Y43+Querkraft!$E$2*$AF$1*Y42,PlotData!$CB$4)</f>
        <v>0.75</v>
      </c>
      <c r="BC42" s="507">
        <f>IF(ISNUMBER(System!$C43),PlotData!Y43, PlotData!CB$4)</f>
        <v>0.75</v>
      </c>
      <c r="BD42" s="503">
        <f>IF(ISNUMBER(System!$C43),PlotData!O43, PlotData!$CB$4)</f>
        <v>0.75</v>
      </c>
      <c r="BE42" s="504">
        <f>IF(ISNUMBER(System!$C43), AR42,PlotData!$CB$4)</f>
        <v>0.75</v>
      </c>
    </row>
    <row r="43" spans="1:57" x14ac:dyDescent="0.35">
      <c r="AA43" s="593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</row>
    <row r="44" spans="1:57" x14ac:dyDescent="0.35">
      <c r="AA44" s="593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</row>
    <row r="68" spans="1:36" x14ac:dyDescent="0.35">
      <c r="A68" s="455"/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612"/>
      <c r="AA68" s="455"/>
      <c r="AB68" s="455"/>
      <c r="AC68" s="455"/>
      <c r="AD68" s="455"/>
      <c r="AE68" s="455"/>
      <c r="AF68" s="455"/>
      <c r="AG68" s="455"/>
      <c r="AH68" s="455"/>
      <c r="AI68" s="455"/>
      <c r="AJ68" s="455"/>
    </row>
    <row r="69" spans="1:36" x14ac:dyDescent="0.35">
      <c r="A69" s="455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612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</row>
    <row r="70" spans="1:36" x14ac:dyDescent="0.35">
      <c r="A70" s="455"/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612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</row>
    <row r="71" spans="1:36" x14ac:dyDescent="0.35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612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</row>
    <row r="72" spans="1:36" x14ac:dyDescent="0.35">
      <c r="A72" s="455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612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</row>
    <row r="73" spans="1:36" x14ac:dyDescent="0.35">
      <c r="A73" s="455"/>
      <c r="B73" s="59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612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</row>
    <row r="74" spans="1:36" x14ac:dyDescent="0.35">
      <c r="A74" s="59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595"/>
      <c r="R74" s="455"/>
      <c r="S74" s="455"/>
      <c r="T74" s="455"/>
      <c r="U74" s="455"/>
      <c r="V74" s="455"/>
      <c r="W74" s="455"/>
      <c r="X74" s="455"/>
      <c r="Y74" s="455"/>
      <c r="Z74" s="612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</row>
    <row r="75" spans="1:36" x14ac:dyDescent="0.35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612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</row>
    <row r="76" spans="1:36" x14ac:dyDescent="0.35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612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</row>
    <row r="77" spans="1:36" x14ac:dyDescent="0.35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612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</row>
    <row r="78" spans="1:36" x14ac:dyDescent="0.35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612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</row>
    <row r="79" spans="1:36" x14ac:dyDescent="0.3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612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</row>
    <row r="80" spans="1:36" x14ac:dyDescent="0.35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612"/>
      <c r="AA80" s="455"/>
      <c r="AB80" s="455"/>
      <c r="AC80" s="455"/>
      <c r="AD80" s="455"/>
      <c r="AE80" s="455"/>
      <c r="AF80" s="455"/>
      <c r="AG80" s="455"/>
      <c r="AH80" s="455"/>
      <c r="AI80" s="455"/>
      <c r="AJ80" s="455"/>
    </row>
    <row r="81" spans="1:36" x14ac:dyDescent="0.35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612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</row>
    <row r="82" spans="1:36" x14ac:dyDescent="0.35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612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</row>
    <row r="83" spans="1:36" x14ac:dyDescent="0.3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612"/>
      <c r="AA83" s="455"/>
      <c r="AB83" s="455"/>
      <c r="AC83" s="455"/>
      <c r="AD83" s="455"/>
      <c r="AE83" s="455"/>
      <c r="AF83" s="455"/>
      <c r="AG83" s="455"/>
      <c r="AH83" s="455"/>
      <c r="AI83" s="455"/>
      <c r="AJ83" s="455"/>
    </row>
    <row r="84" spans="1:36" x14ac:dyDescent="0.35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612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</row>
    <row r="85" spans="1:36" x14ac:dyDescent="0.3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612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</row>
    <row r="86" spans="1:36" x14ac:dyDescent="0.35">
      <c r="A86" s="455"/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612"/>
      <c r="AA86" s="455"/>
      <c r="AB86" s="455"/>
      <c r="AC86" s="455"/>
      <c r="AD86" s="455"/>
      <c r="AE86" s="455"/>
      <c r="AF86" s="455"/>
      <c r="AG86" s="455"/>
      <c r="AH86" s="455"/>
      <c r="AI86" s="455"/>
      <c r="AJ86" s="455"/>
    </row>
    <row r="87" spans="1:36" x14ac:dyDescent="0.35">
      <c r="A87" s="455"/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612"/>
      <c r="AA87" s="455"/>
      <c r="AB87" s="455"/>
      <c r="AC87" s="455"/>
      <c r="AD87" s="455"/>
      <c r="AE87" s="455"/>
      <c r="AF87" s="455"/>
      <c r="AG87" s="455"/>
      <c r="AH87" s="455"/>
      <c r="AI87" s="455"/>
      <c r="AJ87" s="455"/>
    </row>
    <row r="88" spans="1:36" x14ac:dyDescent="0.35">
      <c r="A88" s="455"/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612"/>
      <c r="AA88" s="455"/>
      <c r="AB88" s="455"/>
      <c r="AC88" s="455"/>
      <c r="AD88" s="455"/>
      <c r="AE88" s="455"/>
      <c r="AF88" s="455"/>
      <c r="AG88" s="455"/>
      <c r="AH88" s="455"/>
      <c r="AI88" s="455"/>
      <c r="AJ88" s="455"/>
    </row>
    <row r="89" spans="1:36" x14ac:dyDescent="0.35">
      <c r="A89" s="455"/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612"/>
      <c r="AA89" s="455"/>
      <c r="AB89" s="455"/>
      <c r="AC89" s="455"/>
      <c r="AD89" s="455"/>
      <c r="AE89" s="455"/>
      <c r="AF89" s="455"/>
      <c r="AG89" s="455"/>
      <c r="AH89" s="455"/>
      <c r="AI89" s="455"/>
      <c r="AJ89" s="455"/>
    </row>
    <row r="90" spans="1:36" x14ac:dyDescent="0.35">
      <c r="A90" s="455"/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612"/>
      <c r="AA90" s="455"/>
      <c r="AB90" s="455"/>
      <c r="AC90" s="455"/>
      <c r="AD90" s="455"/>
      <c r="AE90" s="455"/>
      <c r="AF90" s="455"/>
      <c r="AG90" s="455"/>
      <c r="AH90" s="455"/>
      <c r="AI90" s="455"/>
      <c r="AJ90" s="455"/>
    </row>
    <row r="91" spans="1:36" x14ac:dyDescent="0.3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612"/>
      <c r="AA91" s="455"/>
      <c r="AB91" s="455"/>
      <c r="AC91" s="455"/>
      <c r="AD91" s="455"/>
      <c r="AE91" s="455"/>
      <c r="AF91" s="455"/>
      <c r="AG91" s="455"/>
      <c r="AH91" s="455"/>
      <c r="AI91" s="455"/>
      <c r="AJ91" s="455"/>
    </row>
    <row r="92" spans="1:36" x14ac:dyDescent="0.35">
      <c r="A92" s="455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612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</row>
    <row r="93" spans="1:36" x14ac:dyDescent="0.35">
      <c r="A93" s="455"/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612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</row>
    <row r="94" spans="1:36" x14ac:dyDescent="0.35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612"/>
      <c r="AA94" s="455"/>
      <c r="AB94" s="455"/>
      <c r="AC94" s="455"/>
      <c r="AD94" s="455"/>
      <c r="AE94" s="455"/>
      <c r="AF94" s="455"/>
      <c r="AG94" s="455"/>
      <c r="AH94" s="455"/>
      <c r="AI94" s="455"/>
      <c r="AJ94" s="455"/>
    </row>
    <row r="95" spans="1:36" x14ac:dyDescent="0.35">
      <c r="A95" s="455"/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612"/>
      <c r="AA95" s="455"/>
      <c r="AB95" s="455"/>
      <c r="AC95" s="455"/>
      <c r="AD95" s="455"/>
      <c r="AE95" s="455"/>
      <c r="AF95" s="455"/>
      <c r="AG95" s="455"/>
      <c r="AH95" s="455"/>
      <c r="AI95" s="455"/>
      <c r="AJ95" s="455"/>
    </row>
    <row r="96" spans="1:36" x14ac:dyDescent="0.35">
      <c r="A96" s="455"/>
      <c r="B96" s="595"/>
      <c r="C96" s="595"/>
      <c r="D96" s="455"/>
      <c r="E96" s="595"/>
      <c r="F96" s="455"/>
      <c r="G96" s="455"/>
      <c r="H96" s="595"/>
      <c r="I96" s="455"/>
      <c r="J96" s="455"/>
      <c r="K96" s="455"/>
      <c r="L96" s="455"/>
      <c r="M96" s="455"/>
      <c r="N96" s="455"/>
      <c r="O96" s="455"/>
      <c r="P96" s="455"/>
      <c r="Q96" s="455"/>
      <c r="R96" s="595"/>
      <c r="S96" s="455"/>
      <c r="T96" s="455"/>
      <c r="U96" s="455"/>
      <c r="V96" s="455"/>
      <c r="W96" s="455"/>
      <c r="X96" s="455"/>
      <c r="Y96" s="455"/>
      <c r="Z96" s="612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</row>
    <row r="97" spans="1:36" x14ac:dyDescent="0.35">
      <c r="A97" s="595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595"/>
      <c r="R97" s="455"/>
      <c r="S97" s="455"/>
      <c r="T97" s="455"/>
      <c r="U97" s="455"/>
      <c r="V97" s="455"/>
      <c r="W97" s="455"/>
      <c r="X97" s="455"/>
      <c r="Y97" s="455"/>
      <c r="Z97" s="612"/>
      <c r="AA97" s="455"/>
      <c r="AB97" s="455"/>
      <c r="AC97" s="455"/>
      <c r="AD97" s="455"/>
      <c r="AE97" s="455"/>
      <c r="AF97" s="455"/>
      <c r="AG97" s="455"/>
      <c r="AH97" s="455"/>
      <c r="AI97" s="455"/>
      <c r="AJ97" s="455"/>
    </row>
    <row r="98" spans="1:36" x14ac:dyDescent="0.35">
      <c r="A98" s="455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59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612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</row>
    <row r="99" spans="1:36" x14ac:dyDescent="0.35">
      <c r="A99" s="455"/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59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612"/>
      <c r="AA99" s="455"/>
      <c r="AB99" s="455"/>
      <c r="AC99" s="455"/>
      <c r="AD99" s="455"/>
      <c r="AE99" s="455"/>
      <c r="AF99" s="455"/>
      <c r="AG99" s="455"/>
      <c r="AH99" s="455"/>
      <c r="AI99" s="455"/>
      <c r="AJ99" s="455"/>
    </row>
    <row r="100" spans="1:36" x14ac:dyDescent="0.35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59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612"/>
      <c r="AA100" s="455"/>
      <c r="AB100" s="455"/>
      <c r="AC100" s="455"/>
      <c r="AD100" s="455"/>
      <c r="AE100" s="455"/>
      <c r="AF100" s="455"/>
      <c r="AG100" s="455"/>
      <c r="AH100" s="455"/>
      <c r="AI100" s="455"/>
      <c r="AJ100" s="455"/>
    </row>
    <row r="101" spans="1:36" x14ac:dyDescent="0.35">
      <c r="A101" s="455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59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612"/>
      <c r="AA101" s="455"/>
      <c r="AB101" s="455"/>
      <c r="AC101" s="455"/>
      <c r="AD101" s="455"/>
      <c r="AE101" s="455"/>
      <c r="AF101" s="455"/>
      <c r="AG101" s="455"/>
      <c r="AH101" s="455"/>
      <c r="AI101" s="455"/>
      <c r="AJ101" s="455"/>
    </row>
    <row r="102" spans="1:36" x14ac:dyDescent="0.35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59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612"/>
      <c r="AA102" s="455"/>
      <c r="AB102" s="455"/>
      <c r="AC102" s="455"/>
      <c r="AD102" s="455"/>
      <c r="AE102" s="455"/>
      <c r="AF102" s="455"/>
      <c r="AG102" s="455"/>
      <c r="AH102" s="455"/>
      <c r="AI102" s="455"/>
      <c r="AJ102" s="455"/>
    </row>
    <row r="103" spans="1:36" x14ac:dyDescent="0.35">
      <c r="A103" s="455"/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59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612"/>
      <c r="AA103" s="455"/>
      <c r="AB103" s="455"/>
      <c r="AC103" s="455"/>
      <c r="AD103" s="455"/>
      <c r="AE103" s="455"/>
      <c r="AF103" s="455"/>
      <c r="AG103" s="455"/>
      <c r="AH103" s="455"/>
      <c r="AI103" s="455"/>
      <c r="AJ103" s="455"/>
    </row>
    <row r="104" spans="1:36" x14ac:dyDescent="0.35">
      <c r="A104" s="455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59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612"/>
      <c r="AA104" s="455"/>
      <c r="AB104" s="455"/>
      <c r="AC104" s="455"/>
      <c r="AD104" s="455"/>
      <c r="AE104" s="455"/>
      <c r="AF104" s="455"/>
      <c r="AG104" s="455"/>
      <c r="AH104" s="455"/>
      <c r="AI104" s="455"/>
      <c r="AJ104" s="455"/>
    </row>
    <row r="105" spans="1:36" x14ac:dyDescent="0.35">
      <c r="A105" s="455"/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59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612"/>
      <c r="AA105" s="455"/>
      <c r="AB105" s="455"/>
      <c r="AC105" s="455"/>
      <c r="AD105" s="455"/>
      <c r="AE105" s="455"/>
      <c r="AF105" s="455"/>
      <c r="AG105" s="455"/>
      <c r="AH105" s="455"/>
      <c r="AI105" s="455"/>
      <c r="AJ105" s="455"/>
    </row>
    <row r="106" spans="1:36" x14ac:dyDescent="0.35">
      <c r="A106" s="455"/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59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612"/>
      <c r="AA106" s="455"/>
      <c r="AB106" s="455"/>
      <c r="AC106" s="455"/>
      <c r="AD106" s="455"/>
      <c r="AE106" s="455"/>
      <c r="AF106" s="455"/>
      <c r="AG106" s="455"/>
      <c r="AH106" s="455"/>
      <c r="AI106" s="455"/>
      <c r="AJ106" s="455"/>
    </row>
    <row r="107" spans="1:36" x14ac:dyDescent="0.35">
      <c r="A107" s="455"/>
      <c r="B107" s="455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59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612"/>
      <c r="AA107" s="455"/>
      <c r="AB107" s="455"/>
      <c r="AC107" s="455"/>
      <c r="AD107" s="455"/>
      <c r="AE107" s="455"/>
      <c r="AF107" s="455"/>
      <c r="AG107" s="455"/>
      <c r="AH107" s="455"/>
      <c r="AI107" s="455"/>
      <c r="AJ107" s="455"/>
    </row>
    <row r="108" spans="1:36" x14ac:dyDescent="0.35">
      <c r="A108" s="455"/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59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612"/>
      <c r="AA108" s="455"/>
      <c r="AB108" s="455"/>
      <c r="AC108" s="455"/>
      <c r="AD108" s="455"/>
      <c r="AE108" s="455"/>
      <c r="AF108" s="455"/>
      <c r="AG108" s="455"/>
      <c r="AH108" s="455"/>
      <c r="AI108" s="455"/>
      <c r="AJ108" s="455"/>
    </row>
    <row r="109" spans="1:36" x14ac:dyDescent="0.35">
      <c r="A109" s="455"/>
      <c r="B109" s="455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59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612"/>
      <c r="AA109" s="455"/>
      <c r="AB109" s="455"/>
      <c r="AC109" s="455"/>
      <c r="AD109" s="455"/>
      <c r="AE109" s="455"/>
      <c r="AF109" s="455"/>
      <c r="AG109" s="455"/>
      <c r="AH109" s="455"/>
      <c r="AI109" s="455"/>
      <c r="AJ109" s="455"/>
    </row>
    <row r="110" spans="1:36" x14ac:dyDescent="0.35">
      <c r="A110" s="455"/>
      <c r="B110" s="455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59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612"/>
      <c r="AA110" s="455"/>
      <c r="AB110" s="455"/>
      <c r="AC110" s="455"/>
      <c r="AD110" s="455"/>
      <c r="AE110" s="455"/>
      <c r="AF110" s="455"/>
      <c r="AG110" s="455"/>
      <c r="AH110" s="455"/>
      <c r="AI110" s="455"/>
      <c r="AJ110" s="455"/>
    </row>
    <row r="111" spans="1:36" x14ac:dyDescent="0.35">
      <c r="A111" s="455"/>
      <c r="B111" s="455"/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59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612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</row>
    <row r="112" spans="1:36" x14ac:dyDescent="0.35">
      <c r="A112" s="455"/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59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612"/>
      <c r="AA112" s="455"/>
      <c r="AB112" s="455"/>
      <c r="AC112" s="455"/>
      <c r="AD112" s="455"/>
      <c r="AE112" s="455"/>
      <c r="AF112" s="455"/>
      <c r="AG112" s="455"/>
      <c r="AH112" s="455"/>
      <c r="AI112" s="455"/>
      <c r="AJ112" s="455"/>
    </row>
    <row r="113" spans="1:36" x14ac:dyDescent="0.35">
      <c r="A113" s="455"/>
      <c r="B113" s="455"/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59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612"/>
      <c r="AA113" s="455"/>
      <c r="AB113" s="455"/>
      <c r="AC113" s="455"/>
      <c r="AD113" s="455"/>
      <c r="AE113" s="455"/>
      <c r="AF113" s="455"/>
      <c r="AG113" s="455"/>
      <c r="AH113" s="455"/>
      <c r="AI113" s="455"/>
      <c r="AJ113" s="455"/>
    </row>
    <row r="114" spans="1:36" x14ac:dyDescent="0.35">
      <c r="A114" s="455"/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59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612"/>
      <c r="AA114" s="455"/>
      <c r="AB114" s="455"/>
      <c r="AC114" s="455"/>
      <c r="AD114" s="455"/>
      <c r="AE114" s="455"/>
      <c r="AF114" s="455"/>
      <c r="AG114" s="455"/>
      <c r="AH114" s="455"/>
      <c r="AI114" s="455"/>
      <c r="AJ114" s="455"/>
    </row>
    <row r="115" spans="1:36" x14ac:dyDescent="0.35">
      <c r="A115" s="455"/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59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612"/>
      <c r="AA115" s="455"/>
      <c r="AB115" s="455"/>
      <c r="AC115" s="455"/>
      <c r="AD115" s="455"/>
      <c r="AE115" s="455"/>
      <c r="AF115" s="455"/>
      <c r="AG115" s="455"/>
      <c r="AH115" s="455"/>
      <c r="AI115" s="455"/>
      <c r="AJ115" s="455"/>
    </row>
    <row r="116" spans="1:36" x14ac:dyDescent="0.35">
      <c r="A116" s="455"/>
      <c r="B116" s="455"/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59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612"/>
      <c r="AA116" s="455"/>
      <c r="AB116" s="455"/>
      <c r="AC116" s="455"/>
      <c r="AD116" s="455"/>
      <c r="AE116" s="455"/>
      <c r="AF116" s="455"/>
      <c r="AG116" s="455"/>
      <c r="AH116" s="455"/>
      <c r="AI116" s="455"/>
      <c r="AJ116" s="455"/>
    </row>
    <row r="117" spans="1:36" x14ac:dyDescent="0.35">
      <c r="A117" s="455"/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59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612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</row>
    <row r="118" spans="1:36" x14ac:dyDescent="0.35">
      <c r="A118" s="455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612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</row>
    <row r="119" spans="1:36" x14ac:dyDescent="0.35">
      <c r="A119" s="455"/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612"/>
      <c r="AA119" s="455"/>
      <c r="AB119" s="455"/>
      <c r="AC119" s="455"/>
      <c r="AD119" s="455"/>
      <c r="AE119" s="455"/>
      <c r="AF119" s="455"/>
      <c r="AG119" s="455"/>
      <c r="AH119" s="455"/>
      <c r="AI119" s="455"/>
      <c r="AJ119" s="455"/>
    </row>
    <row r="120" spans="1:36" x14ac:dyDescent="0.35">
      <c r="A120" s="455"/>
      <c r="B120" s="455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612"/>
      <c r="AA120" s="455"/>
      <c r="AB120" s="455"/>
      <c r="AC120" s="455"/>
      <c r="AD120" s="455"/>
      <c r="AE120" s="455"/>
      <c r="AF120" s="455"/>
      <c r="AG120" s="455"/>
      <c r="AH120" s="455"/>
      <c r="AI120" s="455"/>
      <c r="AJ120" s="455"/>
    </row>
    <row r="121" spans="1:36" x14ac:dyDescent="0.35">
      <c r="A121" s="455"/>
      <c r="B121" s="455"/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W121" s="455"/>
      <c r="X121" s="455"/>
      <c r="Y121" s="455"/>
      <c r="Z121" s="612"/>
      <c r="AA121" s="455"/>
      <c r="AB121" s="455"/>
      <c r="AC121" s="455"/>
      <c r="AD121" s="455"/>
      <c r="AE121" s="455"/>
      <c r="AF121" s="455"/>
      <c r="AG121" s="455"/>
      <c r="AH121" s="455"/>
      <c r="AI121" s="455"/>
      <c r="AJ121" s="455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topLeftCell="AH1" zoomScale="60" zoomScaleNormal="60" workbookViewId="0">
      <selection activeCell="AB3" sqref="AB3"/>
    </sheetView>
  </sheetViews>
  <sheetFormatPr baseColWidth="10" defaultColWidth="11.46484375" defaultRowHeight="12.75" x14ac:dyDescent="0.35"/>
  <cols>
    <col min="1" max="1" width="6.46484375" style="425" customWidth="1"/>
    <col min="2" max="12" width="11.46484375" style="425"/>
    <col min="13" max="13" width="4.19921875" style="425" customWidth="1"/>
    <col min="14" max="15" width="10.46484375" style="425" customWidth="1"/>
    <col min="16" max="17" width="11.46484375" style="425" customWidth="1"/>
    <col min="18" max="25" width="11.46484375" style="425"/>
    <col min="26" max="26" width="3.46484375" style="618" customWidth="1"/>
    <col min="27" max="41" width="11.46484375" style="425"/>
    <col min="42" max="42" width="3.53125" style="425" customWidth="1"/>
    <col min="43" max="16384" width="11.46484375" style="425"/>
  </cols>
  <sheetData>
    <row r="1" spans="1:61" ht="27" customHeight="1" thickBot="1" x14ac:dyDescent="0.65">
      <c r="A1" s="617" t="s">
        <v>175</v>
      </c>
      <c r="B1" s="617"/>
      <c r="AB1" s="527">
        <f>COLUMN(AB5)</f>
        <v>28</v>
      </c>
      <c r="AC1" s="527" t="s">
        <v>155</v>
      </c>
      <c r="AE1" s="597" t="s">
        <v>156</v>
      </c>
      <c r="AF1" s="550">
        <f>Normalkraft!D6</f>
        <v>1.7000797046029997E-2</v>
      </c>
      <c r="AH1" s="597" t="s">
        <v>157</v>
      </c>
      <c r="AI1" s="550">
        <f>(MAX(AB3:AL42)+MIN(AB3:AL42))/2</f>
        <v>7.6500000000000075</v>
      </c>
      <c r="AJ1" s="597" t="s">
        <v>158</v>
      </c>
      <c r="AK1" s="550">
        <f>(MAX(AB3:AL42)-MIN(AB3:AL42))/2</f>
        <v>14.100000000000007</v>
      </c>
      <c r="AR1" s="599">
        <f>COLUMN(AR4)</f>
        <v>44</v>
      </c>
      <c r="AS1" s="597" t="s">
        <v>159</v>
      </c>
      <c r="AT1" s="598">
        <f>(MAX(AR3:BB42)+MIN(AR3:BB42))/2</f>
        <v>-1.4457446723717198</v>
      </c>
      <c r="AU1" s="597" t="s">
        <v>160</v>
      </c>
      <c r="AV1" s="550">
        <f>(MAX(AR3:BB42)-MIN(AR3:BB42))/2</f>
        <v>5.0457446723717201</v>
      </c>
      <c r="AW1" s="527" t="s">
        <v>122</v>
      </c>
      <c r="AX1" s="425">
        <f>SQRT(AK1^2+AV1^2)</f>
        <v>14.97563151585828</v>
      </c>
      <c r="BG1" s="527" t="s">
        <v>117</v>
      </c>
    </row>
    <row r="2" spans="1:61" ht="13.15" thickBot="1" x14ac:dyDescent="0.4">
      <c r="A2" s="542" t="s">
        <v>13</v>
      </c>
      <c r="B2" s="543">
        <v>0</v>
      </c>
      <c r="C2" s="544">
        <v>0</v>
      </c>
      <c r="D2" s="544">
        <v>0.2</v>
      </c>
      <c r="E2" s="544">
        <v>0.3</v>
      </c>
      <c r="F2" s="544">
        <v>0.4</v>
      </c>
      <c r="G2" s="544">
        <v>0.5</v>
      </c>
      <c r="H2" s="544">
        <v>0.6</v>
      </c>
      <c r="I2" s="544">
        <v>0.7</v>
      </c>
      <c r="J2" s="544">
        <v>0.8</v>
      </c>
      <c r="K2" s="544">
        <v>0.9</v>
      </c>
      <c r="L2" s="619">
        <v>1</v>
      </c>
      <c r="N2" s="542" t="s">
        <v>165</v>
      </c>
      <c r="O2" s="543">
        <v>0</v>
      </c>
      <c r="P2" s="544">
        <v>0.1</v>
      </c>
      <c r="Q2" s="544">
        <v>0.2</v>
      </c>
      <c r="R2" s="544">
        <v>0.3</v>
      </c>
      <c r="S2" s="544">
        <v>0.4</v>
      </c>
      <c r="T2" s="544">
        <v>0.5</v>
      </c>
      <c r="U2" s="544">
        <v>0.6</v>
      </c>
      <c r="V2" s="544">
        <v>0.7</v>
      </c>
      <c r="W2" s="544">
        <v>0.8</v>
      </c>
      <c r="X2" s="544">
        <v>0.9</v>
      </c>
      <c r="Y2" s="619">
        <v>1</v>
      </c>
      <c r="AA2" s="613" t="s">
        <v>13</v>
      </c>
      <c r="AB2" s="486">
        <v>0</v>
      </c>
      <c r="AC2" s="547">
        <v>0.1</v>
      </c>
      <c r="AD2" s="547">
        <v>0.2</v>
      </c>
      <c r="AE2" s="547">
        <v>0.3</v>
      </c>
      <c r="AF2" s="547">
        <v>0.4</v>
      </c>
      <c r="AG2" s="547">
        <v>0.5</v>
      </c>
      <c r="AH2" s="547">
        <v>0.6</v>
      </c>
      <c r="AI2" s="547">
        <v>0.7</v>
      </c>
      <c r="AJ2" s="547">
        <v>0.8</v>
      </c>
      <c r="AK2" s="547">
        <v>0.9</v>
      </c>
      <c r="AL2" s="487">
        <v>1</v>
      </c>
      <c r="AM2" s="620">
        <v>1</v>
      </c>
      <c r="AN2" s="549">
        <v>0</v>
      </c>
      <c r="AO2" s="550">
        <v>0</v>
      </c>
      <c r="AQ2" s="621" t="s">
        <v>165</v>
      </c>
      <c r="AR2" s="486">
        <v>0</v>
      </c>
      <c r="AS2" s="547">
        <v>0.1</v>
      </c>
      <c r="AT2" s="547">
        <v>0.2</v>
      </c>
      <c r="AU2" s="547">
        <v>0.3</v>
      </c>
      <c r="AV2" s="547">
        <v>0.4</v>
      </c>
      <c r="AW2" s="547">
        <v>0.5</v>
      </c>
      <c r="AX2" s="547">
        <v>0.6</v>
      </c>
      <c r="AY2" s="547">
        <v>0.7</v>
      </c>
      <c r="AZ2" s="547">
        <v>0.8</v>
      </c>
      <c r="BA2" s="547">
        <v>0.9</v>
      </c>
      <c r="BB2" s="487">
        <v>1</v>
      </c>
      <c r="BC2" s="622">
        <v>1</v>
      </c>
      <c r="BD2" s="623">
        <v>0</v>
      </c>
      <c r="BE2" s="624">
        <v>0</v>
      </c>
      <c r="BG2" s="602" t="s">
        <v>157</v>
      </c>
      <c r="BH2" s="500">
        <f>ROUNDUP(PlotN!$AI$1,1)</f>
        <v>7.6999999999999993</v>
      </c>
      <c r="BI2" s="506"/>
    </row>
    <row r="3" spans="1:61" x14ac:dyDescent="0.35">
      <c r="A3" s="556">
        <v>1</v>
      </c>
      <c r="B3" s="499">
        <v>0</v>
      </c>
      <c r="C3" s="500">
        <v>0</v>
      </c>
      <c r="D3" s="500">
        <v>0</v>
      </c>
      <c r="E3" s="500">
        <v>0</v>
      </c>
      <c r="F3" s="500">
        <v>0</v>
      </c>
      <c r="G3" s="500">
        <v>0</v>
      </c>
      <c r="H3" s="500">
        <v>0</v>
      </c>
      <c r="I3" s="500">
        <v>0</v>
      </c>
      <c r="J3" s="500">
        <v>0</v>
      </c>
      <c r="K3" s="500">
        <v>0</v>
      </c>
      <c r="L3" s="558">
        <v>0</v>
      </c>
      <c r="N3" s="556">
        <v>1</v>
      </c>
      <c r="O3" s="505">
        <v>0</v>
      </c>
      <c r="P3" s="557">
        <v>0</v>
      </c>
      <c r="Q3" s="557">
        <v>0</v>
      </c>
      <c r="R3" s="557">
        <v>0</v>
      </c>
      <c r="S3" s="557">
        <v>0</v>
      </c>
      <c r="T3" s="557">
        <v>0</v>
      </c>
      <c r="U3" s="557">
        <v>0</v>
      </c>
      <c r="V3" s="557">
        <v>0</v>
      </c>
      <c r="W3" s="557">
        <v>0</v>
      </c>
      <c r="X3" s="557">
        <v>0</v>
      </c>
      <c r="Y3" s="506">
        <v>0</v>
      </c>
      <c r="AA3" s="560">
        <v>1</v>
      </c>
      <c r="AB3" s="603">
        <f>IF(ISNUMBER(System!$C4),PlotData!B4+ Normalkraft!$E$2*$AF$1*B3,PlotData!$CB$3)</f>
        <v>-3.75</v>
      </c>
      <c r="AC3" s="604">
        <f>IF(ISNUMBER(System!$C4),PlotData!C4+ Normalkraft!$E$2*$AF$1*C3,PlotData!$CB$3)</f>
        <v>-3.4649999999999999</v>
      </c>
      <c r="AD3" s="604">
        <f>IF(ISNUMBER(System!$C4),PlotData!D4+ Normalkraft!$E$2*$AF$1*D3,PlotData!$CB$3)</f>
        <v>-3.1799999999999997</v>
      </c>
      <c r="AE3" s="604">
        <f>IF(ISNUMBER(System!$C4),PlotData!E4+ Normalkraft!$E$2*$AF$1*E3,PlotData!$CB$3)</f>
        <v>-2.8949999999999996</v>
      </c>
      <c r="AF3" s="604">
        <f>IF(ISNUMBER(System!$C4),PlotData!F4+Normalkraft!$E$2* $AF$1*F3,PlotData!$CB$3)</f>
        <v>-2.6099999999999994</v>
      </c>
      <c r="AG3" s="604">
        <f>IF(ISNUMBER(System!$C4),PlotData!G4+ Normalkraft!$E$2*$AF$1*G3,PlotData!$CB$3)</f>
        <v>-2.3249999999999993</v>
      </c>
      <c r="AH3" s="604">
        <f>IF(ISNUMBER(System!$C4),PlotData!H4+ Normalkraft!$E$2*$AF$1*H3,PlotData!$CB$3)</f>
        <v>-2.0399999999999991</v>
      </c>
      <c r="AI3" s="604">
        <f>IF(ISNUMBER(System!$C4),PlotData!I4+ Normalkraft!$E$2*$AF$1*I3,PlotData!$CB$3)</f>
        <v>-1.754999999999999</v>
      </c>
      <c r="AJ3" s="604">
        <f>IF(ISNUMBER(System!$C4),PlotData!J4+ Normalkraft!$E$2*$AF$1*J3,PlotData!$CB$3)</f>
        <v>-1.4699999999999989</v>
      </c>
      <c r="AK3" s="604">
        <f>IF(ISNUMBER(System!$C4),PlotData!K4+Normalkraft!$E$2* $AF$1*K3,PlotData!$CB$3)</f>
        <v>-1.1849999999999987</v>
      </c>
      <c r="AL3" s="605">
        <f>IF(ISNUMBER(System!$C4),PlotData!L4+Normalkraft!$E$2* $AF$1*L3,PlotData!$CB$3)</f>
        <v>-0.89999999999999869</v>
      </c>
      <c r="AM3" s="505">
        <f>IF(ISNUMBER(System!$C4),PlotData!L4,PlotData!$CB$3)</f>
        <v>-0.89999999999999869</v>
      </c>
      <c r="AN3" s="557">
        <f>IF(ISNUMBER(System!$C4),PlotData!B4,PlotData!$CB$3)</f>
        <v>-3.75</v>
      </c>
      <c r="AO3" s="440">
        <f>IF(ISNUMBER(System!$C4),AB3,PlotData!$CB$3)</f>
        <v>-3.75</v>
      </c>
      <c r="AQ3" s="559">
        <v>1</v>
      </c>
      <c r="AR3" s="505">
        <f>IF(ISNUMBER(System!$C4),PlotData!O4+ Normalkraft!$E$2*$AF$1*O3,PlotData!$CB$4)</f>
        <v>0.9</v>
      </c>
      <c r="AS3" s="557">
        <f>IF(ISNUMBER(System!$C4),PlotData!P4+ Normalkraft!$E$2*$AF$1*P3,PlotData!$CB$4)</f>
        <v>0.9</v>
      </c>
      <c r="AT3" s="557">
        <f>IF(ISNUMBER(System!$C4),PlotData!Q4+ Normalkraft!$E$2*$AF$1*Q3,PlotData!$CB$4)</f>
        <v>0.9</v>
      </c>
      <c r="AU3" s="557">
        <f>IF(ISNUMBER(System!$C4),PlotData!R4+ Normalkraft!$E$2*$AF$1*R3,PlotData!$CB$4)</f>
        <v>0.9</v>
      </c>
      <c r="AV3" s="557">
        <f>IF(ISNUMBER(System!$C4),PlotData!S4+Normalkraft!$E$2* $AF$1*S3,PlotData!$CB$4)</f>
        <v>0.9</v>
      </c>
      <c r="AW3" s="557">
        <f>IF(ISNUMBER(System!$C4),PlotData!T4+ Normalkraft!$E$2*$AF$1*T3,PlotData!$CB$4)</f>
        <v>0.9</v>
      </c>
      <c r="AX3" s="557">
        <f>IF(ISNUMBER(System!$C4),PlotData!U4+Normalkraft!$E$2* $AF$1*U3,PlotData!$CB$4)</f>
        <v>0.9</v>
      </c>
      <c r="AY3" s="557">
        <f>IF(ISNUMBER(System!$C4),PlotData!V4+ Normalkraft!$E$2*$AF$1*V3,PlotData!$CB$4)</f>
        <v>0.9</v>
      </c>
      <c r="AZ3" s="557">
        <f>IF(ISNUMBER(System!$C4),PlotData!W4+ Normalkraft!$E$2*$AF$1*W3,PlotData!$CB$4)</f>
        <v>0.9</v>
      </c>
      <c r="BA3" s="557">
        <f>IF(ISNUMBER(System!$C4),PlotData!X4+ Normalkraft!$E$2*$AF$1*X3,PlotData!$CB$4)</f>
        <v>0.9</v>
      </c>
      <c r="BB3" s="506">
        <f>IF(ISNUMBER(System!$C4),PlotData!Y4+Normalkraft!$E$2*$AF$1*Y3,PlotData!$CB$4)</f>
        <v>0.9</v>
      </c>
      <c r="BC3" s="505">
        <f>IF(ISNUMBER(System!$C4),PlotData!Y4, PlotData!CB$4)</f>
        <v>0.9</v>
      </c>
      <c r="BD3" s="557">
        <f>IF(ISNUMBER(System!$C4),PlotData!O4, PlotData!$CB$4)</f>
        <v>0.9</v>
      </c>
      <c r="BE3" s="506">
        <f>IF(ISNUMBER(System!$C4), AR3,PlotData!$CB$4)</f>
        <v>0.9</v>
      </c>
      <c r="BG3" s="480" t="s">
        <v>166</v>
      </c>
      <c r="BH3" s="566">
        <f>ROUNDUP(PlotN!$AT$1,1)</f>
        <v>-1.5</v>
      </c>
      <c r="BI3" s="567"/>
    </row>
    <row r="4" spans="1:61" x14ac:dyDescent="0.35">
      <c r="A4" s="564">
        <v>2</v>
      </c>
      <c r="B4" s="581">
        <v>0</v>
      </c>
      <c r="C4" s="582">
        <v>0</v>
      </c>
      <c r="D4" s="582">
        <v>0</v>
      </c>
      <c r="E4" s="582">
        <v>0</v>
      </c>
      <c r="F4" s="582">
        <v>0</v>
      </c>
      <c r="G4" s="582">
        <v>0</v>
      </c>
      <c r="H4" s="582">
        <v>0</v>
      </c>
      <c r="I4" s="582">
        <v>0</v>
      </c>
      <c r="J4" s="582">
        <v>0</v>
      </c>
      <c r="K4" s="582">
        <v>0</v>
      </c>
      <c r="L4" s="583">
        <v>0</v>
      </c>
      <c r="N4" s="564">
        <v>2</v>
      </c>
      <c r="O4" s="565">
        <v>0</v>
      </c>
      <c r="P4" s="566">
        <v>0</v>
      </c>
      <c r="Q4" s="566">
        <v>0</v>
      </c>
      <c r="R4" s="566">
        <v>0</v>
      </c>
      <c r="S4" s="566">
        <v>0</v>
      </c>
      <c r="T4" s="566">
        <v>0</v>
      </c>
      <c r="U4" s="566">
        <v>0</v>
      </c>
      <c r="V4" s="566">
        <v>0</v>
      </c>
      <c r="W4" s="566">
        <v>0</v>
      </c>
      <c r="X4" s="566">
        <v>0</v>
      </c>
      <c r="Y4" s="567">
        <v>0</v>
      </c>
      <c r="AA4" s="569">
        <v>2</v>
      </c>
      <c r="AB4" s="565">
        <f>IF(ISNUMBER(System!$C5),PlotData!B5+ Normalkraft!$E$2*$AF$1*B4,PlotData!$CB$3)</f>
        <v>-0.9</v>
      </c>
      <c r="AC4" s="566">
        <f>IF(ISNUMBER(System!$C5),PlotData!C5+ Normalkraft!$E$2*$AF$1*C4,PlotData!$CB$3)</f>
        <v>-0.55491829999999998</v>
      </c>
      <c r="AD4" s="566">
        <f>IF(ISNUMBER(System!$C5),PlotData!D5+ Normalkraft!$E$2*$AF$1*D4,PlotData!$CB$3)</f>
        <v>-0.20983659999999998</v>
      </c>
      <c r="AE4" s="566">
        <f>IF(ISNUMBER(System!$C5),PlotData!E5+ Normalkraft!$E$2*$AF$1*E4,PlotData!$CB$3)</f>
        <v>0.13524510000000001</v>
      </c>
      <c r="AF4" s="566">
        <f>IF(ISNUMBER(System!$C5),PlotData!F5+Normalkraft!$E$2* $AF$1*F4,PlotData!$CB$3)</f>
        <v>0.4803268</v>
      </c>
      <c r="AG4" s="566">
        <f>IF(ISNUMBER(System!$C5),PlotData!G5+ Normalkraft!$E$2*$AF$1*G4,PlotData!$CB$3)</f>
        <v>0.82540849999999999</v>
      </c>
      <c r="AH4" s="566">
        <f>IF(ISNUMBER(System!$C5),PlotData!H5+ Normalkraft!$E$2*$AF$1*H4,PlotData!$CB$3)</f>
        <v>1.1704901999999999</v>
      </c>
      <c r="AI4" s="566">
        <f>IF(ISNUMBER(System!$C5),PlotData!I5+ Normalkraft!$E$2*$AF$1*I4,PlotData!$CB$3)</f>
        <v>1.5155718999999999</v>
      </c>
      <c r="AJ4" s="566">
        <f>IF(ISNUMBER(System!$C5),PlotData!J5+ Normalkraft!$E$2*$AF$1*J4,PlotData!$CB$3)</f>
        <v>1.8606535999999998</v>
      </c>
      <c r="AK4" s="566">
        <f>IF(ISNUMBER(System!$C5),PlotData!K5+Normalkraft!$E$2* $AF$1*K4,PlotData!$CB$3)</f>
        <v>2.2057352999999997</v>
      </c>
      <c r="AL4" s="567">
        <f>IF(ISNUMBER(System!$C5),PlotData!L5+Normalkraft!$E$2* $AF$1*L4,PlotData!$CB$3)</f>
        <v>2.5508169999999999</v>
      </c>
      <c r="AM4" s="565">
        <f>IF(ISNUMBER(System!$C5),PlotData!L5,PlotData!$CB$3)</f>
        <v>2.5508169999999999</v>
      </c>
      <c r="AN4" s="566">
        <f>IF(ISNUMBER(System!$C5),PlotData!B5,PlotData!$CB$3)</f>
        <v>-0.9</v>
      </c>
      <c r="AO4" s="447">
        <f>IF(ISNUMBER(System!$C5),AB4,PlotData!$CB$3)</f>
        <v>-0.9</v>
      </c>
      <c r="AQ4" s="568">
        <v>2</v>
      </c>
      <c r="AR4" s="565">
        <f>IF(ISNUMBER(System!$C5),PlotData!O5+ Normalkraft!$E$2*$AF$1*O4,PlotData!$CB$4)</f>
        <v>0.9</v>
      </c>
      <c r="AS4" s="566">
        <f>IF(ISNUMBER(System!$C5),PlotData!P5+ Normalkraft!$E$2*$AF$1*P4,PlotData!$CB$4)</f>
        <v>0.89998359999999999</v>
      </c>
      <c r="AT4" s="566">
        <f>IF(ISNUMBER(System!$C5),PlotData!Q5+ Normalkraft!$E$2*$AF$1*Q4,PlotData!$CB$4)</f>
        <v>0.89996719999999997</v>
      </c>
      <c r="AU4" s="566">
        <f>IF(ISNUMBER(System!$C5),PlotData!R5+ Normalkraft!$E$2*$AF$1*R4,PlotData!$CB$4)</f>
        <v>0.89995079999999994</v>
      </c>
      <c r="AV4" s="566">
        <f>IF(ISNUMBER(System!$C5),PlotData!S5+Normalkraft!$E$2* $AF$1*S4,PlotData!$CB$4)</f>
        <v>0.89993439999999991</v>
      </c>
      <c r="AW4" s="566">
        <f>IF(ISNUMBER(System!$C5),PlotData!T5+ Normalkraft!$E$2*$AF$1*T4,PlotData!$CB$4)</f>
        <v>0.89991799999999988</v>
      </c>
      <c r="AX4" s="566">
        <f>IF(ISNUMBER(System!$C5),PlotData!U5+Normalkraft!$E$2* $AF$1*U4,PlotData!$CB$4)</f>
        <v>0.89990159999999986</v>
      </c>
      <c r="AY4" s="566">
        <f>IF(ISNUMBER(System!$C5),PlotData!V5+ Normalkraft!$E$2*$AF$1*V4,PlotData!$CB$4)</f>
        <v>0.89988519999999983</v>
      </c>
      <c r="AZ4" s="566">
        <f>IF(ISNUMBER(System!$C5),PlotData!W5+ Normalkraft!$E$2*$AF$1*W4,PlotData!$CB$4)</f>
        <v>0.8998687999999998</v>
      </c>
      <c r="BA4" s="566">
        <f>IF(ISNUMBER(System!$C5),PlotData!X5+ Normalkraft!$E$2*$AF$1*X4,PlotData!$CB$4)</f>
        <v>0.89985239999999977</v>
      </c>
      <c r="BB4" s="567">
        <f>IF(ISNUMBER(System!$C5),PlotData!Y5+Normalkraft!$E$2*$AF$1*Y4,PlotData!$CB$4)</f>
        <v>0.89983599999999975</v>
      </c>
      <c r="BC4" s="565">
        <f>IF(ISNUMBER(System!$C5),PlotData!Y5, PlotData!CB$4)</f>
        <v>0.89983599999999975</v>
      </c>
      <c r="BD4" s="566">
        <f>IF(ISNUMBER(System!$C5),PlotData!O5, PlotData!$CB$4)</f>
        <v>0.9</v>
      </c>
      <c r="BE4" s="567">
        <f>IF(ISNUMBER(System!$C5), AR4,PlotData!$CB$4)</f>
        <v>0.9</v>
      </c>
      <c r="BG4" s="480" t="s">
        <v>122</v>
      </c>
      <c r="BH4" s="566">
        <f>ROUNDUP(BH5  * PlotN!$AX$1,1)</f>
        <v>15</v>
      </c>
      <c r="BI4" s="567"/>
    </row>
    <row r="5" spans="1:61" x14ac:dyDescent="0.35">
      <c r="A5" s="564">
        <v>3</v>
      </c>
      <c r="B5" s="581">
        <v>2.5714991274615859</v>
      </c>
      <c r="C5" s="582">
        <v>2.5714991274615859</v>
      </c>
      <c r="D5" s="582">
        <v>2.5714991274615859</v>
      </c>
      <c r="E5" s="582">
        <v>2.5714991274615859</v>
      </c>
      <c r="F5" s="582">
        <v>2.5714991274615859</v>
      </c>
      <c r="G5" s="582">
        <v>2.5714991274615859</v>
      </c>
      <c r="H5" s="582">
        <v>2.5714991274615859</v>
      </c>
      <c r="I5" s="582">
        <v>2.5714991274615859</v>
      </c>
      <c r="J5" s="582">
        <v>2.5714991274615859</v>
      </c>
      <c r="K5" s="582">
        <v>2.5714991274615859</v>
      </c>
      <c r="L5" s="583">
        <v>2.5714991274615859</v>
      </c>
      <c r="N5" s="564">
        <v>3</v>
      </c>
      <c r="O5" s="565">
        <v>4.1143986039385378</v>
      </c>
      <c r="P5" s="566">
        <v>4.1143986039385378</v>
      </c>
      <c r="Q5" s="566">
        <v>4.1143986039385378</v>
      </c>
      <c r="R5" s="566">
        <v>4.1143986039385378</v>
      </c>
      <c r="S5" s="566">
        <v>4.1143986039385378</v>
      </c>
      <c r="T5" s="566">
        <v>4.1143986039385378</v>
      </c>
      <c r="U5" s="566">
        <v>4.1143986039385378</v>
      </c>
      <c r="V5" s="566">
        <v>4.1143986039385378</v>
      </c>
      <c r="W5" s="566">
        <v>4.1143986039385378</v>
      </c>
      <c r="X5" s="566">
        <v>4.1143986039385378</v>
      </c>
      <c r="Y5" s="567">
        <v>4.1143986039385378</v>
      </c>
      <c r="AA5" s="569">
        <v>3</v>
      </c>
      <c r="AB5" s="565">
        <f>IF(ISNUMBER(System!$C6),PlotData!B6+ Normalkraft!$E$2*$AF$1*B5,PlotData!$CB$3)</f>
        <v>-0.85628246522998241</v>
      </c>
      <c r="AC5" s="566">
        <f>IF(ISNUMBER(System!$C6),PlotData!C6+ Normalkraft!$E$2*$AF$1*C5,PlotData!$CB$3)</f>
        <v>-0.37628246522998232</v>
      </c>
      <c r="AD5" s="566">
        <f>IF(ISNUMBER(System!$C6),PlotData!D6+ Normalkraft!$E$2*$AF$1*D5,PlotData!$CB$3)</f>
        <v>0.10371753477001769</v>
      </c>
      <c r="AE5" s="566">
        <f>IF(ISNUMBER(System!$C6),PlotData!E6+ Normalkraft!$E$2*$AF$1*E5,PlotData!$CB$3)</f>
        <v>0.58371753477001764</v>
      </c>
      <c r="AF5" s="566">
        <f>IF(ISNUMBER(System!$C6),PlotData!F6+Normalkraft!$E$2* $AF$1*F5,PlotData!$CB$3)</f>
        <v>1.0637175347700176</v>
      </c>
      <c r="AG5" s="566">
        <f>IF(ISNUMBER(System!$C6),PlotData!G6+ Normalkraft!$E$2*$AF$1*G5,PlotData!$CB$3)</f>
        <v>1.5437175347700176</v>
      </c>
      <c r="AH5" s="566">
        <f>IF(ISNUMBER(System!$C6),PlotData!H6+ Normalkraft!$E$2*$AF$1*H5,PlotData!$CB$3)</f>
        <v>2.0237175347700176</v>
      </c>
      <c r="AI5" s="566">
        <f>IF(ISNUMBER(System!$C6),PlotData!I6+ Normalkraft!$E$2*$AF$1*I5,PlotData!$CB$3)</f>
        <v>2.5037175347700176</v>
      </c>
      <c r="AJ5" s="566">
        <f>IF(ISNUMBER(System!$C6),PlotData!J6+ Normalkraft!$E$2*$AF$1*J5,PlotData!$CB$3)</f>
        <v>2.9837175347700176</v>
      </c>
      <c r="AK5" s="566">
        <f>IF(ISNUMBER(System!$C6),PlotData!K6+Normalkraft!$E$2* $AF$1*K5,PlotData!$CB$3)</f>
        <v>3.4637175347700175</v>
      </c>
      <c r="AL5" s="567">
        <f>IF(ISNUMBER(System!$C6),PlotData!L6+Normalkraft!$E$2* $AF$1*L5,PlotData!$CB$3)</f>
        <v>3.9437175347700175</v>
      </c>
      <c r="AM5" s="565">
        <f>IF(ISNUMBER(System!$C6),PlotData!L6,PlotData!$CB$3)</f>
        <v>3.9</v>
      </c>
      <c r="AN5" s="566">
        <f>IF(ISNUMBER(System!$C6),PlotData!B6,PlotData!$CB$3)</f>
        <v>-0.9</v>
      </c>
      <c r="AO5" s="447">
        <f>IF(ISNUMBER(System!$C6),AB5,PlotData!$CB$3)</f>
        <v>-0.85628246522998241</v>
      </c>
      <c r="AQ5" s="568">
        <v>3</v>
      </c>
      <c r="AR5" s="565">
        <f>IF(ISNUMBER(System!$C6),PlotData!O6+ Normalkraft!$E$2*$AF$1*O5,PlotData!$CB$4)</f>
        <v>0.96994805563202824</v>
      </c>
      <c r="AS5" s="566">
        <f>IF(ISNUMBER(System!$C6),PlotData!P6+ Normalkraft!$E$2*$AF$1*P5,PlotData!$CB$4)</f>
        <v>0.66994805563202819</v>
      </c>
      <c r="AT5" s="566">
        <f>IF(ISNUMBER(System!$C6),PlotData!Q6+ Normalkraft!$E$2*$AF$1*Q5,PlotData!$CB$4)</f>
        <v>0.36994805563202815</v>
      </c>
      <c r="AU5" s="566">
        <f>IF(ISNUMBER(System!$C6),PlotData!R6+ Normalkraft!$E$2*$AF$1*R5,PlotData!$CB$4)</f>
        <v>6.9948055632028133E-2</v>
      </c>
      <c r="AV5" s="566">
        <f>IF(ISNUMBER(System!$C6),PlotData!S6+Normalkraft!$E$2* $AF$1*S5,PlotData!$CB$4)</f>
        <v>-0.23005194436797191</v>
      </c>
      <c r="AW5" s="566">
        <f>IF(ISNUMBER(System!$C6),PlotData!T6+ Normalkraft!$E$2*$AF$1*T5,PlotData!$CB$4)</f>
        <v>-0.53005194436797198</v>
      </c>
      <c r="AX5" s="566">
        <f>IF(ISNUMBER(System!$C6),PlotData!U6+Normalkraft!$E$2* $AF$1*U5,PlotData!$CB$4)</f>
        <v>-0.83005194436797203</v>
      </c>
      <c r="AY5" s="566">
        <f>IF(ISNUMBER(System!$C6),PlotData!V6+ Normalkraft!$E$2*$AF$1*V5,PlotData!$CB$4)</f>
        <v>-1.130051944367972</v>
      </c>
      <c r="AZ5" s="566">
        <f>IF(ISNUMBER(System!$C6),PlotData!W6+ Normalkraft!$E$2*$AF$1*W5,PlotData!$CB$4)</f>
        <v>-1.430051944367972</v>
      </c>
      <c r="BA5" s="566">
        <f>IF(ISNUMBER(System!$C6),PlotData!X6+ Normalkraft!$E$2*$AF$1*X5,PlotData!$CB$4)</f>
        <v>-1.730051944367972</v>
      </c>
      <c r="BB5" s="567">
        <f>IF(ISNUMBER(System!$C6),PlotData!Y6+Normalkraft!$E$2*$AF$1*Y5,PlotData!$CB$4)</f>
        <v>-2.0300519443679721</v>
      </c>
      <c r="BC5" s="565">
        <f>IF(ISNUMBER(System!$C6),PlotData!Y6, PlotData!CB$4)</f>
        <v>-2.1000000000000005</v>
      </c>
      <c r="BD5" s="566">
        <f>IF(ISNUMBER(System!$C6),PlotData!O6, PlotData!$CB$4)</f>
        <v>0.9</v>
      </c>
      <c r="BE5" s="567">
        <f>IF(ISNUMBER(System!$C6), AR5,PlotData!$CB$4)</f>
        <v>0.96994805563202824</v>
      </c>
      <c r="BG5" s="480" t="s">
        <v>167</v>
      </c>
      <c r="BH5" s="566">
        <f>1/Normalkraft!$G$2</f>
        <v>1</v>
      </c>
      <c r="BI5" s="567"/>
    </row>
    <row r="6" spans="1:61" x14ac:dyDescent="0.35">
      <c r="A6" s="564">
        <v>4</v>
      </c>
      <c r="B6" s="581">
        <v>161.44424482177934</v>
      </c>
      <c r="C6" s="582">
        <v>161.44424482177934</v>
      </c>
      <c r="D6" s="582">
        <v>161.44424482177934</v>
      </c>
      <c r="E6" s="582">
        <v>161.44424482177934</v>
      </c>
      <c r="F6" s="582">
        <v>161.44424482177934</v>
      </c>
      <c r="G6" s="582">
        <v>161.44424482177934</v>
      </c>
      <c r="H6" s="582">
        <v>161.44424482177934</v>
      </c>
      <c r="I6" s="582">
        <v>161.44424482177934</v>
      </c>
      <c r="J6" s="582">
        <v>161.44424482177934</v>
      </c>
      <c r="K6" s="582">
        <v>161.44424482177934</v>
      </c>
      <c r="L6" s="583">
        <v>161.44424482177934</v>
      </c>
      <c r="N6" s="564">
        <v>4</v>
      </c>
      <c r="O6" s="565">
        <v>-258.31079171484691</v>
      </c>
      <c r="P6" s="566">
        <v>-258.31079171484691</v>
      </c>
      <c r="Q6" s="566">
        <v>-258.31079171484691</v>
      </c>
      <c r="R6" s="566">
        <v>-258.31079171484691</v>
      </c>
      <c r="S6" s="566">
        <v>-258.31079171484691</v>
      </c>
      <c r="T6" s="566">
        <v>-258.31079171484691</v>
      </c>
      <c r="U6" s="566">
        <v>-258.31079171484691</v>
      </c>
      <c r="V6" s="566">
        <v>-258.31079171484691</v>
      </c>
      <c r="W6" s="566">
        <v>-258.31079171484691</v>
      </c>
      <c r="X6" s="566">
        <v>-258.31079171484691</v>
      </c>
      <c r="Y6" s="567">
        <v>-258.31079171484691</v>
      </c>
      <c r="AA6" s="569">
        <v>4</v>
      </c>
      <c r="AB6" s="565">
        <f>IF(ISNUMBER(System!$C7),PlotData!B7+ Normalkraft!$E$2*$AF$1*B6,PlotData!$CB$3)</f>
        <v>11.444680840464649</v>
      </c>
      <c r="AC6" s="566">
        <f>IF(ISNUMBER(System!$C7),PlotData!C7+ Normalkraft!$E$2*$AF$1*C6,PlotData!$CB$3)</f>
        <v>10.964680840464649</v>
      </c>
      <c r="AD6" s="566">
        <f>IF(ISNUMBER(System!$C7),PlotData!D7+ Normalkraft!$E$2*$AF$1*D6,PlotData!$CB$3)</f>
        <v>10.484680840464648</v>
      </c>
      <c r="AE6" s="566">
        <f>IF(ISNUMBER(System!$C7),PlotData!E7+ Normalkraft!$E$2*$AF$1*E6,PlotData!$CB$3)</f>
        <v>10.004680840464648</v>
      </c>
      <c r="AF6" s="566">
        <f>IF(ISNUMBER(System!$C7),PlotData!F7+Normalkraft!$E$2* $AF$1*F6,PlotData!$CB$3)</f>
        <v>9.5246808404646472</v>
      </c>
      <c r="AG6" s="566">
        <f>IF(ISNUMBER(System!$C7),PlotData!G7+ Normalkraft!$E$2*$AF$1*G6,PlotData!$CB$3)</f>
        <v>9.0446808404646468</v>
      </c>
      <c r="AH6" s="566">
        <f>IF(ISNUMBER(System!$C7),PlotData!H7+ Normalkraft!$E$2*$AF$1*H6,PlotData!$CB$3)</f>
        <v>8.5646808404646464</v>
      </c>
      <c r="AI6" s="566">
        <f>IF(ISNUMBER(System!$C7),PlotData!I7+ Normalkraft!$E$2*$AF$1*I6,PlotData!$CB$3)</f>
        <v>8.084680840464646</v>
      </c>
      <c r="AJ6" s="566">
        <f>IF(ISNUMBER(System!$C7),PlotData!J7+ Normalkraft!$E$2*$AF$1*J6,PlotData!$CB$3)</f>
        <v>7.6046808404646455</v>
      </c>
      <c r="AK6" s="566">
        <f>IF(ISNUMBER(System!$C7),PlotData!K7+Normalkraft!$E$2* $AF$1*K6,PlotData!$CB$3)</f>
        <v>7.1246808404646451</v>
      </c>
      <c r="AL6" s="567">
        <f>IF(ISNUMBER(System!$C7),PlotData!L7+Normalkraft!$E$2* $AF$1*L6,PlotData!$CB$3)</f>
        <v>6.6446808404646447</v>
      </c>
      <c r="AM6" s="565">
        <f>IF(ISNUMBER(System!$C7),PlotData!L7,PlotData!$CB$3)</f>
        <v>3.8999999999999955</v>
      </c>
      <c r="AN6" s="566">
        <f>IF(ISNUMBER(System!$C7),PlotData!B7,PlotData!$CB$3)</f>
        <v>8.6999999999999993</v>
      </c>
      <c r="AO6" s="447">
        <f>IF(ISNUMBER(System!$C7),AB6,PlotData!$CB$3)</f>
        <v>11.444680840464649</v>
      </c>
      <c r="AQ6" s="568">
        <v>4</v>
      </c>
      <c r="AR6" s="565">
        <f>IF(ISNUMBER(System!$C7),PlotData!O7+ Normalkraft!$E$2*$AF$1*O6,PlotData!$CB$4)</f>
        <v>-3.4914893447434392</v>
      </c>
      <c r="AS6" s="566">
        <f>IF(ISNUMBER(System!$C7),PlotData!P7+ Normalkraft!$E$2*$AF$1*P6,PlotData!$CB$4)</f>
        <v>-3.791489344743439</v>
      </c>
      <c r="AT6" s="566">
        <f>IF(ISNUMBER(System!$C7),PlotData!Q7+ Normalkraft!$E$2*$AF$1*Q6,PlotData!$CB$4)</f>
        <v>-4.0914893447434393</v>
      </c>
      <c r="AU6" s="566">
        <f>IF(ISNUMBER(System!$C7),PlotData!R7+ Normalkraft!$E$2*$AF$1*R6,PlotData!$CB$4)</f>
        <v>-4.3914893447434391</v>
      </c>
      <c r="AV6" s="566">
        <f>IF(ISNUMBER(System!$C7),PlotData!S7+Normalkraft!$E$2* $AF$1*S6,PlotData!$CB$4)</f>
        <v>-4.6914893447434389</v>
      </c>
      <c r="AW6" s="566">
        <f>IF(ISNUMBER(System!$C7),PlotData!T7+ Normalkraft!$E$2*$AF$1*T6,PlotData!$CB$4)</f>
        <v>-4.9914893447434396</v>
      </c>
      <c r="AX6" s="566">
        <f>IF(ISNUMBER(System!$C7),PlotData!U7+Normalkraft!$E$2* $AF$1*U6,PlotData!$CB$4)</f>
        <v>-5.2914893447434395</v>
      </c>
      <c r="AY6" s="566">
        <f>IF(ISNUMBER(System!$C7),PlotData!V7+ Normalkraft!$E$2*$AF$1*V6,PlotData!$CB$4)</f>
        <v>-5.5914893447434393</v>
      </c>
      <c r="AZ6" s="566">
        <f>IF(ISNUMBER(System!$C7),PlotData!W7+ Normalkraft!$E$2*$AF$1*W6,PlotData!$CB$4)</f>
        <v>-5.8914893447434391</v>
      </c>
      <c r="BA6" s="566">
        <f>IF(ISNUMBER(System!$C7),PlotData!X7+ Normalkraft!$E$2*$AF$1*X6,PlotData!$CB$4)</f>
        <v>-6.1914893447434398</v>
      </c>
      <c r="BB6" s="567">
        <f>IF(ISNUMBER(System!$C7),PlotData!Y7+Normalkraft!$E$2*$AF$1*Y6,PlotData!$CB$4)</f>
        <v>-6.4914893447434396</v>
      </c>
      <c r="BC6" s="565">
        <f>IF(ISNUMBER(System!$C7),PlotData!Y7, PlotData!CB$4)</f>
        <v>-2.1000000000000005</v>
      </c>
      <c r="BD6" s="566">
        <f>IF(ISNUMBER(System!$C7),PlotData!O7, PlotData!$CB$4)</f>
        <v>0.9</v>
      </c>
      <c r="BE6" s="567">
        <f>IF(ISNUMBER(System!$C7), AR6,PlotData!$CB$4)</f>
        <v>-3.4914893447434392</v>
      </c>
      <c r="BG6" s="480" t="s">
        <v>168</v>
      </c>
      <c r="BH6" s="566">
        <f>BH2-BH4</f>
        <v>-7.3000000000000007</v>
      </c>
      <c r="BI6" s="567">
        <f>BH3+BH4</f>
        <v>13.5</v>
      </c>
    </row>
    <row r="7" spans="1:61" x14ac:dyDescent="0.35">
      <c r="A7" s="564">
        <v>5</v>
      </c>
      <c r="B7" s="581">
        <v>0</v>
      </c>
      <c r="C7" s="582">
        <v>0</v>
      </c>
      <c r="D7" s="582">
        <v>0</v>
      </c>
      <c r="E7" s="582">
        <v>0</v>
      </c>
      <c r="F7" s="582">
        <v>0</v>
      </c>
      <c r="G7" s="582">
        <v>0</v>
      </c>
      <c r="H7" s="582">
        <v>0</v>
      </c>
      <c r="I7" s="582">
        <v>0</v>
      </c>
      <c r="J7" s="582">
        <v>0</v>
      </c>
      <c r="K7" s="582">
        <v>0</v>
      </c>
      <c r="L7" s="583">
        <v>0</v>
      </c>
      <c r="N7" s="564">
        <v>5</v>
      </c>
      <c r="O7" s="565">
        <v>0</v>
      </c>
      <c r="P7" s="566">
        <v>0</v>
      </c>
      <c r="Q7" s="566">
        <v>0</v>
      </c>
      <c r="R7" s="566">
        <v>0</v>
      </c>
      <c r="S7" s="566">
        <v>0</v>
      </c>
      <c r="T7" s="566">
        <v>0</v>
      </c>
      <c r="U7" s="566">
        <v>0</v>
      </c>
      <c r="V7" s="566">
        <v>0</v>
      </c>
      <c r="W7" s="566">
        <v>0</v>
      </c>
      <c r="X7" s="566">
        <v>0</v>
      </c>
      <c r="Y7" s="567">
        <v>0</v>
      </c>
      <c r="AA7" s="569">
        <v>5</v>
      </c>
      <c r="AB7" s="565">
        <f>IF(ISNUMBER(System!$C8),PlotData!B8+ Normalkraft!$E$2*$AF$1*B7,PlotData!$CB$3)</f>
        <v>3.9</v>
      </c>
      <c r="AC7" s="566">
        <f>IF(ISNUMBER(System!$C8),PlotData!C8+ Normalkraft!$E$2*$AF$1*C7,PlotData!$CB$3)</f>
        <v>4.0371756000000003</v>
      </c>
      <c r="AD7" s="566">
        <f>IF(ISNUMBER(System!$C8),PlotData!D8+ Normalkraft!$E$2*$AF$1*D7,PlotData!$CB$3)</f>
        <v>4.1743512000000003</v>
      </c>
      <c r="AE7" s="566">
        <f>IF(ISNUMBER(System!$C8),PlotData!E8+ Normalkraft!$E$2*$AF$1*E7,PlotData!$CB$3)</f>
        <v>4.3115268000000002</v>
      </c>
      <c r="AF7" s="566">
        <f>IF(ISNUMBER(System!$C8),PlotData!F8+Normalkraft!$E$2* $AF$1*F7,PlotData!$CB$3)</f>
        <v>4.4487024000000002</v>
      </c>
      <c r="AG7" s="566">
        <f>IF(ISNUMBER(System!$C8),PlotData!G8+ Normalkraft!$E$2*$AF$1*G7,PlotData!$CB$3)</f>
        <v>4.5858780000000001</v>
      </c>
      <c r="AH7" s="566">
        <f>IF(ISNUMBER(System!$C8),PlotData!H8+ Normalkraft!$E$2*$AF$1*H7,PlotData!$CB$3)</f>
        <v>4.7230536000000001</v>
      </c>
      <c r="AI7" s="566">
        <f>IF(ISNUMBER(System!$C8),PlotData!I8+ Normalkraft!$E$2*$AF$1*I7,PlotData!$CB$3)</f>
        <v>4.8602292</v>
      </c>
      <c r="AJ7" s="566">
        <f>IF(ISNUMBER(System!$C8),PlotData!J8+ Normalkraft!$E$2*$AF$1*J7,PlotData!$CB$3)</f>
        <v>4.9974048</v>
      </c>
      <c r="AK7" s="566">
        <f>IF(ISNUMBER(System!$C8),PlotData!K8+Normalkraft!$E$2* $AF$1*K7,PlotData!$CB$3)</f>
        <v>5.1345803999999999</v>
      </c>
      <c r="AL7" s="567">
        <f>IF(ISNUMBER(System!$C8),PlotData!L8+Normalkraft!$E$2* $AF$1*L7,PlotData!$CB$3)</f>
        <v>5.2717559999999999</v>
      </c>
      <c r="AM7" s="565">
        <f>IF(ISNUMBER(System!$C8),PlotData!L8,PlotData!$CB$3)</f>
        <v>5.2717559999999999</v>
      </c>
      <c r="AN7" s="566">
        <f>IF(ISNUMBER(System!$C8),PlotData!B8,PlotData!$CB$3)</f>
        <v>3.9</v>
      </c>
      <c r="AO7" s="447">
        <f>IF(ISNUMBER(System!$C8),AB7,PlotData!$CB$3)</f>
        <v>3.9</v>
      </c>
      <c r="AQ7" s="568">
        <v>5</v>
      </c>
      <c r="AR7" s="565">
        <f>IF(ISNUMBER(System!$C8),PlotData!O8+ Normalkraft!$E$2*$AF$1*O7,PlotData!$CB$4)</f>
        <v>0.9</v>
      </c>
      <c r="AS7" s="566">
        <f>IF(ISNUMBER(System!$C8),PlotData!P8+ Normalkraft!$E$2*$AF$1*P7,PlotData!$CB$4)</f>
        <v>0.89998359999999999</v>
      </c>
      <c r="AT7" s="566">
        <f>IF(ISNUMBER(System!$C8),PlotData!Q8+ Normalkraft!$E$2*$AF$1*Q7,PlotData!$CB$4)</f>
        <v>0.89996719999999997</v>
      </c>
      <c r="AU7" s="566">
        <f>IF(ISNUMBER(System!$C8),PlotData!R8+ Normalkraft!$E$2*$AF$1*R7,PlotData!$CB$4)</f>
        <v>0.89995079999999994</v>
      </c>
      <c r="AV7" s="566">
        <f>IF(ISNUMBER(System!$C8),PlotData!S8+Normalkraft!$E$2* $AF$1*S7,PlotData!$CB$4)</f>
        <v>0.89993439999999991</v>
      </c>
      <c r="AW7" s="566">
        <f>IF(ISNUMBER(System!$C8),PlotData!T8+ Normalkraft!$E$2*$AF$1*T7,PlotData!$CB$4)</f>
        <v>0.89991799999999988</v>
      </c>
      <c r="AX7" s="566">
        <f>IF(ISNUMBER(System!$C8),PlotData!U8+Normalkraft!$E$2* $AF$1*U7,PlotData!$CB$4)</f>
        <v>0.89990159999999986</v>
      </c>
      <c r="AY7" s="566">
        <f>IF(ISNUMBER(System!$C8),PlotData!V8+ Normalkraft!$E$2*$AF$1*V7,PlotData!$CB$4)</f>
        <v>0.89988519999999983</v>
      </c>
      <c r="AZ7" s="566">
        <f>IF(ISNUMBER(System!$C8),PlotData!W8+ Normalkraft!$E$2*$AF$1*W7,PlotData!$CB$4)</f>
        <v>0.8998687999999998</v>
      </c>
      <c r="BA7" s="566">
        <f>IF(ISNUMBER(System!$C8),PlotData!X8+ Normalkraft!$E$2*$AF$1*X7,PlotData!$CB$4)</f>
        <v>0.89985239999999977</v>
      </c>
      <c r="BB7" s="567">
        <f>IF(ISNUMBER(System!$C8),PlotData!Y8+Normalkraft!$E$2*$AF$1*Y7,PlotData!$CB$4)</f>
        <v>0.89983599999999975</v>
      </c>
      <c r="BC7" s="565">
        <f>IF(ISNUMBER(System!$C8),PlotData!Y8, PlotData!CB$4)</f>
        <v>0.89983599999999975</v>
      </c>
      <c r="BD7" s="566">
        <f>IF(ISNUMBER(System!$C8),PlotData!O8, PlotData!$CB$4)</f>
        <v>0.9</v>
      </c>
      <c r="BE7" s="567">
        <f>IF(ISNUMBER(System!$C8), AR7,PlotData!$CB$4)</f>
        <v>0.9</v>
      </c>
      <c r="BG7" s="480" t="s">
        <v>169</v>
      </c>
      <c r="BH7" s="566">
        <f>BH2+BH4</f>
        <v>22.7</v>
      </c>
      <c r="BI7" s="567">
        <f>BH3+BH4</f>
        <v>13.5</v>
      </c>
    </row>
    <row r="8" spans="1:61" x14ac:dyDescent="0.35">
      <c r="A8" s="564">
        <v>6</v>
      </c>
      <c r="B8" s="581">
        <v>0</v>
      </c>
      <c r="C8" s="582">
        <v>0</v>
      </c>
      <c r="D8" s="582">
        <v>0</v>
      </c>
      <c r="E8" s="582">
        <v>0</v>
      </c>
      <c r="F8" s="582">
        <v>0</v>
      </c>
      <c r="G8" s="582">
        <v>0</v>
      </c>
      <c r="H8" s="582">
        <v>0</v>
      </c>
      <c r="I8" s="582">
        <v>0</v>
      </c>
      <c r="J8" s="582">
        <v>0</v>
      </c>
      <c r="K8" s="582">
        <v>0</v>
      </c>
      <c r="L8" s="583">
        <v>0</v>
      </c>
      <c r="N8" s="564">
        <v>6</v>
      </c>
      <c r="O8" s="565">
        <v>0</v>
      </c>
      <c r="P8" s="566">
        <v>0</v>
      </c>
      <c r="Q8" s="566">
        <v>0</v>
      </c>
      <c r="R8" s="566">
        <v>0</v>
      </c>
      <c r="S8" s="566">
        <v>0</v>
      </c>
      <c r="T8" s="566">
        <v>0</v>
      </c>
      <c r="U8" s="566">
        <v>0</v>
      </c>
      <c r="V8" s="566">
        <v>0</v>
      </c>
      <c r="W8" s="566">
        <v>0</v>
      </c>
      <c r="X8" s="566">
        <v>0</v>
      </c>
      <c r="Y8" s="567">
        <v>0</v>
      </c>
      <c r="AA8" s="569">
        <v>6</v>
      </c>
      <c r="AB8" s="565">
        <f>IF(ISNUMBER(System!$C9),PlotData!B9+ Normalkraft!$E$2*$AF$1*B8,PlotData!$CB$3)</f>
        <v>3.3</v>
      </c>
      <c r="AC8" s="566">
        <f>IF(ISNUMBER(System!$C9),PlotData!C9+ Normalkraft!$E$2*$AF$1*C8,PlotData!$CB$3)</f>
        <v>3.3085649999999998</v>
      </c>
      <c r="AD8" s="566">
        <f>IF(ISNUMBER(System!$C9),PlotData!D9+ Normalkraft!$E$2*$AF$1*D8,PlotData!$CB$3)</f>
        <v>3.3171299999999997</v>
      </c>
      <c r="AE8" s="566">
        <f>IF(ISNUMBER(System!$C9),PlotData!E9+ Normalkraft!$E$2*$AF$1*E8,PlotData!$CB$3)</f>
        <v>3.3256949999999996</v>
      </c>
      <c r="AF8" s="566">
        <f>IF(ISNUMBER(System!$C9),PlotData!F9+Normalkraft!$E$2* $AF$1*F8,PlotData!$CB$3)</f>
        <v>3.3342599999999996</v>
      </c>
      <c r="AG8" s="566">
        <f>IF(ISNUMBER(System!$C9),PlotData!G9+ Normalkraft!$E$2*$AF$1*G8,PlotData!$CB$3)</f>
        <v>3.3428249999999995</v>
      </c>
      <c r="AH8" s="566">
        <f>IF(ISNUMBER(System!$C9),PlotData!H9+ Normalkraft!$E$2*$AF$1*H8,PlotData!$CB$3)</f>
        <v>3.3513899999999994</v>
      </c>
      <c r="AI8" s="566">
        <f>IF(ISNUMBER(System!$C9),PlotData!I9+ Normalkraft!$E$2*$AF$1*I8,PlotData!$CB$3)</f>
        <v>3.3599549999999994</v>
      </c>
      <c r="AJ8" s="566">
        <f>IF(ISNUMBER(System!$C9),PlotData!J9+ Normalkraft!$E$2*$AF$1*J8,PlotData!$CB$3)</f>
        <v>3.3685199999999993</v>
      </c>
      <c r="AK8" s="566">
        <f>IF(ISNUMBER(System!$C9),PlotData!K9+Normalkraft!$E$2* $AF$1*K8,PlotData!$CB$3)</f>
        <v>3.3770849999999992</v>
      </c>
      <c r="AL8" s="567">
        <f>IF(ISNUMBER(System!$C9),PlotData!L9+Normalkraft!$E$2* $AF$1*L8,PlotData!$CB$3)</f>
        <v>3.3856499999999992</v>
      </c>
      <c r="AM8" s="565">
        <f>IF(ISNUMBER(System!$C9),PlotData!L9,PlotData!$CB$3)</f>
        <v>3.3856499999999992</v>
      </c>
      <c r="AN8" s="566">
        <f>IF(ISNUMBER(System!$C9),PlotData!B9,PlotData!$CB$3)</f>
        <v>3.3</v>
      </c>
      <c r="AO8" s="447">
        <f>IF(ISNUMBER(System!$C9),AB8,PlotData!$CB$3)</f>
        <v>3.3</v>
      </c>
      <c r="AQ8" s="568">
        <v>6</v>
      </c>
      <c r="AR8" s="565">
        <f>IF(ISNUMBER(System!$C9),PlotData!O9+ Normalkraft!$E$2*$AF$1*O8,PlotData!$CB$4)</f>
        <v>3.6</v>
      </c>
      <c r="AS8" s="566">
        <f>IF(ISNUMBER(System!$C9),PlotData!P9+ Normalkraft!$E$2*$AF$1*P8,PlotData!$CB$4)</f>
        <v>3.5129331000000001</v>
      </c>
      <c r="AT8" s="566">
        <f>IF(ISNUMBER(System!$C9),PlotData!Q9+ Normalkraft!$E$2*$AF$1*Q8,PlotData!$CB$4)</f>
        <v>3.4258662000000002</v>
      </c>
      <c r="AU8" s="566">
        <f>IF(ISNUMBER(System!$C9),PlotData!R9+ Normalkraft!$E$2*$AF$1*R8,PlotData!$CB$4)</f>
        <v>3.3387993000000002</v>
      </c>
      <c r="AV8" s="566">
        <f>IF(ISNUMBER(System!$C9),PlotData!S9+Normalkraft!$E$2* $AF$1*S8,PlotData!$CB$4)</f>
        <v>3.2517324000000003</v>
      </c>
      <c r="AW8" s="566">
        <f>IF(ISNUMBER(System!$C9),PlotData!T9+ Normalkraft!$E$2*$AF$1*T8,PlotData!$CB$4)</f>
        <v>3.1646655000000004</v>
      </c>
      <c r="AX8" s="566">
        <f>IF(ISNUMBER(System!$C9),PlotData!U9+Normalkraft!$E$2* $AF$1*U8,PlotData!$CB$4)</f>
        <v>3.0775986000000004</v>
      </c>
      <c r="AY8" s="566">
        <f>IF(ISNUMBER(System!$C9),PlotData!V9+ Normalkraft!$E$2*$AF$1*V8,PlotData!$CB$4)</f>
        <v>2.9905317000000005</v>
      </c>
      <c r="AZ8" s="566">
        <f>IF(ISNUMBER(System!$C9),PlotData!W9+ Normalkraft!$E$2*$AF$1*W8,PlotData!$CB$4)</f>
        <v>2.9034648000000005</v>
      </c>
      <c r="BA8" s="566">
        <f>IF(ISNUMBER(System!$C9),PlotData!X9+ Normalkraft!$E$2*$AF$1*X8,PlotData!$CB$4)</f>
        <v>2.8163979000000006</v>
      </c>
      <c r="BB8" s="567">
        <f>IF(ISNUMBER(System!$C9),PlotData!Y9+Normalkraft!$E$2*$AF$1*Y8,PlotData!$CB$4)</f>
        <v>2.7293310000000006</v>
      </c>
      <c r="BC8" s="565">
        <f>IF(ISNUMBER(System!$C9),PlotData!Y9, PlotData!CB$4)</f>
        <v>2.7293310000000006</v>
      </c>
      <c r="BD8" s="566">
        <f>IF(ISNUMBER(System!$C9),PlotData!O9, PlotData!$CB$4)</f>
        <v>3.6</v>
      </c>
      <c r="BE8" s="567">
        <f>IF(ISNUMBER(System!$C9), AR8,PlotData!$CB$4)</f>
        <v>3.6</v>
      </c>
      <c r="BG8" s="480" t="s">
        <v>170</v>
      </c>
      <c r="BH8" s="566">
        <f>BH7</f>
        <v>22.7</v>
      </c>
      <c r="BI8" s="567">
        <f>BH3-BH4</f>
        <v>-16.5</v>
      </c>
    </row>
    <row r="9" spans="1:61" ht="13.15" thickBot="1" x14ac:dyDescent="0.4">
      <c r="A9" s="564">
        <v>7</v>
      </c>
      <c r="B9" s="581">
        <v>0</v>
      </c>
      <c r="C9" s="582">
        <v>0</v>
      </c>
      <c r="D9" s="582">
        <v>0</v>
      </c>
      <c r="E9" s="582">
        <v>0</v>
      </c>
      <c r="F9" s="582">
        <v>0</v>
      </c>
      <c r="G9" s="582">
        <v>0</v>
      </c>
      <c r="H9" s="582">
        <v>0</v>
      </c>
      <c r="I9" s="582">
        <v>0</v>
      </c>
      <c r="J9" s="582">
        <v>0</v>
      </c>
      <c r="K9" s="582">
        <v>0</v>
      </c>
      <c r="L9" s="583">
        <v>0</v>
      </c>
      <c r="N9" s="564">
        <v>7</v>
      </c>
      <c r="O9" s="565">
        <v>0</v>
      </c>
      <c r="P9" s="566">
        <v>0</v>
      </c>
      <c r="Q9" s="566">
        <v>0</v>
      </c>
      <c r="R9" s="566">
        <v>0</v>
      </c>
      <c r="S9" s="566">
        <v>0</v>
      </c>
      <c r="T9" s="566">
        <v>0</v>
      </c>
      <c r="U9" s="566">
        <v>0</v>
      </c>
      <c r="V9" s="566">
        <v>0</v>
      </c>
      <c r="W9" s="566">
        <v>0</v>
      </c>
      <c r="X9" s="566">
        <v>0</v>
      </c>
      <c r="Y9" s="567">
        <v>0</v>
      </c>
      <c r="AA9" s="569">
        <v>7</v>
      </c>
      <c r="AB9" s="565">
        <f>IF(ISNUMBER(System!$C10),PlotData!B10+ Normalkraft!$E$2*$AF$1*B9,PlotData!$CB$3)</f>
        <v>4.5</v>
      </c>
      <c r="AC9" s="566">
        <f>IF(ISNUMBER(System!$C10),PlotData!C10+ Normalkraft!$E$2*$AF$1*C9,PlotData!$CB$3)</f>
        <v>4.4906002999999997</v>
      </c>
      <c r="AD9" s="566">
        <f>IF(ISNUMBER(System!$C10),PlotData!D10+ Normalkraft!$E$2*$AF$1*D9,PlotData!$CB$3)</f>
        <v>4.4812005999999993</v>
      </c>
      <c r="AE9" s="566">
        <f>IF(ISNUMBER(System!$C10),PlotData!E10+ Normalkraft!$E$2*$AF$1*E9,PlotData!$CB$3)</f>
        <v>4.471800899999999</v>
      </c>
      <c r="AF9" s="566">
        <f>IF(ISNUMBER(System!$C10),PlotData!F10+Normalkraft!$E$2* $AF$1*F9,PlotData!$CB$3)</f>
        <v>4.4624011999999986</v>
      </c>
      <c r="AG9" s="566">
        <f>IF(ISNUMBER(System!$C10),PlotData!G10+ Normalkraft!$E$2*$AF$1*G9,PlotData!$CB$3)</f>
        <v>4.4530014999999983</v>
      </c>
      <c r="AH9" s="566">
        <f>IF(ISNUMBER(System!$C10),PlotData!H10+ Normalkraft!$E$2*$AF$1*H9,PlotData!$CB$3)</f>
        <v>4.4436017999999979</v>
      </c>
      <c r="AI9" s="566">
        <f>IF(ISNUMBER(System!$C10),PlotData!I10+ Normalkraft!$E$2*$AF$1*I9,PlotData!$CB$3)</f>
        <v>4.4342020999999976</v>
      </c>
      <c r="AJ9" s="566">
        <f>IF(ISNUMBER(System!$C10),PlotData!J10+ Normalkraft!$E$2*$AF$1*J9,PlotData!$CB$3)</f>
        <v>4.4248023999999972</v>
      </c>
      <c r="AK9" s="566">
        <f>IF(ISNUMBER(System!$C10),PlotData!K10+Normalkraft!$E$2* $AF$1*K9,PlotData!$CB$3)</f>
        <v>4.4154026999999969</v>
      </c>
      <c r="AL9" s="567">
        <f>IF(ISNUMBER(System!$C10),PlotData!L10+Normalkraft!$E$2* $AF$1*L9,PlotData!$CB$3)</f>
        <v>4.4060029999999966</v>
      </c>
      <c r="AM9" s="565">
        <f>IF(ISNUMBER(System!$C10),PlotData!L10,PlotData!$CB$3)</f>
        <v>4.4060029999999966</v>
      </c>
      <c r="AN9" s="566">
        <f>IF(ISNUMBER(System!$C10),PlotData!B10,PlotData!$CB$3)</f>
        <v>4.5</v>
      </c>
      <c r="AO9" s="447">
        <f>IF(ISNUMBER(System!$C10),AB9,PlotData!$CB$3)</f>
        <v>4.5</v>
      </c>
      <c r="AQ9" s="568">
        <v>7</v>
      </c>
      <c r="AR9" s="565">
        <f>IF(ISNUMBER(System!$C10),PlotData!O10+ Normalkraft!$E$2*$AF$1*O9,PlotData!$CB$4)</f>
        <v>3.6</v>
      </c>
      <c r="AS9" s="566">
        <f>IF(ISNUMBER(System!$C10),PlotData!P10+ Normalkraft!$E$2*$AF$1*P9,PlotData!$CB$4)</f>
        <v>3.5144827000000003</v>
      </c>
      <c r="AT9" s="566">
        <f>IF(ISNUMBER(System!$C10),PlotData!Q10+ Normalkraft!$E$2*$AF$1*Q9,PlotData!$CB$4)</f>
        <v>3.4289654000000001</v>
      </c>
      <c r="AU9" s="566">
        <f>IF(ISNUMBER(System!$C10),PlotData!R10+ Normalkraft!$E$2*$AF$1*R9,PlotData!$CB$4)</f>
        <v>3.3434480999999998</v>
      </c>
      <c r="AV9" s="566">
        <f>IF(ISNUMBER(System!$C10),PlotData!S10+Normalkraft!$E$2* $AF$1*S9,PlotData!$CB$4)</f>
        <v>3.2579307999999996</v>
      </c>
      <c r="AW9" s="566">
        <f>IF(ISNUMBER(System!$C10),PlotData!T10+ Normalkraft!$E$2*$AF$1*T9,PlotData!$CB$4)</f>
        <v>3.1724134999999993</v>
      </c>
      <c r="AX9" s="566">
        <f>IF(ISNUMBER(System!$C10),PlotData!U10+Normalkraft!$E$2* $AF$1*U9,PlotData!$CB$4)</f>
        <v>3.0868961999999991</v>
      </c>
      <c r="AY9" s="566">
        <f>IF(ISNUMBER(System!$C10),PlotData!V10+ Normalkraft!$E$2*$AF$1*V9,PlotData!$CB$4)</f>
        <v>3.0013788999999989</v>
      </c>
      <c r="AZ9" s="566">
        <f>IF(ISNUMBER(System!$C10),PlotData!W10+ Normalkraft!$E$2*$AF$1*W9,PlotData!$CB$4)</f>
        <v>2.9158615999999986</v>
      </c>
      <c r="BA9" s="566">
        <f>IF(ISNUMBER(System!$C10),PlotData!X10+ Normalkraft!$E$2*$AF$1*X9,PlotData!$CB$4)</f>
        <v>2.8303442999999984</v>
      </c>
      <c r="BB9" s="567">
        <f>IF(ISNUMBER(System!$C10),PlotData!Y10+Normalkraft!$E$2*$AF$1*Y9,PlotData!$CB$4)</f>
        <v>2.7448269999999981</v>
      </c>
      <c r="BC9" s="565">
        <f>IF(ISNUMBER(System!$C10),PlotData!Y10, PlotData!CB$4)</f>
        <v>2.7448269999999981</v>
      </c>
      <c r="BD9" s="566">
        <f>IF(ISNUMBER(System!$C10),PlotData!O10, PlotData!$CB$4)</f>
        <v>3.6</v>
      </c>
      <c r="BE9" s="567">
        <f>IF(ISNUMBER(System!$C10), AR9,PlotData!$CB$4)</f>
        <v>3.6</v>
      </c>
      <c r="BG9" s="481" t="s">
        <v>171</v>
      </c>
      <c r="BH9" s="503">
        <f>BH6</f>
        <v>-7.3000000000000007</v>
      </c>
      <c r="BI9" s="504">
        <f>BI8</f>
        <v>-16.5</v>
      </c>
    </row>
    <row r="10" spans="1:61" x14ac:dyDescent="0.35">
      <c r="A10" s="564">
        <v>8</v>
      </c>
      <c r="B10" s="581">
        <v>0</v>
      </c>
      <c r="C10" s="582">
        <v>0</v>
      </c>
      <c r="D10" s="582">
        <v>0</v>
      </c>
      <c r="E10" s="582">
        <v>0</v>
      </c>
      <c r="F10" s="582">
        <v>0</v>
      </c>
      <c r="G10" s="582">
        <v>0</v>
      </c>
      <c r="H10" s="582">
        <v>0</v>
      </c>
      <c r="I10" s="582">
        <v>0</v>
      </c>
      <c r="J10" s="582">
        <v>0</v>
      </c>
      <c r="K10" s="582">
        <v>0</v>
      </c>
      <c r="L10" s="583">
        <v>0</v>
      </c>
      <c r="N10" s="564">
        <v>8</v>
      </c>
      <c r="O10" s="565">
        <v>0</v>
      </c>
      <c r="P10" s="566">
        <v>0</v>
      </c>
      <c r="Q10" s="566">
        <v>0</v>
      </c>
      <c r="R10" s="566">
        <v>0</v>
      </c>
      <c r="S10" s="566">
        <v>0</v>
      </c>
      <c r="T10" s="566">
        <v>0</v>
      </c>
      <c r="U10" s="566">
        <v>0</v>
      </c>
      <c r="V10" s="566">
        <v>0</v>
      </c>
      <c r="W10" s="566">
        <v>0</v>
      </c>
      <c r="X10" s="566">
        <v>0</v>
      </c>
      <c r="Y10" s="567">
        <v>0</v>
      </c>
      <c r="AA10" s="569">
        <v>8</v>
      </c>
      <c r="AB10" s="565">
        <f>IF(ISNUMBER(System!$C11),PlotData!B11+ Normalkraft!$E$2*$AF$1*B10,PlotData!$CB$3)</f>
        <v>2.5508169999999999</v>
      </c>
      <c r="AC10" s="566">
        <f>IF(ISNUMBER(System!$C11),PlotData!C11+ Normalkraft!$E$2*$AF$1*C10,PlotData!$CB$3)</f>
        <v>2.6857352999999997</v>
      </c>
      <c r="AD10" s="566">
        <f>IF(ISNUMBER(System!$C11),PlotData!D11+ Normalkraft!$E$2*$AF$1*D10,PlotData!$CB$3)</f>
        <v>2.8206535999999995</v>
      </c>
      <c r="AE10" s="566">
        <f>IF(ISNUMBER(System!$C11),PlotData!E11+ Normalkraft!$E$2*$AF$1*E10,PlotData!$CB$3)</f>
        <v>2.9555718999999994</v>
      </c>
      <c r="AF10" s="566">
        <f>IF(ISNUMBER(System!$C11),PlotData!F11+Normalkraft!$E$2* $AF$1*F10,PlotData!$CB$3)</f>
        <v>3.0904901999999992</v>
      </c>
      <c r="AG10" s="566">
        <f>IF(ISNUMBER(System!$C11),PlotData!G11+ Normalkraft!$E$2*$AF$1*G10,PlotData!$CB$3)</f>
        <v>3.225408499999999</v>
      </c>
      <c r="AH10" s="566">
        <f>IF(ISNUMBER(System!$C11),PlotData!H11+ Normalkraft!$E$2*$AF$1*H10,PlotData!$CB$3)</f>
        <v>3.3603267999999988</v>
      </c>
      <c r="AI10" s="566">
        <f>IF(ISNUMBER(System!$C11),PlotData!I11+ Normalkraft!$E$2*$AF$1*I10,PlotData!$CB$3)</f>
        <v>3.4952450999999987</v>
      </c>
      <c r="AJ10" s="566">
        <f>IF(ISNUMBER(System!$C11),PlotData!J11+ Normalkraft!$E$2*$AF$1*J10,PlotData!$CB$3)</f>
        <v>3.6301633999999985</v>
      </c>
      <c r="AK10" s="566">
        <f>IF(ISNUMBER(System!$C11),PlotData!K11+Normalkraft!$E$2* $AF$1*K10,PlotData!$CB$3)</f>
        <v>3.7650816999999983</v>
      </c>
      <c r="AL10" s="567">
        <f>IF(ISNUMBER(System!$C11),PlotData!L11+Normalkraft!$E$2* $AF$1*L10,PlotData!$CB$3)</f>
        <v>3.8999999999999981</v>
      </c>
      <c r="AM10" s="565">
        <f>IF(ISNUMBER(System!$C11),PlotData!L11,PlotData!$CB$3)</f>
        <v>3.8999999999999981</v>
      </c>
      <c r="AN10" s="566">
        <f>IF(ISNUMBER(System!$C11),PlotData!B11,PlotData!$CB$3)</f>
        <v>2.5508169999999999</v>
      </c>
      <c r="AO10" s="447">
        <f>IF(ISNUMBER(System!$C11),AB10,PlotData!$CB$3)</f>
        <v>2.5508169999999999</v>
      </c>
      <c r="AQ10" s="568">
        <v>8</v>
      </c>
      <c r="AR10" s="565">
        <f>IF(ISNUMBER(System!$C11),PlotData!O11+ Normalkraft!$E$2*$AF$1*O10,PlotData!$CB$4)</f>
        <v>0.89983599999999997</v>
      </c>
      <c r="AS10" s="566">
        <f>IF(ISNUMBER(System!$C11),PlotData!P11+ Normalkraft!$E$2*$AF$1*P10,PlotData!$CB$4)</f>
        <v>0.8998524</v>
      </c>
      <c r="AT10" s="566">
        <f>IF(ISNUMBER(System!$C11),PlotData!Q11+ Normalkraft!$E$2*$AF$1*Q10,PlotData!$CB$4)</f>
        <v>0.89986880000000002</v>
      </c>
      <c r="AU10" s="566">
        <f>IF(ISNUMBER(System!$C11),PlotData!R11+ Normalkraft!$E$2*$AF$1*R10,PlotData!$CB$4)</f>
        <v>0.89988520000000005</v>
      </c>
      <c r="AV10" s="566">
        <f>IF(ISNUMBER(System!$C11),PlotData!S11+Normalkraft!$E$2* $AF$1*S10,PlotData!$CB$4)</f>
        <v>0.89990160000000008</v>
      </c>
      <c r="AW10" s="566">
        <f>IF(ISNUMBER(System!$C11),PlotData!T11+ Normalkraft!$E$2*$AF$1*T10,PlotData!$CB$4)</f>
        <v>0.89991800000000011</v>
      </c>
      <c r="AX10" s="566">
        <f>IF(ISNUMBER(System!$C11),PlotData!U11+Normalkraft!$E$2* $AF$1*U10,PlotData!$CB$4)</f>
        <v>0.89993440000000013</v>
      </c>
      <c r="AY10" s="566">
        <f>IF(ISNUMBER(System!$C11),PlotData!V11+ Normalkraft!$E$2*$AF$1*V10,PlotData!$CB$4)</f>
        <v>0.89995080000000016</v>
      </c>
      <c r="AZ10" s="566">
        <f>IF(ISNUMBER(System!$C11),PlotData!W11+ Normalkraft!$E$2*$AF$1*W10,PlotData!$CB$4)</f>
        <v>0.89996720000000019</v>
      </c>
      <c r="BA10" s="566">
        <f>IF(ISNUMBER(System!$C11),PlotData!X11+ Normalkraft!$E$2*$AF$1*X10,PlotData!$CB$4)</f>
        <v>0.89998360000000022</v>
      </c>
      <c r="BB10" s="567">
        <f>IF(ISNUMBER(System!$C11),PlotData!Y11+Normalkraft!$E$2*$AF$1*Y10,PlotData!$CB$4)</f>
        <v>0.90000000000000024</v>
      </c>
      <c r="BC10" s="565">
        <f>IF(ISNUMBER(System!$C11),PlotData!Y11, PlotData!CB$4)</f>
        <v>0.90000000000000024</v>
      </c>
      <c r="BD10" s="566">
        <f>IF(ISNUMBER(System!$C11),PlotData!O11, PlotData!$CB$4)</f>
        <v>0.89983599999999997</v>
      </c>
      <c r="BE10" s="567">
        <f>IF(ISNUMBER(System!$C11), AR10,PlotData!$CB$4)</f>
        <v>0.89983599999999997</v>
      </c>
      <c r="BH10" s="425">
        <f>BH6</f>
        <v>-7.3000000000000007</v>
      </c>
      <c r="BI10" s="425">
        <f>BI6</f>
        <v>13.5</v>
      </c>
    </row>
    <row r="11" spans="1:61" x14ac:dyDescent="0.35">
      <c r="A11" s="564">
        <v>9</v>
      </c>
      <c r="B11" s="581">
        <v>0</v>
      </c>
      <c r="C11" s="582">
        <v>0</v>
      </c>
      <c r="D11" s="582">
        <v>0</v>
      </c>
      <c r="E11" s="582">
        <v>0</v>
      </c>
      <c r="F11" s="582">
        <v>0</v>
      </c>
      <c r="G11" s="582">
        <v>0</v>
      </c>
      <c r="H11" s="582">
        <v>0</v>
      </c>
      <c r="I11" s="582">
        <v>0</v>
      </c>
      <c r="J11" s="582">
        <v>0</v>
      </c>
      <c r="K11" s="582">
        <v>0</v>
      </c>
      <c r="L11" s="583">
        <v>0</v>
      </c>
      <c r="N11" s="564">
        <v>9</v>
      </c>
      <c r="O11" s="565">
        <v>0</v>
      </c>
      <c r="P11" s="566">
        <v>0</v>
      </c>
      <c r="Q11" s="566">
        <v>0</v>
      </c>
      <c r="R11" s="566">
        <v>0</v>
      </c>
      <c r="S11" s="566">
        <v>0</v>
      </c>
      <c r="T11" s="566">
        <v>0</v>
      </c>
      <c r="U11" s="566">
        <v>0</v>
      </c>
      <c r="V11" s="566">
        <v>0</v>
      </c>
      <c r="W11" s="566">
        <v>0</v>
      </c>
      <c r="X11" s="566">
        <v>0</v>
      </c>
      <c r="Y11" s="567">
        <v>0</v>
      </c>
      <c r="AA11" s="569">
        <v>9</v>
      </c>
      <c r="AB11" s="565">
        <f>IF(ISNUMBER(System!$C12),PlotData!B12+ Normalkraft!$E$2*$AF$1*B11,PlotData!$CB$3)</f>
        <v>5.2717559999999999</v>
      </c>
      <c r="AC11" s="566">
        <f>IF(ISNUMBER(System!$C12),PlotData!C12+ Normalkraft!$E$2*$AF$1*C11,PlotData!$CB$3)</f>
        <v>5.6145803999999995</v>
      </c>
      <c r="AD11" s="566">
        <f>IF(ISNUMBER(System!$C12),PlotData!D12+ Normalkraft!$E$2*$AF$1*D11,PlotData!$CB$3)</f>
        <v>5.9574047999999991</v>
      </c>
      <c r="AE11" s="566">
        <f>IF(ISNUMBER(System!$C12),PlotData!E12+ Normalkraft!$E$2*$AF$1*E11,PlotData!$CB$3)</f>
        <v>6.3002291999999986</v>
      </c>
      <c r="AF11" s="566">
        <f>IF(ISNUMBER(System!$C12),PlotData!F12+Normalkraft!$E$2* $AF$1*F11,PlotData!$CB$3)</f>
        <v>6.6430535999999982</v>
      </c>
      <c r="AG11" s="566">
        <f>IF(ISNUMBER(System!$C12),PlotData!G12+ Normalkraft!$E$2*$AF$1*G11,PlotData!$CB$3)</f>
        <v>6.9858779999999978</v>
      </c>
      <c r="AH11" s="566">
        <f>IF(ISNUMBER(System!$C12),PlotData!H12+ Normalkraft!$E$2*$AF$1*H11,PlotData!$CB$3)</f>
        <v>7.3287023999999974</v>
      </c>
      <c r="AI11" s="566">
        <f>IF(ISNUMBER(System!$C12),PlotData!I12+ Normalkraft!$E$2*$AF$1*I11,PlotData!$CB$3)</f>
        <v>7.671526799999997</v>
      </c>
      <c r="AJ11" s="566">
        <f>IF(ISNUMBER(System!$C12),PlotData!J12+ Normalkraft!$E$2*$AF$1*J11,PlotData!$CB$3)</f>
        <v>8.0143511999999966</v>
      </c>
      <c r="AK11" s="566">
        <f>IF(ISNUMBER(System!$C12),PlotData!K12+Normalkraft!$E$2* $AF$1*K11,PlotData!$CB$3)</f>
        <v>8.3571755999999962</v>
      </c>
      <c r="AL11" s="567">
        <f>IF(ISNUMBER(System!$C12),PlotData!L12+Normalkraft!$E$2* $AF$1*L11,PlotData!$CB$3)</f>
        <v>8.6999999999999957</v>
      </c>
      <c r="AM11" s="565">
        <f>IF(ISNUMBER(System!$C12),PlotData!L12,PlotData!$CB$3)</f>
        <v>8.6999999999999957</v>
      </c>
      <c r="AN11" s="566">
        <f>IF(ISNUMBER(System!$C12),PlotData!B12,PlotData!$CB$3)</f>
        <v>5.2717559999999999</v>
      </c>
      <c r="AO11" s="447">
        <f>IF(ISNUMBER(System!$C12),AB11,PlotData!$CB$3)</f>
        <v>5.2717559999999999</v>
      </c>
      <c r="AQ11" s="568">
        <v>9</v>
      </c>
      <c r="AR11" s="565">
        <f>IF(ISNUMBER(System!$C12),PlotData!O12+ Normalkraft!$E$2*$AF$1*O11,PlotData!$CB$4)</f>
        <v>0.89983599999999997</v>
      </c>
      <c r="AS11" s="566">
        <f>IF(ISNUMBER(System!$C12),PlotData!P12+ Normalkraft!$E$2*$AF$1*P11,PlotData!$CB$4)</f>
        <v>0.8998524</v>
      </c>
      <c r="AT11" s="566">
        <f>IF(ISNUMBER(System!$C12),PlotData!Q12+ Normalkraft!$E$2*$AF$1*Q11,PlotData!$CB$4)</f>
        <v>0.89986880000000002</v>
      </c>
      <c r="AU11" s="566">
        <f>IF(ISNUMBER(System!$C12),PlotData!R12+ Normalkraft!$E$2*$AF$1*R11,PlotData!$CB$4)</f>
        <v>0.89988520000000005</v>
      </c>
      <c r="AV11" s="566">
        <f>IF(ISNUMBER(System!$C12),PlotData!S12+Normalkraft!$E$2* $AF$1*S11,PlotData!$CB$4)</f>
        <v>0.89990160000000008</v>
      </c>
      <c r="AW11" s="566">
        <f>IF(ISNUMBER(System!$C12),PlotData!T12+ Normalkraft!$E$2*$AF$1*T11,PlotData!$CB$4)</f>
        <v>0.89991800000000011</v>
      </c>
      <c r="AX11" s="566">
        <f>IF(ISNUMBER(System!$C12),PlotData!U12+Normalkraft!$E$2* $AF$1*U11,PlotData!$CB$4)</f>
        <v>0.89993440000000013</v>
      </c>
      <c r="AY11" s="566">
        <f>IF(ISNUMBER(System!$C12),PlotData!V12+ Normalkraft!$E$2*$AF$1*V11,PlotData!$CB$4)</f>
        <v>0.89995080000000016</v>
      </c>
      <c r="AZ11" s="566">
        <f>IF(ISNUMBER(System!$C12),PlotData!W12+ Normalkraft!$E$2*$AF$1*W11,PlotData!$CB$4)</f>
        <v>0.89996720000000019</v>
      </c>
      <c r="BA11" s="566">
        <f>IF(ISNUMBER(System!$C12),PlotData!X12+ Normalkraft!$E$2*$AF$1*X11,PlotData!$CB$4)</f>
        <v>0.89998360000000022</v>
      </c>
      <c r="BB11" s="567">
        <f>IF(ISNUMBER(System!$C12),PlotData!Y12+Normalkraft!$E$2*$AF$1*Y11,PlotData!$CB$4)</f>
        <v>0.90000000000000024</v>
      </c>
      <c r="BC11" s="565">
        <f>IF(ISNUMBER(System!$C12),PlotData!Y12, PlotData!CB$4)</f>
        <v>0.90000000000000024</v>
      </c>
      <c r="BD11" s="566">
        <f>IF(ISNUMBER(System!$C12),PlotData!O12, PlotData!$CB$4)</f>
        <v>0.89983599999999997</v>
      </c>
      <c r="BE11" s="567">
        <f>IF(ISNUMBER(System!$C12), AR11,PlotData!$CB$4)</f>
        <v>0.89983599999999997</v>
      </c>
    </row>
    <row r="12" spans="1:61" x14ac:dyDescent="0.35">
      <c r="A12" s="564">
        <v>10</v>
      </c>
      <c r="B12" s="581">
        <v>0</v>
      </c>
      <c r="C12" s="582">
        <v>0</v>
      </c>
      <c r="D12" s="582">
        <v>0</v>
      </c>
      <c r="E12" s="582">
        <v>0</v>
      </c>
      <c r="F12" s="582">
        <v>0</v>
      </c>
      <c r="G12" s="582">
        <v>0</v>
      </c>
      <c r="H12" s="582">
        <v>0</v>
      </c>
      <c r="I12" s="582">
        <v>0</v>
      </c>
      <c r="J12" s="582">
        <v>0</v>
      </c>
      <c r="K12" s="582">
        <v>0</v>
      </c>
      <c r="L12" s="583">
        <v>0</v>
      </c>
      <c r="N12" s="564">
        <v>10</v>
      </c>
      <c r="O12" s="565">
        <v>0</v>
      </c>
      <c r="P12" s="566">
        <v>0</v>
      </c>
      <c r="Q12" s="566">
        <v>0</v>
      </c>
      <c r="R12" s="566">
        <v>0</v>
      </c>
      <c r="S12" s="566">
        <v>0</v>
      </c>
      <c r="T12" s="566">
        <v>0</v>
      </c>
      <c r="U12" s="566">
        <v>0</v>
      </c>
      <c r="V12" s="566">
        <v>0</v>
      </c>
      <c r="W12" s="566">
        <v>0</v>
      </c>
      <c r="X12" s="566">
        <v>0</v>
      </c>
      <c r="Y12" s="567">
        <v>0</v>
      </c>
      <c r="AA12" s="569">
        <v>10</v>
      </c>
      <c r="AB12" s="565">
        <f>IF(ISNUMBER(System!$C13),PlotData!B13+ Normalkraft!$E$2*$AF$1*B12,PlotData!$CB$3)</f>
        <v>3.38565</v>
      </c>
      <c r="AC12" s="566">
        <f>IF(ISNUMBER(System!$C13),PlotData!C13+ Normalkraft!$E$2*$AF$1*C12,PlotData!$CB$3)</f>
        <v>3.4370850000000002</v>
      </c>
      <c r="AD12" s="566">
        <f>IF(ISNUMBER(System!$C13),PlotData!D13+ Normalkraft!$E$2*$AF$1*D12,PlotData!$CB$3)</f>
        <v>3.4885200000000003</v>
      </c>
      <c r="AE12" s="566">
        <f>IF(ISNUMBER(System!$C13),PlotData!E13+ Normalkraft!$E$2*$AF$1*E12,PlotData!$CB$3)</f>
        <v>3.5399550000000004</v>
      </c>
      <c r="AF12" s="566">
        <f>IF(ISNUMBER(System!$C13),PlotData!F13+Normalkraft!$E$2* $AF$1*F12,PlotData!$CB$3)</f>
        <v>3.5913900000000005</v>
      </c>
      <c r="AG12" s="566">
        <f>IF(ISNUMBER(System!$C13),PlotData!G13+ Normalkraft!$E$2*$AF$1*G12,PlotData!$CB$3)</f>
        <v>3.6428250000000006</v>
      </c>
      <c r="AH12" s="566">
        <f>IF(ISNUMBER(System!$C13),PlotData!H13+ Normalkraft!$E$2*$AF$1*H12,PlotData!$CB$3)</f>
        <v>3.6942600000000008</v>
      </c>
      <c r="AI12" s="566">
        <f>IF(ISNUMBER(System!$C13),PlotData!I13+ Normalkraft!$E$2*$AF$1*I12,PlotData!$CB$3)</f>
        <v>3.7456950000000009</v>
      </c>
      <c r="AJ12" s="566">
        <f>IF(ISNUMBER(System!$C13),PlotData!J13+ Normalkraft!$E$2*$AF$1*J12,PlotData!$CB$3)</f>
        <v>3.797130000000001</v>
      </c>
      <c r="AK12" s="566">
        <f>IF(ISNUMBER(System!$C13),PlotData!K13+Normalkraft!$E$2* $AF$1*K12,PlotData!$CB$3)</f>
        <v>3.8485650000000011</v>
      </c>
      <c r="AL12" s="567">
        <f>IF(ISNUMBER(System!$C13),PlotData!L13+Normalkraft!$E$2* $AF$1*L12,PlotData!$CB$3)</f>
        <v>3.9000000000000012</v>
      </c>
      <c r="AM12" s="565">
        <f>IF(ISNUMBER(System!$C13),PlotData!L13,PlotData!$CB$3)</f>
        <v>3.9000000000000012</v>
      </c>
      <c r="AN12" s="566">
        <f>IF(ISNUMBER(System!$C13),PlotData!B13,PlotData!$CB$3)</f>
        <v>3.38565</v>
      </c>
      <c r="AO12" s="447">
        <f>IF(ISNUMBER(System!$C13),AB12,PlotData!$CB$3)</f>
        <v>3.38565</v>
      </c>
      <c r="AQ12" s="568">
        <v>10</v>
      </c>
      <c r="AR12" s="565">
        <f>IF(ISNUMBER(System!$C13),PlotData!O13+ Normalkraft!$E$2*$AF$1*O12,PlotData!$CB$4)</f>
        <v>2.7293310000000002</v>
      </c>
      <c r="AS12" s="566">
        <f>IF(ISNUMBER(System!$C13),PlotData!P13+ Normalkraft!$E$2*$AF$1*P12,PlotData!$CB$4)</f>
        <v>2.2463979000000003</v>
      </c>
      <c r="AT12" s="566">
        <f>IF(ISNUMBER(System!$C13),PlotData!Q13+ Normalkraft!$E$2*$AF$1*Q12,PlotData!$CB$4)</f>
        <v>1.7634648000000002</v>
      </c>
      <c r="AU12" s="566">
        <f>IF(ISNUMBER(System!$C13),PlotData!R13+ Normalkraft!$E$2*$AF$1*R12,PlotData!$CB$4)</f>
        <v>1.2805317000000001</v>
      </c>
      <c r="AV12" s="566">
        <f>IF(ISNUMBER(System!$C13),PlotData!S13+Normalkraft!$E$2* $AF$1*S12,PlotData!$CB$4)</f>
        <v>0.79759859999999994</v>
      </c>
      <c r="AW12" s="566">
        <f>IF(ISNUMBER(System!$C13),PlotData!T13+ Normalkraft!$E$2*$AF$1*T12,PlotData!$CB$4)</f>
        <v>0.31466549999999988</v>
      </c>
      <c r="AX12" s="566">
        <f>IF(ISNUMBER(System!$C13),PlotData!U13+Normalkraft!$E$2* $AF$1*U12,PlotData!$CB$4)</f>
        <v>-0.16826760000000018</v>
      </c>
      <c r="AY12" s="566">
        <f>IF(ISNUMBER(System!$C13),PlotData!V13+ Normalkraft!$E$2*$AF$1*V12,PlotData!$CB$4)</f>
        <v>-0.65120070000000019</v>
      </c>
      <c r="AZ12" s="566">
        <f>IF(ISNUMBER(System!$C13),PlotData!W13+ Normalkraft!$E$2*$AF$1*W12,PlotData!$CB$4)</f>
        <v>-1.1341338000000003</v>
      </c>
      <c r="BA12" s="566">
        <f>IF(ISNUMBER(System!$C13),PlotData!X13+ Normalkraft!$E$2*$AF$1*X12,PlotData!$CB$4)</f>
        <v>-1.6170669000000004</v>
      </c>
      <c r="BB12" s="567">
        <f>IF(ISNUMBER(System!$C13),PlotData!Y13+Normalkraft!$E$2*$AF$1*Y12,PlotData!$CB$4)</f>
        <v>-2.1000000000000005</v>
      </c>
      <c r="BC12" s="565">
        <f>IF(ISNUMBER(System!$C13),PlotData!Y13, PlotData!CB$4)</f>
        <v>-2.1000000000000005</v>
      </c>
      <c r="BD12" s="566">
        <f>IF(ISNUMBER(System!$C13),PlotData!O13, PlotData!$CB$4)</f>
        <v>2.7293310000000002</v>
      </c>
      <c r="BE12" s="567">
        <f>IF(ISNUMBER(System!$C13), AR12,PlotData!$CB$4)</f>
        <v>2.7293310000000002</v>
      </c>
    </row>
    <row r="13" spans="1:61" x14ac:dyDescent="0.35">
      <c r="A13" s="564">
        <v>11</v>
      </c>
      <c r="B13" s="581">
        <v>0</v>
      </c>
      <c r="C13" s="582">
        <v>0</v>
      </c>
      <c r="D13" s="582">
        <v>0</v>
      </c>
      <c r="E13" s="582">
        <v>0</v>
      </c>
      <c r="F13" s="582">
        <v>0</v>
      </c>
      <c r="G13" s="582">
        <v>0</v>
      </c>
      <c r="H13" s="582">
        <v>0</v>
      </c>
      <c r="I13" s="582">
        <v>0</v>
      </c>
      <c r="J13" s="582">
        <v>0</v>
      </c>
      <c r="K13" s="582">
        <v>0</v>
      </c>
      <c r="L13" s="583">
        <v>0</v>
      </c>
      <c r="N13" s="564">
        <v>11</v>
      </c>
      <c r="O13" s="565">
        <v>0</v>
      </c>
      <c r="P13" s="566">
        <v>0</v>
      </c>
      <c r="Q13" s="566">
        <v>0</v>
      </c>
      <c r="R13" s="566">
        <v>0</v>
      </c>
      <c r="S13" s="566">
        <v>0</v>
      </c>
      <c r="T13" s="566">
        <v>0</v>
      </c>
      <c r="U13" s="566">
        <v>0</v>
      </c>
      <c r="V13" s="566">
        <v>0</v>
      </c>
      <c r="W13" s="566">
        <v>0</v>
      </c>
      <c r="X13" s="566">
        <v>0</v>
      </c>
      <c r="Y13" s="567">
        <v>0</v>
      </c>
      <c r="AA13" s="569">
        <v>11</v>
      </c>
      <c r="AB13" s="565">
        <f>IF(ISNUMBER(System!$C14),PlotData!B14+ Normalkraft!$E$2*$AF$1*B13,PlotData!$CB$3)</f>
        <v>4.4060030000000001</v>
      </c>
      <c r="AC13" s="566">
        <f>IF(ISNUMBER(System!$C14),PlotData!C14+ Normalkraft!$E$2*$AF$1*C13,PlotData!$CB$3)</f>
        <v>4.3554027</v>
      </c>
      <c r="AD13" s="566">
        <f>IF(ISNUMBER(System!$C14),PlotData!D14+ Normalkraft!$E$2*$AF$1*D13,PlotData!$CB$3)</f>
        <v>4.3048023999999998</v>
      </c>
      <c r="AE13" s="566">
        <f>IF(ISNUMBER(System!$C14),PlotData!E14+ Normalkraft!$E$2*$AF$1*E13,PlotData!$CB$3)</f>
        <v>4.2542020999999997</v>
      </c>
      <c r="AF13" s="566">
        <f>IF(ISNUMBER(System!$C14),PlotData!F14+Normalkraft!$E$2* $AF$1*F13,PlotData!$CB$3)</f>
        <v>4.2036017999999995</v>
      </c>
      <c r="AG13" s="566">
        <f>IF(ISNUMBER(System!$C14),PlotData!G14+ Normalkraft!$E$2*$AF$1*G13,PlotData!$CB$3)</f>
        <v>4.1530014999999993</v>
      </c>
      <c r="AH13" s="566">
        <f>IF(ISNUMBER(System!$C14),PlotData!H14+ Normalkraft!$E$2*$AF$1*H13,PlotData!$CB$3)</f>
        <v>4.1024011999999992</v>
      </c>
      <c r="AI13" s="566">
        <f>IF(ISNUMBER(System!$C14),PlotData!I14+ Normalkraft!$E$2*$AF$1*I13,PlotData!$CB$3)</f>
        <v>4.051800899999999</v>
      </c>
      <c r="AJ13" s="566">
        <f>IF(ISNUMBER(System!$C14),PlotData!J14+ Normalkraft!$E$2*$AF$1*J13,PlotData!$CB$3)</f>
        <v>4.0012005999999989</v>
      </c>
      <c r="AK13" s="566">
        <f>IF(ISNUMBER(System!$C14),PlotData!K14+Normalkraft!$E$2* $AF$1*K13,PlotData!$CB$3)</f>
        <v>3.9506002999999987</v>
      </c>
      <c r="AL13" s="567">
        <f>IF(ISNUMBER(System!$C14),PlotData!L14+Normalkraft!$E$2* $AF$1*L13,PlotData!$CB$3)</f>
        <v>3.8999999999999986</v>
      </c>
      <c r="AM13" s="565">
        <f>IF(ISNUMBER(System!$C14),PlotData!L14,PlotData!$CB$3)</f>
        <v>3.8999999999999986</v>
      </c>
      <c r="AN13" s="566">
        <f>IF(ISNUMBER(System!$C14),PlotData!B14,PlotData!$CB$3)</f>
        <v>4.4060030000000001</v>
      </c>
      <c r="AO13" s="447">
        <f>IF(ISNUMBER(System!$C14),AB13,PlotData!$CB$3)</f>
        <v>4.4060030000000001</v>
      </c>
      <c r="AQ13" s="568">
        <v>11</v>
      </c>
      <c r="AR13" s="565">
        <f>IF(ISNUMBER(System!$C14),PlotData!O14+ Normalkraft!$E$2*$AF$1*O13,PlotData!$CB$4)</f>
        <v>2.7448269999999999</v>
      </c>
      <c r="AS13" s="566">
        <f>IF(ISNUMBER(System!$C14),PlotData!P14+ Normalkraft!$E$2*$AF$1*P13,PlotData!$CB$4)</f>
        <v>2.2603442999999999</v>
      </c>
      <c r="AT13" s="566">
        <f>IF(ISNUMBER(System!$C14),PlotData!Q14+ Normalkraft!$E$2*$AF$1*Q13,PlotData!$CB$4)</f>
        <v>1.7758615999999998</v>
      </c>
      <c r="AU13" s="566">
        <f>IF(ISNUMBER(System!$C14),PlotData!R14+ Normalkraft!$E$2*$AF$1*R13,PlotData!$CB$4)</f>
        <v>1.2913788999999998</v>
      </c>
      <c r="AV13" s="566">
        <f>IF(ISNUMBER(System!$C14),PlotData!S14+Normalkraft!$E$2* $AF$1*S13,PlotData!$CB$4)</f>
        <v>0.80689619999999973</v>
      </c>
      <c r="AW13" s="566">
        <f>IF(ISNUMBER(System!$C14),PlotData!T14+ Normalkraft!$E$2*$AF$1*T13,PlotData!$CB$4)</f>
        <v>0.32241349999999969</v>
      </c>
      <c r="AX13" s="566">
        <f>IF(ISNUMBER(System!$C14),PlotData!U14+Normalkraft!$E$2* $AF$1*U13,PlotData!$CB$4)</f>
        <v>-0.16206920000000036</v>
      </c>
      <c r="AY13" s="566">
        <f>IF(ISNUMBER(System!$C14),PlotData!V14+ Normalkraft!$E$2*$AF$1*V13,PlotData!$CB$4)</f>
        <v>-0.6465519000000004</v>
      </c>
      <c r="AZ13" s="566">
        <f>IF(ISNUMBER(System!$C14),PlotData!W14+ Normalkraft!$E$2*$AF$1*W13,PlotData!$CB$4)</f>
        <v>-1.1310346000000004</v>
      </c>
      <c r="BA13" s="566">
        <f>IF(ISNUMBER(System!$C14),PlotData!X14+ Normalkraft!$E$2*$AF$1*X13,PlotData!$CB$4)</f>
        <v>-1.6155173000000005</v>
      </c>
      <c r="BB13" s="567">
        <f>IF(ISNUMBER(System!$C14),PlotData!Y14+Normalkraft!$E$2*$AF$1*Y13,PlotData!$CB$4)</f>
        <v>-2.1000000000000005</v>
      </c>
      <c r="BC13" s="565">
        <f>IF(ISNUMBER(System!$C14),PlotData!Y14, PlotData!CB$4)</f>
        <v>-2.1000000000000005</v>
      </c>
      <c r="BD13" s="566">
        <f>IF(ISNUMBER(System!$C14),PlotData!O14, PlotData!$CB$4)</f>
        <v>2.7448269999999999</v>
      </c>
      <c r="BE13" s="567">
        <f>IF(ISNUMBER(System!$C14), AR13,PlotData!$CB$4)</f>
        <v>2.7448269999999999</v>
      </c>
      <c r="BH13" s="425">
        <f>ROUNDUP(BH2,1)</f>
        <v>7.7</v>
      </c>
    </row>
    <row r="14" spans="1:61" x14ac:dyDescent="0.35">
      <c r="A14" s="564">
        <v>12</v>
      </c>
      <c r="B14" s="581">
        <v>0</v>
      </c>
      <c r="C14" s="582">
        <v>0</v>
      </c>
      <c r="D14" s="582">
        <v>0</v>
      </c>
      <c r="E14" s="582">
        <v>0</v>
      </c>
      <c r="F14" s="582">
        <v>0</v>
      </c>
      <c r="G14" s="582">
        <v>0</v>
      </c>
      <c r="H14" s="582">
        <v>0</v>
      </c>
      <c r="I14" s="582">
        <v>0</v>
      </c>
      <c r="J14" s="582">
        <v>0</v>
      </c>
      <c r="K14" s="582">
        <v>0</v>
      </c>
      <c r="L14" s="583">
        <v>0</v>
      </c>
      <c r="N14" s="564">
        <v>12</v>
      </c>
      <c r="O14" s="565">
        <v>0</v>
      </c>
      <c r="P14" s="566">
        <v>0</v>
      </c>
      <c r="Q14" s="566">
        <v>0</v>
      </c>
      <c r="R14" s="566">
        <v>0</v>
      </c>
      <c r="S14" s="566">
        <v>0</v>
      </c>
      <c r="T14" s="566">
        <v>0</v>
      </c>
      <c r="U14" s="566">
        <v>0</v>
      </c>
      <c r="V14" s="566">
        <v>0</v>
      </c>
      <c r="W14" s="566">
        <v>0</v>
      </c>
      <c r="X14" s="566">
        <v>0</v>
      </c>
      <c r="Y14" s="567">
        <v>0</v>
      </c>
      <c r="AA14" s="569">
        <v>12</v>
      </c>
      <c r="AB14" s="565">
        <f>IF(ISNUMBER(System!$C15),PlotData!B15+ Normalkraft!$E$2*$AF$1*B14,PlotData!$CB$3)</f>
        <v>3.38565</v>
      </c>
      <c r="AC14" s="566">
        <f>IF(ISNUMBER(System!$C15),PlotData!C15+ Normalkraft!$E$2*$AF$1*C14,PlotData!$CB$3)</f>
        <v>3.3021666999999999</v>
      </c>
      <c r="AD14" s="566">
        <f>IF(ISNUMBER(System!$C15),PlotData!D15+ Normalkraft!$E$2*$AF$1*D14,PlotData!$CB$3)</f>
        <v>3.2186833999999998</v>
      </c>
      <c r="AE14" s="566">
        <f>IF(ISNUMBER(System!$C15),PlotData!E15+ Normalkraft!$E$2*$AF$1*E14,PlotData!$CB$3)</f>
        <v>3.1352000999999996</v>
      </c>
      <c r="AF14" s="566">
        <f>IF(ISNUMBER(System!$C15),PlotData!F15+Normalkraft!$E$2* $AF$1*F14,PlotData!$CB$3)</f>
        <v>3.0517167999999995</v>
      </c>
      <c r="AG14" s="566">
        <f>IF(ISNUMBER(System!$C15),PlotData!G15+ Normalkraft!$E$2*$AF$1*G14,PlotData!$CB$3)</f>
        <v>2.9682334999999993</v>
      </c>
      <c r="AH14" s="566">
        <f>IF(ISNUMBER(System!$C15),PlotData!H15+ Normalkraft!$E$2*$AF$1*H14,PlotData!$CB$3)</f>
        <v>2.8847501999999992</v>
      </c>
      <c r="AI14" s="566">
        <f>IF(ISNUMBER(System!$C15),PlotData!I15+ Normalkraft!$E$2*$AF$1*I14,PlotData!$CB$3)</f>
        <v>2.801266899999999</v>
      </c>
      <c r="AJ14" s="566">
        <f>IF(ISNUMBER(System!$C15),PlotData!J15+ Normalkraft!$E$2*$AF$1*J14,PlotData!$CB$3)</f>
        <v>2.7177835999999989</v>
      </c>
      <c r="AK14" s="566">
        <f>IF(ISNUMBER(System!$C15),PlotData!K15+Normalkraft!$E$2* $AF$1*K14,PlotData!$CB$3)</f>
        <v>2.6343002999999987</v>
      </c>
      <c r="AL14" s="567">
        <f>IF(ISNUMBER(System!$C15),PlotData!L15+Normalkraft!$E$2* $AF$1*L14,PlotData!$CB$3)</f>
        <v>2.5508169999999986</v>
      </c>
      <c r="AM14" s="565">
        <f>IF(ISNUMBER(System!$C15),PlotData!L15,PlotData!$CB$3)</f>
        <v>2.5508169999999986</v>
      </c>
      <c r="AN14" s="566">
        <f>IF(ISNUMBER(System!$C15),PlotData!B15,PlotData!$CB$3)</f>
        <v>3.38565</v>
      </c>
      <c r="AO14" s="447">
        <f>IF(ISNUMBER(System!$C15),AB14,PlotData!$CB$3)</f>
        <v>3.38565</v>
      </c>
      <c r="AQ14" s="568">
        <v>12</v>
      </c>
      <c r="AR14" s="565">
        <f>IF(ISNUMBER(System!$C15),PlotData!O15+ Normalkraft!$E$2*$AF$1*O14,PlotData!$CB$4)</f>
        <v>2.7293310000000002</v>
      </c>
      <c r="AS14" s="566">
        <f>IF(ISNUMBER(System!$C15),PlotData!P15+ Normalkraft!$E$2*$AF$1*P14,PlotData!$CB$4)</f>
        <v>2.5463815000000003</v>
      </c>
      <c r="AT14" s="566">
        <f>IF(ISNUMBER(System!$C15),PlotData!Q15+ Normalkraft!$E$2*$AF$1*Q14,PlotData!$CB$4)</f>
        <v>2.3634320000000004</v>
      </c>
      <c r="AU14" s="566">
        <f>IF(ISNUMBER(System!$C15),PlotData!R15+ Normalkraft!$E$2*$AF$1*R14,PlotData!$CB$4)</f>
        <v>2.1804825000000005</v>
      </c>
      <c r="AV14" s="566">
        <f>IF(ISNUMBER(System!$C15),PlotData!S15+Normalkraft!$E$2* $AF$1*S14,PlotData!$CB$4)</f>
        <v>1.9975330000000004</v>
      </c>
      <c r="AW14" s="566">
        <f>IF(ISNUMBER(System!$C15),PlotData!T15+ Normalkraft!$E$2*$AF$1*T14,PlotData!$CB$4)</f>
        <v>1.8145835000000003</v>
      </c>
      <c r="AX14" s="566">
        <f>IF(ISNUMBER(System!$C15),PlotData!U15+Normalkraft!$E$2* $AF$1*U14,PlotData!$CB$4)</f>
        <v>1.6316340000000003</v>
      </c>
      <c r="AY14" s="566">
        <f>IF(ISNUMBER(System!$C15),PlotData!V15+ Normalkraft!$E$2*$AF$1*V14,PlotData!$CB$4)</f>
        <v>1.4486845000000002</v>
      </c>
      <c r="AZ14" s="566">
        <f>IF(ISNUMBER(System!$C15),PlotData!W15+ Normalkraft!$E$2*$AF$1*W14,PlotData!$CB$4)</f>
        <v>1.2657350000000001</v>
      </c>
      <c r="BA14" s="566">
        <f>IF(ISNUMBER(System!$C15),PlotData!X15+ Normalkraft!$E$2*$AF$1*X14,PlotData!$CB$4)</f>
        <v>1.0827855</v>
      </c>
      <c r="BB14" s="567">
        <f>IF(ISNUMBER(System!$C15),PlotData!Y15+Normalkraft!$E$2*$AF$1*Y14,PlotData!$CB$4)</f>
        <v>0.89983599999999986</v>
      </c>
      <c r="BC14" s="565">
        <f>IF(ISNUMBER(System!$C15),PlotData!Y15, PlotData!CB$4)</f>
        <v>0.89983599999999986</v>
      </c>
      <c r="BD14" s="566">
        <f>IF(ISNUMBER(System!$C15),PlotData!O15, PlotData!$CB$4)</f>
        <v>2.7293310000000002</v>
      </c>
      <c r="BE14" s="567">
        <f>IF(ISNUMBER(System!$C15), AR14,PlotData!$CB$4)</f>
        <v>2.7293310000000002</v>
      </c>
      <c r="BH14" s="425">
        <f>ROUNDUP(BH3,1)</f>
        <v>-1.5</v>
      </c>
    </row>
    <row r="15" spans="1:61" x14ac:dyDescent="0.35">
      <c r="A15" s="564">
        <v>13</v>
      </c>
      <c r="B15" s="581">
        <v>0</v>
      </c>
      <c r="C15" s="582">
        <v>0</v>
      </c>
      <c r="D15" s="582">
        <v>0</v>
      </c>
      <c r="E15" s="582">
        <v>0</v>
      </c>
      <c r="F15" s="582">
        <v>0</v>
      </c>
      <c r="G15" s="582">
        <v>0</v>
      </c>
      <c r="H15" s="582">
        <v>0</v>
      </c>
      <c r="I15" s="582">
        <v>0</v>
      </c>
      <c r="J15" s="582">
        <v>0</v>
      </c>
      <c r="K15" s="582">
        <v>0</v>
      </c>
      <c r="L15" s="583">
        <v>0</v>
      </c>
      <c r="N15" s="564">
        <v>13</v>
      </c>
      <c r="O15" s="565">
        <v>0</v>
      </c>
      <c r="P15" s="566">
        <v>0</v>
      </c>
      <c r="Q15" s="566">
        <v>0</v>
      </c>
      <c r="R15" s="566">
        <v>0</v>
      </c>
      <c r="S15" s="566">
        <v>0</v>
      </c>
      <c r="T15" s="566">
        <v>0</v>
      </c>
      <c r="U15" s="566">
        <v>0</v>
      </c>
      <c r="V15" s="566">
        <v>0</v>
      </c>
      <c r="W15" s="566">
        <v>0</v>
      </c>
      <c r="X15" s="566">
        <v>0</v>
      </c>
      <c r="Y15" s="567">
        <v>0</v>
      </c>
      <c r="AA15" s="569">
        <v>13</v>
      </c>
      <c r="AB15" s="565">
        <f>IF(ISNUMBER(System!$C16),PlotData!B16+ Normalkraft!$E$2*$AF$1*B15,PlotData!$CB$3)</f>
        <v>4.4060030000000001</v>
      </c>
      <c r="AC15" s="566">
        <f>IF(ISNUMBER(System!$C16),PlotData!C16+ Normalkraft!$E$2*$AF$1*C15,PlotData!$CB$3)</f>
        <v>4.4925782999999999</v>
      </c>
      <c r="AD15" s="566">
        <f>IF(ISNUMBER(System!$C16),PlotData!D16+ Normalkraft!$E$2*$AF$1*D15,PlotData!$CB$3)</f>
        <v>4.5791535999999997</v>
      </c>
      <c r="AE15" s="566">
        <f>IF(ISNUMBER(System!$C16),PlotData!E16+ Normalkraft!$E$2*$AF$1*E15,PlotData!$CB$3)</f>
        <v>4.6657288999999995</v>
      </c>
      <c r="AF15" s="566">
        <f>IF(ISNUMBER(System!$C16),PlotData!F16+Normalkraft!$E$2* $AF$1*F15,PlotData!$CB$3)</f>
        <v>4.7523041999999993</v>
      </c>
      <c r="AG15" s="566">
        <f>IF(ISNUMBER(System!$C16),PlotData!G16+ Normalkraft!$E$2*$AF$1*G15,PlotData!$CB$3)</f>
        <v>4.8388794999999991</v>
      </c>
      <c r="AH15" s="566">
        <f>IF(ISNUMBER(System!$C16),PlotData!H16+ Normalkraft!$E$2*$AF$1*H15,PlotData!$CB$3)</f>
        <v>4.9254547999999989</v>
      </c>
      <c r="AI15" s="566">
        <f>IF(ISNUMBER(System!$C16),PlotData!I16+ Normalkraft!$E$2*$AF$1*I15,PlotData!$CB$3)</f>
        <v>5.0120300999999987</v>
      </c>
      <c r="AJ15" s="566">
        <f>IF(ISNUMBER(System!$C16),PlotData!J16+ Normalkraft!$E$2*$AF$1*J15,PlotData!$CB$3)</f>
        <v>5.0986053999999985</v>
      </c>
      <c r="AK15" s="566">
        <f>IF(ISNUMBER(System!$C16),PlotData!K16+Normalkraft!$E$2* $AF$1*K15,PlotData!$CB$3)</f>
        <v>5.1851806999999983</v>
      </c>
      <c r="AL15" s="567">
        <f>IF(ISNUMBER(System!$C16),PlotData!L16+Normalkraft!$E$2* $AF$1*L15,PlotData!$CB$3)</f>
        <v>5.2717559999999981</v>
      </c>
      <c r="AM15" s="565">
        <f>IF(ISNUMBER(System!$C16),PlotData!L16,PlotData!$CB$3)</f>
        <v>5.2717559999999981</v>
      </c>
      <c r="AN15" s="566">
        <f>IF(ISNUMBER(System!$C16),PlotData!B16,PlotData!$CB$3)</f>
        <v>4.4060030000000001</v>
      </c>
      <c r="AO15" s="447">
        <f>IF(ISNUMBER(System!$C16),AB15,PlotData!$CB$3)</f>
        <v>4.4060030000000001</v>
      </c>
      <c r="AQ15" s="568">
        <v>13</v>
      </c>
      <c r="AR15" s="565">
        <f>IF(ISNUMBER(System!$C16),PlotData!O16+ Normalkraft!$E$2*$AF$1*O15,PlotData!$CB$4)</f>
        <v>2.7448269999999999</v>
      </c>
      <c r="AS15" s="566">
        <f>IF(ISNUMBER(System!$C16),PlotData!P16+ Normalkraft!$E$2*$AF$1*P15,PlotData!$CB$4)</f>
        <v>2.5603278999999999</v>
      </c>
      <c r="AT15" s="566">
        <f>IF(ISNUMBER(System!$C16),PlotData!Q16+ Normalkraft!$E$2*$AF$1*Q15,PlotData!$CB$4)</f>
        <v>2.3758287999999999</v>
      </c>
      <c r="AU15" s="566">
        <f>IF(ISNUMBER(System!$C16),PlotData!R16+ Normalkraft!$E$2*$AF$1*R15,PlotData!$CB$4)</f>
        <v>2.1913296999999998</v>
      </c>
      <c r="AV15" s="566">
        <f>IF(ISNUMBER(System!$C16),PlotData!S16+Normalkraft!$E$2* $AF$1*S15,PlotData!$CB$4)</f>
        <v>2.0068305999999998</v>
      </c>
      <c r="AW15" s="566">
        <f>IF(ISNUMBER(System!$C16),PlotData!T16+ Normalkraft!$E$2*$AF$1*T15,PlotData!$CB$4)</f>
        <v>1.8223314999999998</v>
      </c>
      <c r="AX15" s="566">
        <f>IF(ISNUMBER(System!$C16),PlotData!U16+Normalkraft!$E$2* $AF$1*U15,PlotData!$CB$4)</f>
        <v>1.6378323999999997</v>
      </c>
      <c r="AY15" s="566">
        <f>IF(ISNUMBER(System!$C16),PlotData!V16+ Normalkraft!$E$2*$AF$1*V15,PlotData!$CB$4)</f>
        <v>1.4533332999999997</v>
      </c>
      <c r="AZ15" s="566">
        <f>IF(ISNUMBER(System!$C16),PlotData!W16+ Normalkraft!$E$2*$AF$1*W15,PlotData!$CB$4)</f>
        <v>1.2688341999999997</v>
      </c>
      <c r="BA15" s="566">
        <f>IF(ISNUMBER(System!$C16),PlotData!X16+ Normalkraft!$E$2*$AF$1*X15,PlotData!$CB$4)</f>
        <v>1.0843350999999997</v>
      </c>
      <c r="BB15" s="567">
        <f>IF(ISNUMBER(System!$C16),PlotData!Y16+Normalkraft!$E$2*$AF$1*Y15,PlotData!$CB$4)</f>
        <v>0.89983599999999964</v>
      </c>
      <c r="BC15" s="565">
        <f>IF(ISNUMBER(System!$C16),PlotData!Y16, PlotData!CB$4)</f>
        <v>0.89983599999999964</v>
      </c>
      <c r="BD15" s="566">
        <f>IF(ISNUMBER(System!$C16),PlotData!O16, PlotData!$CB$4)</f>
        <v>2.7448269999999999</v>
      </c>
      <c r="BE15" s="567">
        <f>IF(ISNUMBER(System!$C16), AR15,PlotData!$CB$4)</f>
        <v>2.7448269999999999</v>
      </c>
      <c r="BH15" s="425">
        <f>ROUNDUP(BH4,1)</f>
        <v>15</v>
      </c>
    </row>
    <row r="16" spans="1:61" x14ac:dyDescent="0.35">
      <c r="A16" s="564">
        <v>14</v>
      </c>
      <c r="B16" s="581">
        <v>0</v>
      </c>
      <c r="C16" s="582">
        <v>0</v>
      </c>
      <c r="D16" s="582">
        <v>0</v>
      </c>
      <c r="E16" s="582">
        <v>0</v>
      </c>
      <c r="F16" s="582">
        <v>0</v>
      </c>
      <c r="G16" s="582">
        <v>0</v>
      </c>
      <c r="H16" s="582">
        <v>0</v>
      </c>
      <c r="I16" s="582">
        <v>0</v>
      </c>
      <c r="J16" s="582">
        <v>0</v>
      </c>
      <c r="K16" s="582">
        <v>0</v>
      </c>
      <c r="L16" s="583">
        <v>0</v>
      </c>
      <c r="N16" s="564">
        <v>14</v>
      </c>
      <c r="O16" s="565">
        <v>0</v>
      </c>
      <c r="P16" s="566">
        <v>0</v>
      </c>
      <c r="Q16" s="566">
        <v>0</v>
      </c>
      <c r="R16" s="566">
        <v>0</v>
      </c>
      <c r="S16" s="566">
        <v>0</v>
      </c>
      <c r="T16" s="566">
        <v>0</v>
      </c>
      <c r="U16" s="566">
        <v>0</v>
      </c>
      <c r="V16" s="566">
        <v>0</v>
      </c>
      <c r="W16" s="566">
        <v>0</v>
      </c>
      <c r="X16" s="566">
        <v>0</v>
      </c>
      <c r="Y16" s="567">
        <v>0</v>
      </c>
      <c r="AA16" s="569">
        <v>14</v>
      </c>
      <c r="AB16" s="565">
        <f>IF(ISNUMBER(System!$C17),PlotData!B17+ Normalkraft!$E$2*$AF$1*B16,PlotData!$CB$3)</f>
        <v>-6.45</v>
      </c>
      <c r="AC16" s="566">
        <f>IF(ISNUMBER(System!$C17),PlotData!C17+ Normalkraft!$E$2*$AF$1*C16,PlotData!$CB$3)</f>
        <v>-6.3900000000000006</v>
      </c>
      <c r="AD16" s="566">
        <f>IF(ISNUMBER(System!$C17),PlotData!D17+ Normalkraft!$E$2*$AF$1*D16,PlotData!$CB$3)</f>
        <v>-6.33</v>
      </c>
      <c r="AE16" s="566">
        <f>IF(ISNUMBER(System!$C17),PlotData!E17+ Normalkraft!$E$2*$AF$1*E16,PlotData!$CB$3)</f>
        <v>-6.27</v>
      </c>
      <c r="AF16" s="566">
        <f>IF(ISNUMBER(System!$C17),PlotData!F17+Normalkraft!$E$2* $AF$1*F16,PlotData!$CB$3)</f>
        <v>-6.2099999999999991</v>
      </c>
      <c r="AG16" s="566">
        <f>IF(ISNUMBER(System!$C17),PlotData!G17+ Normalkraft!$E$2*$AF$1*G16,PlotData!$CB$3)</f>
        <v>-6.1499999999999986</v>
      </c>
      <c r="AH16" s="566">
        <f>IF(ISNUMBER(System!$C17),PlotData!H17+ Normalkraft!$E$2*$AF$1*H16,PlotData!$CB$3)</f>
        <v>-6.0899999999999981</v>
      </c>
      <c r="AI16" s="566">
        <f>IF(ISNUMBER(System!$C17),PlotData!I17+ Normalkraft!$E$2*$AF$1*I16,PlotData!$CB$3)</f>
        <v>-6.0299999999999976</v>
      </c>
      <c r="AJ16" s="566">
        <f>IF(ISNUMBER(System!$C17),PlotData!J17+ Normalkraft!$E$2*$AF$1*J16,PlotData!$CB$3)</f>
        <v>-5.9699999999999971</v>
      </c>
      <c r="AK16" s="566">
        <f>IF(ISNUMBER(System!$C17),PlotData!K17+Normalkraft!$E$2* $AF$1*K16,PlotData!$CB$3)</f>
        <v>-5.9099999999999966</v>
      </c>
      <c r="AL16" s="567">
        <f>IF(ISNUMBER(System!$C17),PlotData!L17+Normalkraft!$E$2* $AF$1*L16,PlotData!$CB$3)</f>
        <v>-5.8499999999999961</v>
      </c>
      <c r="AM16" s="565">
        <f>IF(ISNUMBER(System!$C17),PlotData!L17,PlotData!$CB$3)</f>
        <v>-5.8499999999999961</v>
      </c>
      <c r="AN16" s="566">
        <f>IF(ISNUMBER(System!$C17),PlotData!B17,PlotData!$CB$3)</f>
        <v>-6.45</v>
      </c>
      <c r="AO16" s="447">
        <f>IF(ISNUMBER(System!$C17),AB16,PlotData!$CB$3)</f>
        <v>-6.45</v>
      </c>
      <c r="AQ16" s="568">
        <v>14</v>
      </c>
      <c r="AR16" s="565">
        <f>IF(ISNUMBER(System!$C17),PlotData!O17+ Normalkraft!$E$2*$AF$1*O16,PlotData!$CB$4)</f>
        <v>0.9</v>
      </c>
      <c r="AS16" s="566">
        <f>IF(ISNUMBER(System!$C17),PlotData!P17+ Normalkraft!$E$2*$AF$1*P16,PlotData!$CB$4)</f>
        <v>0.9</v>
      </c>
      <c r="AT16" s="566">
        <f>IF(ISNUMBER(System!$C17),PlotData!Q17+ Normalkraft!$E$2*$AF$1*Q16,PlotData!$CB$4)</f>
        <v>0.9</v>
      </c>
      <c r="AU16" s="566">
        <f>IF(ISNUMBER(System!$C17),PlotData!R17+ Normalkraft!$E$2*$AF$1*R16,PlotData!$CB$4)</f>
        <v>0.9</v>
      </c>
      <c r="AV16" s="566">
        <f>IF(ISNUMBER(System!$C17),PlotData!S17+Normalkraft!$E$2* $AF$1*S16,PlotData!$CB$4)</f>
        <v>0.9</v>
      </c>
      <c r="AW16" s="566">
        <f>IF(ISNUMBER(System!$C17),PlotData!T17+ Normalkraft!$E$2*$AF$1*T16,PlotData!$CB$4)</f>
        <v>0.9</v>
      </c>
      <c r="AX16" s="566">
        <f>IF(ISNUMBER(System!$C17),PlotData!U17+Normalkraft!$E$2* $AF$1*U16,PlotData!$CB$4)</f>
        <v>0.9</v>
      </c>
      <c r="AY16" s="566">
        <f>IF(ISNUMBER(System!$C17),PlotData!V17+ Normalkraft!$E$2*$AF$1*V16,PlotData!$CB$4)</f>
        <v>0.9</v>
      </c>
      <c r="AZ16" s="566">
        <f>IF(ISNUMBER(System!$C17),PlotData!W17+ Normalkraft!$E$2*$AF$1*W16,PlotData!$CB$4)</f>
        <v>0.9</v>
      </c>
      <c r="BA16" s="566">
        <f>IF(ISNUMBER(System!$C17),PlotData!X17+ Normalkraft!$E$2*$AF$1*X16,PlotData!$CB$4)</f>
        <v>0.9</v>
      </c>
      <c r="BB16" s="567">
        <f>IF(ISNUMBER(System!$C17),PlotData!Y17+Normalkraft!$E$2*$AF$1*Y16,PlotData!$CB$4)</f>
        <v>0.9</v>
      </c>
      <c r="BC16" s="565">
        <f>IF(ISNUMBER(System!$C17),PlotData!Y17, PlotData!CB$4)</f>
        <v>0.9</v>
      </c>
      <c r="BD16" s="566">
        <f>IF(ISNUMBER(System!$C17),PlotData!O17, PlotData!$CB$4)</f>
        <v>0.9</v>
      </c>
      <c r="BE16" s="567">
        <f>IF(ISNUMBER(System!$C17), AR16,PlotData!$CB$4)</f>
        <v>0.9</v>
      </c>
    </row>
    <row r="17" spans="1:60" x14ac:dyDescent="0.35">
      <c r="A17" s="564">
        <v>15</v>
      </c>
      <c r="B17" s="581">
        <v>0</v>
      </c>
      <c r="C17" s="582">
        <v>0</v>
      </c>
      <c r="D17" s="582">
        <v>0</v>
      </c>
      <c r="E17" s="582">
        <v>0</v>
      </c>
      <c r="F17" s="582">
        <v>0</v>
      </c>
      <c r="G17" s="582">
        <v>0</v>
      </c>
      <c r="H17" s="582">
        <v>0</v>
      </c>
      <c r="I17" s="582">
        <v>0</v>
      </c>
      <c r="J17" s="582">
        <v>0</v>
      </c>
      <c r="K17" s="582">
        <v>0</v>
      </c>
      <c r="L17" s="583">
        <v>0</v>
      </c>
      <c r="N17" s="564">
        <v>15</v>
      </c>
      <c r="O17" s="565">
        <v>0</v>
      </c>
      <c r="P17" s="566">
        <v>0</v>
      </c>
      <c r="Q17" s="566">
        <v>0</v>
      </c>
      <c r="R17" s="566">
        <v>0</v>
      </c>
      <c r="S17" s="566">
        <v>0</v>
      </c>
      <c r="T17" s="566">
        <v>0</v>
      </c>
      <c r="U17" s="566">
        <v>0</v>
      </c>
      <c r="V17" s="566">
        <v>0</v>
      </c>
      <c r="W17" s="566">
        <v>0</v>
      </c>
      <c r="X17" s="566">
        <v>0</v>
      </c>
      <c r="Y17" s="567">
        <v>0</v>
      </c>
      <c r="AA17" s="569">
        <v>15</v>
      </c>
      <c r="AB17" s="565">
        <f>IF(ISNUMBER(System!$C18),PlotData!B18+ Normalkraft!$E$2*$AF$1*B17,PlotData!$CB$3)</f>
        <v>-5.85</v>
      </c>
      <c r="AC17" s="566">
        <f>IF(ISNUMBER(System!$C18),PlotData!C18+ Normalkraft!$E$2*$AF$1*C17,PlotData!$CB$3)</f>
        <v>-5.6999999999999993</v>
      </c>
      <c r="AD17" s="566">
        <f>IF(ISNUMBER(System!$C18),PlotData!D18+ Normalkraft!$E$2*$AF$1*D17,PlotData!$CB$3)</f>
        <v>-5.5499999999999989</v>
      </c>
      <c r="AE17" s="566">
        <f>IF(ISNUMBER(System!$C18),PlotData!E18+ Normalkraft!$E$2*$AF$1*E17,PlotData!$CB$3)</f>
        <v>-5.3999999999999986</v>
      </c>
      <c r="AF17" s="566">
        <f>IF(ISNUMBER(System!$C18),PlotData!F18+Normalkraft!$E$2* $AF$1*F17,PlotData!$CB$3)</f>
        <v>-5.2499999999999982</v>
      </c>
      <c r="AG17" s="566">
        <f>IF(ISNUMBER(System!$C18),PlotData!G18+ Normalkraft!$E$2*$AF$1*G17,PlotData!$CB$3)</f>
        <v>-5.0999999999999979</v>
      </c>
      <c r="AH17" s="566">
        <f>IF(ISNUMBER(System!$C18),PlotData!H18+ Normalkraft!$E$2*$AF$1*H17,PlotData!$CB$3)</f>
        <v>-4.9499999999999975</v>
      </c>
      <c r="AI17" s="566">
        <f>IF(ISNUMBER(System!$C18),PlotData!I18+ Normalkraft!$E$2*$AF$1*I17,PlotData!$CB$3)</f>
        <v>-4.7999999999999972</v>
      </c>
      <c r="AJ17" s="566">
        <f>IF(ISNUMBER(System!$C18),PlotData!J18+ Normalkraft!$E$2*$AF$1*J17,PlotData!$CB$3)</f>
        <v>-4.6499999999999968</v>
      </c>
      <c r="AK17" s="566">
        <f>IF(ISNUMBER(System!$C18),PlotData!K18+Normalkraft!$E$2* $AF$1*K17,PlotData!$CB$3)</f>
        <v>-4.4999999999999964</v>
      </c>
      <c r="AL17" s="567">
        <f>IF(ISNUMBER(System!$C18),PlotData!L18+Normalkraft!$E$2* $AF$1*L17,PlotData!$CB$3)</f>
        <v>-4.3499999999999961</v>
      </c>
      <c r="AM17" s="565">
        <f>IF(ISNUMBER(System!$C18),PlotData!L18,PlotData!$CB$3)</f>
        <v>-4.3499999999999961</v>
      </c>
      <c r="AN17" s="566">
        <f>IF(ISNUMBER(System!$C18),PlotData!B18,PlotData!$CB$3)</f>
        <v>-5.85</v>
      </c>
      <c r="AO17" s="447">
        <f>IF(ISNUMBER(System!$C18),AB17,PlotData!$CB$3)</f>
        <v>-5.85</v>
      </c>
      <c r="AQ17" s="568">
        <v>15</v>
      </c>
      <c r="AR17" s="565">
        <f>IF(ISNUMBER(System!$C18),PlotData!O18+ Normalkraft!$E$2*$AF$1*O17,PlotData!$CB$4)</f>
        <v>0.9</v>
      </c>
      <c r="AS17" s="566">
        <f>IF(ISNUMBER(System!$C18),PlotData!P18+ Normalkraft!$E$2*$AF$1*P17,PlotData!$CB$4)</f>
        <v>0.9</v>
      </c>
      <c r="AT17" s="566">
        <f>IF(ISNUMBER(System!$C18),PlotData!Q18+ Normalkraft!$E$2*$AF$1*Q17,PlotData!$CB$4)</f>
        <v>0.9</v>
      </c>
      <c r="AU17" s="566">
        <f>IF(ISNUMBER(System!$C18),PlotData!R18+ Normalkraft!$E$2*$AF$1*R17,PlotData!$CB$4)</f>
        <v>0.9</v>
      </c>
      <c r="AV17" s="566">
        <f>IF(ISNUMBER(System!$C18),PlotData!S18+Normalkraft!$E$2* $AF$1*S17,PlotData!$CB$4)</f>
        <v>0.9</v>
      </c>
      <c r="AW17" s="566">
        <f>IF(ISNUMBER(System!$C18),PlotData!T18+ Normalkraft!$E$2*$AF$1*T17,PlotData!$CB$4)</f>
        <v>0.9</v>
      </c>
      <c r="AX17" s="566">
        <f>IF(ISNUMBER(System!$C18),PlotData!U18+Normalkraft!$E$2* $AF$1*U17,PlotData!$CB$4)</f>
        <v>0.9</v>
      </c>
      <c r="AY17" s="566">
        <f>IF(ISNUMBER(System!$C18),PlotData!V18+ Normalkraft!$E$2*$AF$1*V17,PlotData!$CB$4)</f>
        <v>0.9</v>
      </c>
      <c r="AZ17" s="566">
        <f>IF(ISNUMBER(System!$C18),PlotData!W18+ Normalkraft!$E$2*$AF$1*W17,PlotData!$CB$4)</f>
        <v>0.9</v>
      </c>
      <c r="BA17" s="566">
        <f>IF(ISNUMBER(System!$C18),PlotData!X18+ Normalkraft!$E$2*$AF$1*X17,PlotData!$CB$4)</f>
        <v>0.9</v>
      </c>
      <c r="BB17" s="567">
        <f>IF(ISNUMBER(System!$C18),PlotData!Y18+Normalkraft!$E$2*$AF$1*Y17,PlotData!$CB$4)</f>
        <v>0.9</v>
      </c>
      <c r="BC17" s="565">
        <f>IF(ISNUMBER(System!$C18),PlotData!Y18, PlotData!CB$4)</f>
        <v>0.9</v>
      </c>
      <c r="BD17" s="566">
        <f>IF(ISNUMBER(System!$C18),PlotData!O18, PlotData!$CB$4)</f>
        <v>0.9</v>
      </c>
      <c r="BE17" s="567">
        <f>IF(ISNUMBER(System!$C18), AR17,PlotData!$CB$4)</f>
        <v>0.9</v>
      </c>
    </row>
    <row r="18" spans="1:60" x14ac:dyDescent="0.35">
      <c r="A18" s="564">
        <v>16</v>
      </c>
      <c r="B18" s="581">
        <v>0</v>
      </c>
      <c r="C18" s="582">
        <v>0</v>
      </c>
      <c r="D18" s="582">
        <v>0</v>
      </c>
      <c r="E18" s="582">
        <v>0</v>
      </c>
      <c r="F18" s="582">
        <v>0</v>
      </c>
      <c r="G18" s="582">
        <v>0</v>
      </c>
      <c r="H18" s="582">
        <v>0</v>
      </c>
      <c r="I18" s="582">
        <v>0</v>
      </c>
      <c r="J18" s="582">
        <v>0</v>
      </c>
      <c r="K18" s="582">
        <v>0</v>
      </c>
      <c r="L18" s="583">
        <v>0</v>
      </c>
      <c r="N18" s="564">
        <v>16</v>
      </c>
      <c r="O18" s="565">
        <v>0</v>
      </c>
      <c r="P18" s="566">
        <v>0</v>
      </c>
      <c r="Q18" s="566">
        <v>0</v>
      </c>
      <c r="R18" s="566">
        <v>0</v>
      </c>
      <c r="S18" s="566">
        <v>0</v>
      </c>
      <c r="T18" s="566">
        <v>0</v>
      </c>
      <c r="U18" s="566">
        <v>0</v>
      </c>
      <c r="V18" s="566">
        <v>0</v>
      </c>
      <c r="W18" s="566">
        <v>0</v>
      </c>
      <c r="X18" s="566">
        <v>0</v>
      </c>
      <c r="Y18" s="567">
        <v>0</v>
      </c>
      <c r="AA18" s="569">
        <v>16</v>
      </c>
      <c r="AB18" s="565">
        <f>IF(ISNUMBER(System!$C19),PlotData!B19+ Normalkraft!$E$2*$AF$1*B18,PlotData!$CB$3)</f>
        <v>-4.3499999999999996</v>
      </c>
      <c r="AC18" s="566">
        <f>IF(ISNUMBER(System!$C19),PlotData!C19+ Normalkraft!$E$2*$AF$1*C18,PlotData!$CB$3)</f>
        <v>-4.29</v>
      </c>
      <c r="AD18" s="566">
        <f>IF(ISNUMBER(System!$C19),PlotData!D19+ Normalkraft!$E$2*$AF$1*D18,PlotData!$CB$3)</f>
        <v>-4.2300000000000004</v>
      </c>
      <c r="AE18" s="566">
        <f>IF(ISNUMBER(System!$C19),PlotData!E19+ Normalkraft!$E$2*$AF$1*E18,PlotData!$CB$3)</f>
        <v>-4.1700000000000008</v>
      </c>
      <c r="AF18" s="566">
        <f>IF(ISNUMBER(System!$C19),PlotData!F19+Normalkraft!$E$2* $AF$1*F18,PlotData!$CB$3)</f>
        <v>-4.1100000000000012</v>
      </c>
      <c r="AG18" s="566">
        <f>IF(ISNUMBER(System!$C19),PlotData!G19+ Normalkraft!$E$2*$AF$1*G18,PlotData!$CB$3)</f>
        <v>-4.0500000000000016</v>
      </c>
      <c r="AH18" s="566">
        <f>IF(ISNUMBER(System!$C19),PlotData!H19+ Normalkraft!$E$2*$AF$1*H18,PlotData!$CB$3)</f>
        <v>-3.9900000000000015</v>
      </c>
      <c r="AI18" s="566">
        <f>IF(ISNUMBER(System!$C19),PlotData!I19+ Normalkraft!$E$2*$AF$1*I18,PlotData!$CB$3)</f>
        <v>-3.9300000000000015</v>
      </c>
      <c r="AJ18" s="566">
        <f>IF(ISNUMBER(System!$C19),PlotData!J19+ Normalkraft!$E$2*$AF$1*J18,PlotData!$CB$3)</f>
        <v>-3.8700000000000014</v>
      </c>
      <c r="AK18" s="566">
        <f>IF(ISNUMBER(System!$C19),PlotData!K19+Normalkraft!$E$2* $AF$1*K18,PlotData!$CB$3)</f>
        <v>-3.8100000000000014</v>
      </c>
      <c r="AL18" s="567">
        <f>IF(ISNUMBER(System!$C19),PlotData!L19+Normalkraft!$E$2* $AF$1*L18,PlotData!$CB$3)</f>
        <v>-3.7500000000000013</v>
      </c>
      <c r="AM18" s="565">
        <f>IF(ISNUMBER(System!$C19),PlotData!L19,PlotData!$CB$3)</f>
        <v>-3.7500000000000013</v>
      </c>
      <c r="AN18" s="566">
        <f>IF(ISNUMBER(System!$C19),PlotData!B19,PlotData!$CB$3)</f>
        <v>-4.3499999999999996</v>
      </c>
      <c r="AO18" s="447">
        <f>IF(ISNUMBER(System!$C19),AB18,PlotData!$CB$3)</f>
        <v>-4.3499999999999996</v>
      </c>
      <c r="AQ18" s="568">
        <v>16</v>
      </c>
      <c r="AR18" s="565">
        <f>IF(ISNUMBER(System!$C19),PlotData!O19+ Normalkraft!$E$2*$AF$1*O18,PlotData!$CB$4)</f>
        <v>0.9</v>
      </c>
      <c r="AS18" s="566">
        <f>IF(ISNUMBER(System!$C19),PlotData!P19+ Normalkraft!$E$2*$AF$1*P18,PlotData!$CB$4)</f>
        <v>0.9</v>
      </c>
      <c r="AT18" s="566">
        <f>IF(ISNUMBER(System!$C19),PlotData!Q19+ Normalkraft!$E$2*$AF$1*Q18,PlotData!$CB$4)</f>
        <v>0.9</v>
      </c>
      <c r="AU18" s="566">
        <f>IF(ISNUMBER(System!$C19),PlotData!R19+ Normalkraft!$E$2*$AF$1*R18,PlotData!$CB$4)</f>
        <v>0.9</v>
      </c>
      <c r="AV18" s="566">
        <f>IF(ISNUMBER(System!$C19),PlotData!S19+Normalkraft!$E$2* $AF$1*S18,PlotData!$CB$4)</f>
        <v>0.9</v>
      </c>
      <c r="AW18" s="566">
        <f>IF(ISNUMBER(System!$C19),PlotData!T19+ Normalkraft!$E$2*$AF$1*T18,PlotData!$CB$4)</f>
        <v>0.9</v>
      </c>
      <c r="AX18" s="566">
        <f>IF(ISNUMBER(System!$C19),PlotData!U19+Normalkraft!$E$2* $AF$1*U18,PlotData!$CB$4)</f>
        <v>0.9</v>
      </c>
      <c r="AY18" s="566">
        <f>IF(ISNUMBER(System!$C19),PlotData!V19+ Normalkraft!$E$2*$AF$1*V18,PlotData!$CB$4)</f>
        <v>0.9</v>
      </c>
      <c r="AZ18" s="566">
        <f>IF(ISNUMBER(System!$C19),PlotData!W19+ Normalkraft!$E$2*$AF$1*W18,PlotData!$CB$4)</f>
        <v>0.9</v>
      </c>
      <c r="BA18" s="566">
        <f>IF(ISNUMBER(System!$C19),PlotData!X19+ Normalkraft!$E$2*$AF$1*X18,PlotData!$CB$4)</f>
        <v>0.9</v>
      </c>
      <c r="BB18" s="567">
        <f>IF(ISNUMBER(System!$C19),PlotData!Y19+Normalkraft!$E$2*$AF$1*Y18,PlotData!$CB$4)</f>
        <v>0.9</v>
      </c>
      <c r="BC18" s="565">
        <f>IF(ISNUMBER(System!$C19),PlotData!Y19, PlotData!CB$4)</f>
        <v>0.9</v>
      </c>
      <c r="BD18" s="566">
        <f>IF(ISNUMBER(System!$C19),PlotData!O19, PlotData!$CB$4)</f>
        <v>0.9</v>
      </c>
      <c r="BE18" s="567">
        <f>IF(ISNUMBER(System!$C19), AR18,PlotData!$CB$4)</f>
        <v>0.9</v>
      </c>
    </row>
    <row r="19" spans="1:60" x14ac:dyDescent="0.35">
      <c r="A19" s="564">
        <v>17</v>
      </c>
      <c r="B19" s="581">
        <v>0</v>
      </c>
      <c r="C19" s="582">
        <v>0</v>
      </c>
      <c r="D19" s="582">
        <v>0</v>
      </c>
      <c r="E19" s="582">
        <v>0</v>
      </c>
      <c r="F19" s="582">
        <v>0</v>
      </c>
      <c r="G19" s="582">
        <v>0</v>
      </c>
      <c r="H19" s="582">
        <v>0</v>
      </c>
      <c r="I19" s="582">
        <v>0</v>
      </c>
      <c r="J19" s="582">
        <v>0</v>
      </c>
      <c r="K19" s="582">
        <v>0</v>
      </c>
      <c r="L19" s="583">
        <v>0</v>
      </c>
      <c r="N19" s="564">
        <v>17</v>
      </c>
      <c r="O19" s="565">
        <v>0</v>
      </c>
      <c r="P19" s="566">
        <v>0</v>
      </c>
      <c r="Q19" s="566">
        <v>0</v>
      </c>
      <c r="R19" s="566">
        <v>0</v>
      </c>
      <c r="S19" s="566">
        <v>0</v>
      </c>
      <c r="T19" s="566">
        <v>0</v>
      </c>
      <c r="U19" s="566">
        <v>0</v>
      </c>
      <c r="V19" s="566">
        <v>0</v>
      </c>
      <c r="W19" s="566">
        <v>0</v>
      </c>
      <c r="X19" s="566">
        <v>0</v>
      </c>
      <c r="Y19" s="567">
        <v>0</v>
      </c>
      <c r="AA19" s="569">
        <v>17</v>
      </c>
      <c r="AB19" s="565">
        <f>IF(ISNUMBER(System!$C20),PlotData!B20+ Normalkraft!$E$2*$AF$1*B19,PlotData!$CB$3)</f>
        <v>-5.55</v>
      </c>
      <c r="AC19" s="566">
        <f>IF(ISNUMBER(System!$C20),PlotData!C20+ Normalkraft!$E$2*$AF$1*C19,PlotData!$CB$3)</f>
        <v>-5.58</v>
      </c>
      <c r="AD19" s="566">
        <f>IF(ISNUMBER(System!$C20),PlotData!D20+ Normalkraft!$E$2*$AF$1*D19,PlotData!$CB$3)</f>
        <v>-5.61</v>
      </c>
      <c r="AE19" s="566">
        <f>IF(ISNUMBER(System!$C20),PlotData!E20+ Normalkraft!$E$2*$AF$1*E19,PlotData!$CB$3)</f>
        <v>-5.6400000000000006</v>
      </c>
      <c r="AF19" s="566">
        <f>IF(ISNUMBER(System!$C20),PlotData!F20+Normalkraft!$E$2* $AF$1*F19,PlotData!$CB$3)</f>
        <v>-5.6700000000000008</v>
      </c>
      <c r="AG19" s="566">
        <f>IF(ISNUMBER(System!$C20),PlotData!G20+ Normalkraft!$E$2*$AF$1*G19,PlotData!$CB$3)</f>
        <v>-5.7000000000000011</v>
      </c>
      <c r="AH19" s="566">
        <f>IF(ISNUMBER(System!$C20),PlotData!H20+ Normalkraft!$E$2*$AF$1*H19,PlotData!$CB$3)</f>
        <v>-5.7300000000000013</v>
      </c>
      <c r="AI19" s="566">
        <f>IF(ISNUMBER(System!$C20),PlotData!I20+ Normalkraft!$E$2*$AF$1*I19,PlotData!$CB$3)</f>
        <v>-5.7600000000000016</v>
      </c>
      <c r="AJ19" s="566">
        <f>IF(ISNUMBER(System!$C20),PlotData!J20+ Normalkraft!$E$2*$AF$1*J19,PlotData!$CB$3)</f>
        <v>-5.7900000000000018</v>
      </c>
      <c r="AK19" s="566">
        <f>IF(ISNUMBER(System!$C20),PlotData!K20+Normalkraft!$E$2* $AF$1*K19,PlotData!$CB$3)</f>
        <v>-5.8200000000000021</v>
      </c>
      <c r="AL19" s="567">
        <f>IF(ISNUMBER(System!$C20),PlotData!L20+Normalkraft!$E$2* $AF$1*L19,PlotData!$CB$3)</f>
        <v>-5.8500000000000023</v>
      </c>
      <c r="AM19" s="565">
        <f>IF(ISNUMBER(System!$C20),PlotData!L20,PlotData!$CB$3)</f>
        <v>-5.8500000000000023</v>
      </c>
      <c r="AN19" s="566">
        <f>IF(ISNUMBER(System!$C20),PlotData!B20,PlotData!$CB$3)</f>
        <v>-5.55</v>
      </c>
      <c r="AO19" s="447">
        <f>IF(ISNUMBER(System!$C20),AB19,PlotData!$CB$3)</f>
        <v>-5.55</v>
      </c>
      <c r="AQ19" s="568">
        <v>17</v>
      </c>
      <c r="AR19" s="565">
        <f>IF(ISNUMBER(System!$C20),PlotData!O20+ Normalkraft!$E$2*$AF$1*O19,PlotData!$CB$4)</f>
        <v>2.85</v>
      </c>
      <c r="AS19" s="566">
        <f>IF(ISNUMBER(System!$C20),PlotData!P20+ Normalkraft!$E$2*$AF$1*P19,PlotData!$CB$4)</f>
        <v>2.6550000000000002</v>
      </c>
      <c r="AT19" s="566">
        <f>IF(ISNUMBER(System!$C20),PlotData!Q20+ Normalkraft!$E$2*$AF$1*Q19,PlotData!$CB$4)</f>
        <v>2.4600000000000004</v>
      </c>
      <c r="AU19" s="566">
        <f>IF(ISNUMBER(System!$C20),PlotData!R20+ Normalkraft!$E$2*$AF$1*R19,PlotData!$CB$4)</f>
        <v>2.2650000000000006</v>
      </c>
      <c r="AV19" s="566">
        <f>IF(ISNUMBER(System!$C20),PlotData!S20+Normalkraft!$E$2* $AF$1*S19,PlotData!$CB$4)</f>
        <v>2.0700000000000007</v>
      </c>
      <c r="AW19" s="566">
        <f>IF(ISNUMBER(System!$C20),PlotData!T20+ Normalkraft!$E$2*$AF$1*T19,PlotData!$CB$4)</f>
        <v>1.8750000000000007</v>
      </c>
      <c r="AX19" s="566">
        <f>IF(ISNUMBER(System!$C20),PlotData!U20+Normalkraft!$E$2* $AF$1*U19,PlotData!$CB$4)</f>
        <v>1.6800000000000006</v>
      </c>
      <c r="AY19" s="566">
        <f>IF(ISNUMBER(System!$C20),PlotData!V20+ Normalkraft!$E$2*$AF$1*V19,PlotData!$CB$4)</f>
        <v>1.4850000000000005</v>
      </c>
      <c r="AZ19" s="566">
        <f>IF(ISNUMBER(System!$C20),PlotData!W20+ Normalkraft!$E$2*$AF$1*W19,PlotData!$CB$4)</f>
        <v>1.2900000000000005</v>
      </c>
      <c r="BA19" s="566">
        <f>IF(ISNUMBER(System!$C20),PlotData!X20+ Normalkraft!$E$2*$AF$1*X19,PlotData!$CB$4)</f>
        <v>1.0950000000000004</v>
      </c>
      <c r="BB19" s="567">
        <f>IF(ISNUMBER(System!$C20),PlotData!Y20+Normalkraft!$E$2*$AF$1*Y19,PlotData!$CB$4)</f>
        <v>0.90000000000000036</v>
      </c>
      <c r="BC19" s="565">
        <f>IF(ISNUMBER(System!$C20),PlotData!Y20, PlotData!CB$4)</f>
        <v>0.90000000000000036</v>
      </c>
      <c r="BD19" s="566">
        <f>IF(ISNUMBER(System!$C20),PlotData!O20, PlotData!$CB$4)</f>
        <v>2.85</v>
      </c>
      <c r="BE19" s="567">
        <f>IF(ISNUMBER(System!$C20), AR19,PlotData!$CB$4)</f>
        <v>2.85</v>
      </c>
    </row>
    <row r="20" spans="1:60" x14ac:dyDescent="0.35">
      <c r="A20" s="564">
        <v>18</v>
      </c>
      <c r="B20" s="581">
        <v>0</v>
      </c>
      <c r="C20" s="582">
        <v>0</v>
      </c>
      <c r="D20" s="582">
        <v>0</v>
      </c>
      <c r="E20" s="582">
        <v>0</v>
      </c>
      <c r="F20" s="582">
        <v>0</v>
      </c>
      <c r="G20" s="582">
        <v>0</v>
      </c>
      <c r="H20" s="582">
        <v>0</v>
      </c>
      <c r="I20" s="582">
        <v>0</v>
      </c>
      <c r="J20" s="582">
        <v>0</v>
      </c>
      <c r="K20" s="582">
        <v>0</v>
      </c>
      <c r="L20" s="583">
        <v>0</v>
      </c>
      <c r="N20" s="564">
        <v>18</v>
      </c>
      <c r="O20" s="565">
        <v>0</v>
      </c>
      <c r="P20" s="566">
        <v>0</v>
      </c>
      <c r="Q20" s="566">
        <v>0</v>
      </c>
      <c r="R20" s="566">
        <v>0</v>
      </c>
      <c r="S20" s="566">
        <v>0</v>
      </c>
      <c r="T20" s="566">
        <v>0</v>
      </c>
      <c r="U20" s="566">
        <v>0</v>
      </c>
      <c r="V20" s="566">
        <v>0</v>
      </c>
      <c r="W20" s="566">
        <v>0</v>
      </c>
      <c r="X20" s="566">
        <v>0</v>
      </c>
      <c r="Y20" s="567">
        <v>0</v>
      </c>
      <c r="AA20" s="569">
        <v>18</v>
      </c>
      <c r="AB20" s="565">
        <f>IF(ISNUMBER(System!$C21),PlotData!B21+ Normalkraft!$E$2*$AF$1*B20,PlotData!$CB$3)</f>
        <v>-4.6500000000000004</v>
      </c>
      <c r="AC20" s="566">
        <f>IF(ISNUMBER(System!$C21),PlotData!C21+ Normalkraft!$E$2*$AF$1*C20,PlotData!$CB$3)</f>
        <v>-4.62</v>
      </c>
      <c r="AD20" s="566">
        <f>IF(ISNUMBER(System!$C21),PlotData!D21+ Normalkraft!$E$2*$AF$1*D20,PlotData!$CB$3)</f>
        <v>-4.59</v>
      </c>
      <c r="AE20" s="566">
        <f>IF(ISNUMBER(System!$C21),PlotData!E21+ Normalkraft!$E$2*$AF$1*E20,PlotData!$CB$3)</f>
        <v>-4.5599999999999996</v>
      </c>
      <c r="AF20" s="566">
        <f>IF(ISNUMBER(System!$C21),PlotData!F21+Normalkraft!$E$2* $AF$1*F20,PlotData!$CB$3)</f>
        <v>-4.5299999999999994</v>
      </c>
      <c r="AG20" s="566">
        <f>IF(ISNUMBER(System!$C21),PlotData!G21+ Normalkraft!$E$2*$AF$1*G20,PlotData!$CB$3)</f>
        <v>-4.4999999999999991</v>
      </c>
      <c r="AH20" s="566">
        <f>IF(ISNUMBER(System!$C21),PlotData!H21+ Normalkraft!$E$2*$AF$1*H20,PlotData!$CB$3)</f>
        <v>-4.4699999999999989</v>
      </c>
      <c r="AI20" s="566">
        <f>IF(ISNUMBER(System!$C21),PlotData!I21+ Normalkraft!$E$2*$AF$1*I20,PlotData!$CB$3)</f>
        <v>-4.4399999999999986</v>
      </c>
      <c r="AJ20" s="566">
        <f>IF(ISNUMBER(System!$C21),PlotData!J21+ Normalkraft!$E$2*$AF$1*J20,PlotData!$CB$3)</f>
        <v>-4.4099999999999984</v>
      </c>
      <c r="AK20" s="566">
        <f>IF(ISNUMBER(System!$C21),PlotData!K21+Normalkraft!$E$2* $AF$1*K20,PlotData!$CB$3)</f>
        <v>-4.3799999999999981</v>
      </c>
      <c r="AL20" s="567">
        <f>IF(ISNUMBER(System!$C21),PlotData!L21+Normalkraft!$E$2* $AF$1*L20,PlotData!$CB$3)</f>
        <v>-4.3499999999999979</v>
      </c>
      <c r="AM20" s="565">
        <f>IF(ISNUMBER(System!$C21),PlotData!L21,PlotData!$CB$3)</f>
        <v>-4.3499999999999979</v>
      </c>
      <c r="AN20" s="566">
        <f>IF(ISNUMBER(System!$C21),PlotData!B21,PlotData!$CB$3)</f>
        <v>-4.6500000000000004</v>
      </c>
      <c r="AO20" s="447">
        <f>IF(ISNUMBER(System!$C21),AB20,PlotData!$CB$3)</f>
        <v>-4.6500000000000004</v>
      </c>
      <c r="AQ20" s="568">
        <v>18</v>
      </c>
      <c r="AR20" s="565">
        <f>IF(ISNUMBER(System!$C21),PlotData!O21+ Normalkraft!$E$2*$AF$1*O20,PlotData!$CB$4)</f>
        <v>2.85</v>
      </c>
      <c r="AS20" s="566">
        <f>IF(ISNUMBER(System!$C21),PlotData!P21+ Normalkraft!$E$2*$AF$1*P20,PlotData!$CB$4)</f>
        <v>2.6550000000000002</v>
      </c>
      <c r="AT20" s="566">
        <f>IF(ISNUMBER(System!$C21),PlotData!Q21+ Normalkraft!$E$2*$AF$1*Q20,PlotData!$CB$4)</f>
        <v>2.4600000000000004</v>
      </c>
      <c r="AU20" s="566">
        <f>IF(ISNUMBER(System!$C21),PlotData!R21+ Normalkraft!$E$2*$AF$1*R20,PlotData!$CB$4)</f>
        <v>2.2650000000000006</v>
      </c>
      <c r="AV20" s="566">
        <f>IF(ISNUMBER(System!$C21),PlotData!S21+Normalkraft!$E$2* $AF$1*S20,PlotData!$CB$4)</f>
        <v>2.0700000000000007</v>
      </c>
      <c r="AW20" s="566">
        <f>IF(ISNUMBER(System!$C21),PlotData!T21+ Normalkraft!$E$2*$AF$1*T20,PlotData!$CB$4)</f>
        <v>1.8750000000000007</v>
      </c>
      <c r="AX20" s="566">
        <f>IF(ISNUMBER(System!$C21),PlotData!U21+Normalkraft!$E$2* $AF$1*U20,PlotData!$CB$4)</f>
        <v>1.6800000000000006</v>
      </c>
      <c r="AY20" s="566">
        <f>IF(ISNUMBER(System!$C21),PlotData!V21+ Normalkraft!$E$2*$AF$1*V20,PlotData!$CB$4)</f>
        <v>1.4850000000000005</v>
      </c>
      <c r="AZ20" s="566">
        <f>IF(ISNUMBER(System!$C21),PlotData!W21+ Normalkraft!$E$2*$AF$1*W20,PlotData!$CB$4)</f>
        <v>1.2900000000000005</v>
      </c>
      <c r="BA20" s="566">
        <f>IF(ISNUMBER(System!$C21),PlotData!X21+ Normalkraft!$E$2*$AF$1*X20,PlotData!$CB$4)</f>
        <v>1.0950000000000004</v>
      </c>
      <c r="BB20" s="567">
        <f>IF(ISNUMBER(System!$C21),PlotData!Y21+Normalkraft!$E$2*$AF$1*Y20,PlotData!$CB$4)</f>
        <v>0.90000000000000036</v>
      </c>
      <c r="BC20" s="565">
        <f>IF(ISNUMBER(System!$C21),PlotData!Y21, PlotData!CB$4)</f>
        <v>0.90000000000000036</v>
      </c>
      <c r="BD20" s="566">
        <f>IF(ISNUMBER(System!$C21),PlotData!O21, PlotData!$CB$4)</f>
        <v>2.85</v>
      </c>
      <c r="BE20" s="567">
        <f>IF(ISNUMBER(System!$C21), AR20,PlotData!$CB$4)</f>
        <v>2.85</v>
      </c>
    </row>
    <row r="21" spans="1:60" x14ac:dyDescent="0.35">
      <c r="A21" s="564">
        <v>19</v>
      </c>
      <c r="B21" s="581">
        <v>0</v>
      </c>
      <c r="C21" s="582">
        <v>0</v>
      </c>
      <c r="D21" s="582">
        <v>0</v>
      </c>
      <c r="E21" s="582">
        <v>0</v>
      </c>
      <c r="F21" s="582">
        <v>0</v>
      </c>
      <c r="G21" s="582">
        <v>0</v>
      </c>
      <c r="H21" s="582">
        <v>0</v>
      </c>
      <c r="I21" s="582">
        <v>0</v>
      </c>
      <c r="J21" s="582">
        <v>0</v>
      </c>
      <c r="K21" s="582">
        <v>0</v>
      </c>
      <c r="L21" s="583">
        <v>0</v>
      </c>
      <c r="N21" s="564">
        <v>19</v>
      </c>
      <c r="O21" s="565">
        <v>0</v>
      </c>
      <c r="P21" s="566">
        <v>0</v>
      </c>
      <c r="Q21" s="566">
        <v>0</v>
      </c>
      <c r="R21" s="566">
        <v>0</v>
      </c>
      <c r="S21" s="566">
        <v>0</v>
      </c>
      <c r="T21" s="566">
        <v>0</v>
      </c>
      <c r="U21" s="566">
        <v>0</v>
      </c>
      <c r="V21" s="566">
        <v>0</v>
      </c>
      <c r="W21" s="566">
        <v>0</v>
      </c>
      <c r="X21" s="566">
        <v>0</v>
      </c>
      <c r="Y21" s="567">
        <v>0</v>
      </c>
      <c r="AA21" s="569">
        <v>19</v>
      </c>
      <c r="AB21" s="565">
        <f>IF(ISNUMBER(System!$C22),PlotData!B22+ Normalkraft!$E$2*$AF$1*B21,PlotData!$CB$3)</f>
        <v>8.6999999999999993</v>
      </c>
      <c r="AC21" s="566">
        <f>IF(ISNUMBER(System!$C22),PlotData!C22+ Normalkraft!$E$2*$AF$1*C21,PlotData!$CB$3)</f>
        <v>9.0449999999999999</v>
      </c>
      <c r="AD21" s="566">
        <f>IF(ISNUMBER(System!$C22),PlotData!D22+ Normalkraft!$E$2*$AF$1*D21,PlotData!$CB$3)</f>
        <v>9.39</v>
      </c>
      <c r="AE21" s="566">
        <f>IF(ISNUMBER(System!$C22),PlotData!E22+ Normalkraft!$E$2*$AF$1*E21,PlotData!$CB$3)</f>
        <v>9.7350000000000012</v>
      </c>
      <c r="AF21" s="566">
        <f>IF(ISNUMBER(System!$C22),PlotData!F22+Normalkraft!$E$2* $AF$1*F21,PlotData!$CB$3)</f>
        <v>10.080000000000002</v>
      </c>
      <c r="AG21" s="566">
        <f>IF(ISNUMBER(System!$C22),PlotData!G22+ Normalkraft!$E$2*$AF$1*G21,PlotData!$CB$3)</f>
        <v>10.425000000000002</v>
      </c>
      <c r="AH21" s="566">
        <f>IF(ISNUMBER(System!$C22),PlotData!H22+ Normalkraft!$E$2*$AF$1*H21,PlotData!$CB$3)</f>
        <v>10.770000000000003</v>
      </c>
      <c r="AI21" s="566">
        <f>IF(ISNUMBER(System!$C22),PlotData!I22+ Normalkraft!$E$2*$AF$1*I21,PlotData!$CB$3)</f>
        <v>11.115000000000004</v>
      </c>
      <c r="AJ21" s="566">
        <f>IF(ISNUMBER(System!$C22),PlotData!J22+ Normalkraft!$E$2*$AF$1*J21,PlotData!$CB$3)</f>
        <v>11.460000000000004</v>
      </c>
      <c r="AK21" s="566">
        <f>IF(ISNUMBER(System!$C22),PlotData!K22+Normalkraft!$E$2* $AF$1*K21,PlotData!$CB$3)</f>
        <v>11.805000000000005</v>
      </c>
      <c r="AL21" s="567">
        <f>IF(ISNUMBER(System!$C22),PlotData!L22+Normalkraft!$E$2* $AF$1*L21,PlotData!$CB$3)</f>
        <v>12.150000000000006</v>
      </c>
      <c r="AM21" s="565">
        <f>IF(ISNUMBER(System!$C22),PlotData!L22,PlotData!$CB$3)</f>
        <v>12.150000000000006</v>
      </c>
      <c r="AN21" s="566">
        <f>IF(ISNUMBER(System!$C22),PlotData!B22,PlotData!$CB$3)</f>
        <v>8.6999999999999993</v>
      </c>
      <c r="AO21" s="447">
        <f>IF(ISNUMBER(System!$C22),AB21,PlotData!$CB$3)</f>
        <v>8.6999999999999993</v>
      </c>
      <c r="AQ21" s="568">
        <v>19</v>
      </c>
      <c r="AR21" s="565">
        <f>IF(ISNUMBER(System!$C22),PlotData!O22+ Normalkraft!$E$2*$AF$1*O21,PlotData!$CB$4)</f>
        <v>0.9</v>
      </c>
      <c r="AS21" s="566">
        <f>IF(ISNUMBER(System!$C22),PlotData!P22+ Normalkraft!$E$2*$AF$1*P21,PlotData!$CB$4)</f>
        <v>0.9</v>
      </c>
      <c r="AT21" s="566">
        <f>IF(ISNUMBER(System!$C22),PlotData!Q22+ Normalkraft!$E$2*$AF$1*Q21,PlotData!$CB$4)</f>
        <v>0.9</v>
      </c>
      <c r="AU21" s="566">
        <f>IF(ISNUMBER(System!$C22),PlotData!R22+ Normalkraft!$E$2*$AF$1*R21,PlotData!$CB$4)</f>
        <v>0.9</v>
      </c>
      <c r="AV21" s="566">
        <f>IF(ISNUMBER(System!$C22),PlotData!S22+Normalkraft!$E$2* $AF$1*S21,PlotData!$CB$4)</f>
        <v>0.9</v>
      </c>
      <c r="AW21" s="566">
        <f>IF(ISNUMBER(System!$C22),PlotData!T22+ Normalkraft!$E$2*$AF$1*T21,PlotData!$CB$4)</f>
        <v>0.9</v>
      </c>
      <c r="AX21" s="566">
        <f>IF(ISNUMBER(System!$C22),PlotData!U22+Normalkraft!$E$2* $AF$1*U21,PlotData!$CB$4)</f>
        <v>0.9</v>
      </c>
      <c r="AY21" s="566">
        <f>IF(ISNUMBER(System!$C22),PlotData!V22+ Normalkraft!$E$2*$AF$1*V21,PlotData!$CB$4)</f>
        <v>0.9</v>
      </c>
      <c r="AZ21" s="566">
        <f>IF(ISNUMBER(System!$C22),PlotData!W22+ Normalkraft!$E$2*$AF$1*W21,PlotData!$CB$4)</f>
        <v>0.9</v>
      </c>
      <c r="BA21" s="566">
        <f>IF(ISNUMBER(System!$C22),PlotData!X22+ Normalkraft!$E$2*$AF$1*X21,PlotData!$CB$4)</f>
        <v>0.9</v>
      </c>
      <c r="BB21" s="567">
        <f>IF(ISNUMBER(System!$C22),PlotData!Y22+Normalkraft!$E$2*$AF$1*Y21,PlotData!$CB$4)</f>
        <v>0.9</v>
      </c>
      <c r="BC21" s="565">
        <f>IF(ISNUMBER(System!$C22),PlotData!Y22, PlotData!CB$4)</f>
        <v>0.9</v>
      </c>
      <c r="BD21" s="566">
        <f>IF(ISNUMBER(System!$C22),PlotData!O22, PlotData!$CB$4)</f>
        <v>0.9</v>
      </c>
      <c r="BE21" s="567">
        <f>IF(ISNUMBER(System!$C22), AR21,PlotData!$CB$4)</f>
        <v>0.9</v>
      </c>
      <c r="BH21" s="425" t="e">
        <f>aufrunden</f>
        <v>#NAME?</v>
      </c>
    </row>
    <row r="22" spans="1:60" x14ac:dyDescent="0.35">
      <c r="A22" s="575">
        <v>20</v>
      </c>
      <c r="B22" s="625">
        <v>0</v>
      </c>
      <c r="C22" s="626">
        <v>0</v>
      </c>
      <c r="D22" s="626">
        <v>0</v>
      </c>
      <c r="E22" s="626">
        <v>0</v>
      </c>
      <c r="F22" s="626">
        <v>0</v>
      </c>
      <c r="G22" s="626">
        <v>0</v>
      </c>
      <c r="H22" s="626">
        <v>0</v>
      </c>
      <c r="I22" s="626">
        <v>0</v>
      </c>
      <c r="J22" s="626">
        <v>0</v>
      </c>
      <c r="K22" s="626">
        <v>0</v>
      </c>
      <c r="L22" s="627">
        <v>0</v>
      </c>
      <c r="N22" s="575">
        <v>20</v>
      </c>
      <c r="O22" s="576">
        <v>0</v>
      </c>
      <c r="P22" s="577">
        <v>0</v>
      </c>
      <c r="Q22" s="577">
        <v>0</v>
      </c>
      <c r="R22" s="577">
        <v>0</v>
      </c>
      <c r="S22" s="577">
        <v>0</v>
      </c>
      <c r="T22" s="577">
        <v>0</v>
      </c>
      <c r="U22" s="577">
        <v>0</v>
      </c>
      <c r="V22" s="577">
        <v>0</v>
      </c>
      <c r="W22" s="577">
        <v>0</v>
      </c>
      <c r="X22" s="577">
        <v>0</v>
      </c>
      <c r="Y22" s="578">
        <v>0</v>
      </c>
      <c r="AA22" s="579">
        <v>20</v>
      </c>
      <c r="AB22" s="565">
        <f>IF(ISNUMBER(System!$C23),PlotData!B23+ Normalkraft!$E$2*$AF$1*B22,PlotData!$CB$3)</f>
        <v>3.38565</v>
      </c>
      <c r="AC22" s="566">
        <f>IF(ISNUMBER(System!$C23),PlotData!C23+ Normalkraft!$E$2*$AF$1*C22,PlotData!$CB$3)</f>
        <v>3.4876852999999999</v>
      </c>
      <c r="AD22" s="566">
        <f>IF(ISNUMBER(System!$C23),PlotData!D23+ Normalkraft!$E$2*$AF$1*D22,PlotData!$CB$3)</f>
        <v>3.5897205999999997</v>
      </c>
      <c r="AE22" s="566">
        <f>IF(ISNUMBER(System!$C23),PlotData!E23+ Normalkraft!$E$2*$AF$1*E22,PlotData!$CB$3)</f>
        <v>3.6917558999999995</v>
      </c>
      <c r="AF22" s="566">
        <f>IF(ISNUMBER(System!$C23),PlotData!F23+Normalkraft!$E$2* $AF$1*F22,PlotData!$CB$3)</f>
        <v>3.7937911999999994</v>
      </c>
      <c r="AG22" s="566">
        <f>IF(ISNUMBER(System!$C23),PlotData!G23+ Normalkraft!$E$2*$AF$1*G22,PlotData!$CB$3)</f>
        <v>3.8958264999999992</v>
      </c>
      <c r="AH22" s="566">
        <f>IF(ISNUMBER(System!$C23),PlotData!H23+ Normalkraft!$E$2*$AF$1*H22,PlotData!$CB$3)</f>
        <v>3.997861799999999</v>
      </c>
      <c r="AI22" s="566">
        <f>IF(ISNUMBER(System!$C23),PlotData!I23+ Normalkraft!$E$2*$AF$1*I22,PlotData!$CB$3)</f>
        <v>4.0998970999999989</v>
      </c>
      <c r="AJ22" s="566">
        <f>IF(ISNUMBER(System!$C23),PlotData!J23+ Normalkraft!$E$2*$AF$1*J22,PlotData!$CB$3)</f>
        <v>4.2019323999999987</v>
      </c>
      <c r="AK22" s="566">
        <f>IF(ISNUMBER(System!$C23),PlotData!K23+Normalkraft!$E$2* $AF$1*K22,PlotData!$CB$3)</f>
        <v>4.3039676999999985</v>
      </c>
      <c r="AL22" s="567">
        <f>IF(ISNUMBER(System!$C23),PlotData!L23+Normalkraft!$E$2* $AF$1*L22,PlotData!$CB$3)</f>
        <v>4.4060029999999983</v>
      </c>
      <c r="AM22" s="565">
        <f>IF(ISNUMBER(System!$C23),PlotData!L23,PlotData!$CB$3)</f>
        <v>4.4060029999999983</v>
      </c>
      <c r="AN22" s="566">
        <f>IF(ISNUMBER(System!$C23),PlotData!B23,PlotData!$CB$3)</f>
        <v>3.38565</v>
      </c>
      <c r="AO22" s="447">
        <f>IF(ISNUMBER(System!$C23),AB22,PlotData!$CB$3)</f>
        <v>3.38565</v>
      </c>
      <c r="AQ22" s="608">
        <v>20</v>
      </c>
      <c r="AR22" s="565">
        <f>IF(ISNUMBER(System!$C23),PlotData!O23+ Normalkraft!$E$2*$AF$1*O22,PlotData!$CB$4)</f>
        <v>2.7293310000000002</v>
      </c>
      <c r="AS22" s="566">
        <f>IF(ISNUMBER(System!$C23),PlotData!P23+ Normalkraft!$E$2*$AF$1*P22,PlotData!$CB$4)</f>
        <v>2.7308806000000003</v>
      </c>
      <c r="AT22" s="566">
        <f>IF(ISNUMBER(System!$C23),PlotData!Q23+ Normalkraft!$E$2*$AF$1*Q22,PlotData!$CB$4)</f>
        <v>2.7324302000000005</v>
      </c>
      <c r="AU22" s="566">
        <f>IF(ISNUMBER(System!$C23),PlotData!R23+ Normalkraft!$E$2*$AF$1*R22,PlotData!$CB$4)</f>
        <v>2.7339798000000006</v>
      </c>
      <c r="AV22" s="566">
        <f>IF(ISNUMBER(System!$C23),PlotData!S23+Normalkraft!$E$2* $AF$1*S22,PlotData!$CB$4)</f>
        <v>2.7355294000000008</v>
      </c>
      <c r="AW22" s="566">
        <f>IF(ISNUMBER(System!$C23),PlotData!T23+ Normalkraft!$E$2*$AF$1*T22,PlotData!$CB$4)</f>
        <v>2.7370790000000009</v>
      </c>
      <c r="AX22" s="566">
        <f>IF(ISNUMBER(System!$C23),PlotData!U23+Normalkraft!$E$2* $AF$1*U22,PlotData!$CB$4)</f>
        <v>2.7386286000000011</v>
      </c>
      <c r="AY22" s="566">
        <f>IF(ISNUMBER(System!$C23),PlotData!V23+ Normalkraft!$E$2*$AF$1*V22,PlotData!$CB$4)</f>
        <v>2.7401782000000012</v>
      </c>
      <c r="AZ22" s="566">
        <f>IF(ISNUMBER(System!$C23),PlotData!W23+ Normalkraft!$E$2*$AF$1*W22,PlotData!$CB$4)</f>
        <v>2.7417278000000014</v>
      </c>
      <c r="BA22" s="566">
        <f>IF(ISNUMBER(System!$C23),PlotData!X23+ Normalkraft!$E$2*$AF$1*X22,PlotData!$CB$4)</f>
        <v>2.7432774000000015</v>
      </c>
      <c r="BB22" s="567">
        <f>IF(ISNUMBER(System!$C23),PlotData!Y23+Normalkraft!$E$2*$AF$1*Y22,PlotData!$CB$4)</f>
        <v>2.7448270000000017</v>
      </c>
      <c r="BC22" s="565">
        <f>IF(ISNUMBER(System!$C23),PlotData!Y23, PlotData!CB$4)</f>
        <v>2.7448270000000017</v>
      </c>
      <c r="BD22" s="566">
        <f>IF(ISNUMBER(System!$C23),PlotData!O23, PlotData!$CB$4)</f>
        <v>2.7293310000000002</v>
      </c>
      <c r="BE22" s="567">
        <f>IF(ISNUMBER(System!$C23), AR22,PlotData!$CB$4)</f>
        <v>2.7293310000000002</v>
      </c>
    </row>
    <row r="23" spans="1:60" x14ac:dyDescent="0.35">
      <c r="A23" s="564">
        <v>21</v>
      </c>
      <c r="B23" s="581">
        <v>0</v>
      </c>
      <c r="C23" s="582">
        <v>0</v>
      </c>
      <c r="D23" s="582">
        <v>0</v>
      </c>
      <c r="E23" s="582">
        <v>0</v>
      </c>
      <c r="F23" s="582">
        <v>0</v>
      </c>
      <c r="G23" s="582">
        <v>0</v>
      </c>
      <c r="H23" s="582">
        <v>0</v>
      </c>
      <c r="I23" s="582">
        <v>0</v>
      </c>
      <c r="J23" s="582">
        <v>0</v>
      </c>
      <c r="K23" s="582">
        <v>0</v>
      </c>
      <c r="L23" s="583">
        <v>0</v>
      </c>
      <c r="N23" s="564">
        <v>21</v>
      </c>
      <c r="O23" s="565">
        <v>0</v>
      </c>
      <c r="P23" s="566">
        <v>0</v>
      </c>
      <c r="Q23" s="566">
        <v>0</v>
      </c>
      <c r="R23" s="566">
        <v>0</v>
      </c>
      <c r="S23" s="566">
        <v>0</v>
      </c>
      <c r="T23" s="566">
        <v>0</v>
      </c>
      <c r="U23" s="566">
        <v>0</v>
      </c>
      <c r="V23" s="566">
        <v>0</v>
      </c>
      <c r="W23" s="566">
        <v>0</v>
      </c>
      <c r="X23" s="566">
        <v>0</v>
      </c>
      <c r="Y23" s="567">
        <v>0</v>
      </c>
      <c r="AA23" s="580">
        <v>21</v>
      </c>
      <c r="AB23" s="565">
        <f>IF(ISNUMBER(System!$C24),PlotData!B24+ Normalkraft!$E$2*$AF$1*B23,PlotData!$CB$3)</f>
        <v>12.15</v>
      </c>
      <c r="AC23" s="566">
        <f>IF(ISNUMBER(System!$C24),PlotData!C24+ Normalkraft!$E$2*$AF$1*C23,PlotData!$CB$3)</f>
        <v>12.4950817</v>
      </c>
      <c r="AD23" s="566">
        <f>IF(ISNUMBER(System!$C24),PlotData!D24+ Normalkraft!$E$2*$AF$1*D23,PlotData!$CB$3)</f>
        <v>12.8401634</v>
      </c>
      <c r="AE23" s="566">
        <f>IF(ISNUMBER(System!$C24),PlotData!E24+ Normalkraft!$E$2*$AF$1*E23,PlotData!$CB$3)</f>
        <v>13.185245099999999</v>
      </c>
      <c r="AF23" s="566">
        <f>IF(ISNUMBER(System!$C24),PlotData!F24+Normalkraft!$E$2* $AF$1*F23,PlotData!$CB$3)</f>
        <v>13.530326799999999</v>
      </c>
      <c r="AG23" s="566">
        <f>IF(ISNUMBER(System!$C24),PlotData!G24+ Normalkraft!$E$2*$AF$1*G23,PlotData!$CB$3)</f>
        <v>13.875408499999999</v>
      </c>
      <c r="AH23" s="566">
        <f>IF(ISNUMBER(System!$C24),PlotData!H24+ Normalkraft!$E$2*$AF$1*H23,PlotData!$CB$3)</f>
        <v>14.220490199999999</v>
      </c>
      <c r="AI23" s="566">
        <f>IF(ISNUMBER(System!$C24),PlotData!I24+ Normalkraft!$E$2*$AF$1*I23,PlotData!$CB$3)</f>
        <v>14.565571899999998</v>
      </c>
      <c r="AJ23" s="566">
        <f>IF(ISNUMBER(System!$C24),PlotData!J24+ Normalkraft!$E$2*$AF$1*J23,PlotData!$CB$3)</f>
        <v>14.910653599999998</v>
      </c>
      <c r="AK23" s="566">
        <f>IF(ISNUMBER(System!$C24),PlotData!K24+Normalkraft!$E$2* $AF$1*K23,PlotData!$CB$3)</f>
        <v>15.255735299999998</v>
      </c>
      <c r="AL23" s="567">
        <f>IF(ISNUMBER(System!$C24),PlotData!L24+Normalkraft!$E$2* $AF$1*L23,PlotData!$CB$3)</f>
        <v>15.600816999999997</v>
      </c>
      <c r="AM23" s="565">
        <f>IF(ISNUMBER(System!$C24),PlotData!L24,PlotData!$CB$3)</f>
        <v>15.600816999999997</v>
      </c>
      <c r="AN23" s="566">
        <f>IF(ISNUMBER(System!$C24),PlotData!B24,PlotData!$CB$3)</f>
        <v>12.15</v>
      </c>
      <c r="AO23" s="447">
        <f>IF(ISNUMBER(System!$C24),AB23,PlotData!$CB$3)</f>
        <v>12.15</v>
      </c>
      <c r="AQ23" s="609">
        <v>21</v>
      </c>
      <c r="AR23" s="565">
        <f>IF(ISNUMBER(System!$C24),PlotData!O24+ Normalkraft!$E$2*$AF$1*O23,PlotData!$CB$4)</f>
        <v>0.9</v>
      </c>
      <c r="AS23" s="566">
        <f>IF(ISNUMBER(System!$C24),PlotData!P24+ Normalkraft!$E$2*$AF$1*P23,PlotData!$CB$4)</f>
        <v>0.89998359999999999</v>
      </c>
      <c r="AT23" s="566">
        <f>IF(ISNUMBER(System!$C24),PlotData!Q24+ Normalkraft!$E$2*$AF$1*Q23,PlotData!$CB$4)</f>
        <v>0.89996719999999997</v>
      </c>
      <c r="AU23" s="566">
        <f>IF(ISNUMBER(System!$C24),PlotData!R24+ Normalkraft!$E$2*$AF$1*R23,PlotData!$CB$4)</f>
        <v>0.89995079999999994</v>
      </c>
      <c r="AV23" s="566">
        <f>IF(ISNUMBER(System!$C24),PlotData!S24+Normalkraft!$E$2* $AF$1*S23,PlotData!$CB$4)</f>
        <v>0.89993439999999991</v>
      </c>
      <c r="AW23" s="566">
        <f>IF(ISNUMBER(System!$C24),PlotData!T24+ Normalkraft!$E$2*$AF$1*T23,PlotData!$CB$4)</f>
        <v>0.89991799999999988</v>
      </c>
      <c r="AX23" s="566">
        <f>IF(ISNUMBER(System!$C24),PlotData!U24+Normalkraft!$E$2* $AF$1*U23,PlotData!$CB$4)</f>
        <v>0.89990159999999986</v>
      </c>
      <c r="AY23" s="566">
        <f>IF(ISNUMBER(System!$C24),PlotData!V24+ Normalkraft!$E$2*$AF$1*V23,PlotData!$CB$4)</f>
        <v>0.89988519999999983</v>
      </c>
      <c r="AZ23" s="566">
        <f>IF(ISNUMBER(System!$C24),PlotData!W24+ Normalkraft!$E$2*$AF$1*W23,PlotData!$CB$4)</f>
        <v>0.8998687999999998</v>
      </c>
      <c r="BA23" s="566">
        <f>IF(ISNUMBER(System!$C24),PlotData!X24+ Normalkraft!$E$2*$AF$1*X23,PlotData!$CB$4)</f>
        <v>0.89985239999999977</v>
      </c>
      <c r="BB23" s="567">
        <f>IF(ISNUMBER(System!$C24),PlotData!Y24+Normalkraft!$E$2*$AF$1*Y23,PlotData!$CB$4)</f>
        <v>0.89983599999999975</v>
      </c>
      <c r="BC23" s="565">
        <f>IF(ISNUMBER(System!$C24),PlotData!Y24, PlotData!CB$4)</f>
        <v>0.89983599999999975</v>
      </c>
      <c r="BD23" s="566">
        <f>IF(ISNUMBER(System!$C24),PlotData!O24, PlotData!$CB$4)</f>
        <v>0.9</v>
      </c>
      <c r="BE23" s="567">
        <f>IF(ISNUMBER(System!$C24), AR23,PlotData!$CB$4)</f>
        <v>0.9</v>
      </c>
    </row>
    <row r="24" spans="1:60" x14ac:dyDescent="0.35">
      <c r="A24" s="564">
        <v>22</v>
      </c>
      <c r="B24" s="581">
        <v>1.5807250274277836E-3</v>
      </c>
      <c r="C24" s="582">
        <v>1.5807250274277836E-3</v>
      </c>
      <c r="D24" s="582">
        <v>1.5807250274277836E-3</v>
      </c>
      <c r="E24" s="582">
        <v>1.5807250274277836E-3</v>
      </c>
      <c r="F24" s="582">
        <v>1.5807250274277836E-3</v>
      </c>
      <c r="G24" s="582">
        <v>1.5807250274277836E-3</v>
      </c>
      <c r="H24" s="582">
        <v>1.5807250274277836E-3</v>
      </c>
      <c r="I24" s="582">
        <v>1.5807250274277836E-3</v>
      </c>
      <c r="J24" s="582">
        <v>1.5807250274277836E-3</v>
      </c>
      <c r="K24" s="582">
        <v>1.5807250274277836E-3</v>
      </c>
      <c r="L24" s="583">
        <v>1.5807250274277836E-3</v>
      </c>
      <c r="N24" s="564">
        <v>22</v>
      </c>
      <c r="O24" s="565">
        <v>2.5291605707927966E-3</v>
      </c>
      <c r="P24" s="566">
        <v>2.5291605707927966E-3</v>
      </c>
      <c r="Q24" s="566">
        <v>2.5291605707927966E-3</v>
      </c>
      <c r="R24" s="566">
        <v>2.5291605707927966E-3</v>
      </c>
      <c r="S24" s="566">
        <v>2.5291605707927966E-3</v>
      </c>
      <c r="T24" s="566">
        <v>2.5291605707927966E-3</v>
      </c>
      <c r="U24" s="566">
        <v>2.5291605707927966E-3</v>
      </c>
      <c r="V24" s="566">
        <v>2.5291605707927966E-3</v>
      </c>
      <c r="W24" s="566">
        <v>2.5291605707927966E-3</v>
      </c>
      <c r="X24" s="566">
        <v>2.5291605707927966E-3</v>
      </c>
      <c r="Y24" s="567">
        <v>2.5291605707927966E-3</v>
      </c>
      <c r="AA24" s="580">
        <v>22</v>
      </c>
      <c r="AB24" s="565">
        <f>IF(ISNUMBER(System!$C25),PlotData!B25+ Normalkraft!$E$2*$AF$1*B24,PlotData!$CB$3)</f>
        <v>12.150026873585377</v>
      </c>
      <c r="AC24" s="566">
        <f>IF(ISNUMBER(System!$C25),PlotData!C25+ Normalkraft!$E$2*$AF$1*C24,PlotData!$CB$3)</f>
        <v>12.630026973585377</v>
      </c>
      <c r="AD24" s="566">
        <f>IF(ISNUMBER(System!$C25),PlotData!D25+ Normalkraft!$E$2*$AF$1*D24,PlotData!$CB$3)</f>
        <v>13.110027073585377</v>
      </c>
      <c r="AE24" s="566">
        <f>IF(ISNUMBER(System!$C25),PlotData!E25+ Normalkraft!$E$2*$AF$1*E24,PlotData!$CB$3)</f>
        <v>13.590027173585376</v>
      </c>
      <c r="AF24" s="566">
        <f>IF(ISNUMBER(System!$C25),PlotData!F25+Normalkraft!$E$2* $AF$1*F24,PlotData!$CB$3)</f>
        <v>14.070027273585376</v>
      </c>
      <c r="AG24" s="566">
        <f>IF(ISNUMBER(System!$C25),PlotData!G25+ Normalkraft!$E$2*$AF$1*G24,PlotData!$CB$3)</f>
        <v>14.550027373585376</v>
      </c>
      <c r="AH24" s="566">
        <f>IF(ISNUMBER(System!$C25),PlotData!H25+ Normalkraft!$E$2*$AF$1*H24,PlotData!$CB$3)</f>
        <v>15.030027473585376</v>
      </c>
      <c r="AI24" s="566">
        <f>IF(ISNUMBER(System!$C25),PlotData!I25+ Normalkraft!$E$2*$AF$1*I24,PlotData!$CB$3)</f>
        <v>15.510027573585376</v>
      </c>
      <c r="AJ24" s="566">
        <f>IF(ISNUMBER(System!$C25),PlotData!J25+ Normalkraft!$E$2*$AF$1*J24,PlotData!$CB$3)</f>
        <v>15.990027673585375</v>
      </c>
      <c r="AK24" s="566">
        <f>IF(ISNUMBER(System!$C25),PlotData!K25+Normalkraft!$E$2* $AF$1*K24,PlotData!$CB$3)</f>
        <v>16.470027773585375</v>
      </c>
      <c r="AL24" s="567">
        <f>IF(ISNUMBER(System!$C25),PlotData!L25+Normalkraft!$E$2* $AF$1*L24,PlotData!$CB$3)</f>
        <v>16.950027873585377</v>
      </c>
      <c r="AM24" s="565">
        <f>IF(ISNUMBER(System!$C25),PlotData!L25,PlotData!$CB$3)</f>
        <v>16.950001</v>
      </c>
      <c r="AN24" s="566">
        <f>IF(ISNUMBER(System!$C25),PlotData!B25,PlotData!$CB$3)</f>
        <v>12.15</v>
      </c>
      <c r="AO24" s="447">
        <f>IF(ISNUMBER(System!$C25),AB24,PlotData!$CB$3)</f>
        <v>12.150026873585377</v>
      </c>
      <c r="AQ24" s="609">
        <v>22</v>
      </c>
      <c r="AR24" s="565">
        <f>IF(ISNUMBER(System!$C25),PlotData!O25+ Normalkraft!$E$2*$AF$1*O24,PlotData!$CB$4)</f>
        <v>0.90004299774556085</v>
      </c>
      <c r="AS24" s="566">
        <f>IF(ISNUMBER(System!$C25),PlotData!P25+ Normalkraft!$E$2*$AF$1*P24,PlotData!$CB$4)</f>
        <v>0.6000429977455608</v>
      </c>
      <c r="AT24" s="566">
        <f>IF(ISNUMBER(System!$C25),PlotData!Q25+ Normalkraft!$E$2*$AF$1*Q24,PlotData!$CB$4)</f>
        <v>0.30004299774556081</v>
      </c>
      <c r="AU24" s="566">
        <f>IF(ISNUMBER(System!$C25),PlotData!R25+ Normalkraft!$E$2*$AF$1*R24,PlotData!$CB$4)</f>
        <v>4.2997745560758694E-5</v>
      </c>
      <c r="AV24" s="566">
        <f>IF(ISNUMBER(System!$C25),PlotData!S25+Normalkraft!$E$2* $AF$1*S24,PlotData!$CB$4)</f>
        <v>-0.29995700225443928</v>
      </c>
      <c r="AW24" s="566">
        <f>IF(ISNUMBER(System!$C25),PlotData!T25+ Normalkraft!$E$2*$AF$1*T24,PlotData!$CB$4)</f>
        <v>-0.59995700225443938</v>
      </c>
      <c r="AX24" s="566">
        <f>IF(ISNUMBER(System!$C25),PlotData!U25+Normalkraft!$E$2* $AF$1*U24,PlotData!$CB$4)</f>
        <v>-0.89995700225443942</v>
      </c>
      <c r="AY24" s="566">
        <f>IF(ISNUMBER(System!$C25),PlotData!V25+ Normalkraft!$E$2*$AF$1*V24,PlotData!$CB$4)</f>
        <v>-1.1999570022544392</v>
      </c>
      <c r="AZ24" s="566">
        <f>IF(ISNUMBER(System!$C25),PlotData!W25+ Normalkraft!$E$2*$AF$1*W24,PlotData!$CB$4)</f>
        <v>-1.4999570022544393</v>
      </c>
      <c r="BA24" s="566">
        <f>IF(ISNUMBER(System!$C25),PlotData!X25+ Normalkraft!$E$2*$AF$1*X24,PlotData!$CB$4)</f>
        <v>-1.7999570022544393</v>
      </c>
      <c r="BB24" s="567">
        <f>IF(ISNUMBER(System!$C25),PlotData!Y25+Normalkraft!$E$2*$AF$1*Y24,PlotData!$CB$4)</f>
        <v>-2.0999570022544396</v>
      </c>
      <c r="BC24" s="565">
        <f>IF(ISNUMBER(System!$C25),PlotData!Y25, PlotData!CB$4)</f>
        <v>-2.1000000000000005</v>
      </c>
      <c r="BD24" s="566">
        <f>IF(ISNUMBER(System!$C25),PlotData!O25, PlotData!$CB$4)</f>
        <v>0.9</v>
      </c>
      <c r="BE24" s="567">
        <f>IF(ISNUMBER(System!$C25), AR24,PlotData!$CB$4)</f>
        <v>0.90004299774556085</v>
      </c>
    </row>
    <row r="25" spans="1:60" x14ac:dyDescent="0.35">
      <c r="A25" s="564">
        <v>23</v>
      </c>
      <c r="B25" s="581">
        <v>-1.6034897193397048E-3</v>
      </c>
      <c r="C25" s="582">
        <v>-1.6034897193397048E-3</v>
      </c>
      <c r="D25" s="582">
        <v>-1.6034897193397048E-3</v>
      </c>
      <c r="E25" s="582">
        <v>-1.6034897193397048E-3</v>
      </c>
      <c r="F25" s="582">
        <v>-1.6034897193397048E-3</v>
      </c>
      <c r="G25" s="582">
        <v>-1.6034897193397048E-3</v>
      </c>
      <c r="H25" s="582">
        <v>-1.6034897193397048E-3</v>
      </c>
      <c r="I25" s="582">
        <v>-1.6034897193397048E-3</v>
      </c>
      <c r="J25" s="582">
        <v>-1.6034897193397048E-3</v>
      </c>
      <c r="K25" s="582">
        <v>-1.6034897193397048E-3</v>
      </c>
      <c r="L25" s="583">
        <v>-1.6034897193397048E-3</v>
      </c>
      <c r="N25" s="564">
        <v>23</v>
      </c>
      <c r="O25" s="565">
        <v>2.5655830164469547E-3</v>
      </c>
      <c r="P25" s="566">
        <v>2.5655830164469547E-3</v>
      </c>
      <c r="Q25" s="566">
        <v>2.5655830164469547E-3</v>
      </c>
      <c r="R25" s="566">
        <v>2.5655830164469547E-3</v>
      </c>
      <c r="S25" s="566">
        <v>2.5655830164469547E-3</v>
      </c>
      <c r="T25" s="566">
        <v>2.5655830164469547E-3</v>
      </c>
      <c r="U25" s="566">
        <v>2.5655830164469547E-3</v>
      </c>
      <c r="V25" s="566">
        <v>2.5655830164469547E-3</v>
      </c>
      <c r="W25" s="566">
        <v>2.5655830164469547E-3</v>
      </c>
      <c r="X25" s="566">
        <v>2.5655830164469547E-3</v>
      </c>
      <c r="Y25" s="567">
        <v>2.5655830164469547E-3</v>
      </c>
      <c r="AA25" s="580">
        <v>23</v>
      </c>
      <c r="AB25" s="565">
        <f>IF(ISNUMBER(System!$C26),PlotData!B26+ Normalkraft!$E$2*$AF$1*B25,PlotData!$CB$3)</f>
        <v>21.749972739396718</v>
      </c>
      <c r="AC25" s="566">
        <f>IF(ISNUMBER(System!$C26),PlotData!C26+ Normalkraft!$E$2*$AF$1*C25,PlotData!$CB$3)</f>
        <v>21.269972839396718</v>
      </c>
      <c r="AD25" s="566">
        <f>IF(ISNUMBER(System!$C26),PlotData!D26+ Normalkraft!$E$2*$AF$1*D25,PlotData!$CB$3)</f>
        <v>20.789972939396719</v>
      </c>
      <c r="AE25" s="566">
        <f>IF(ISNUMBER(System!$C26),PlotData!E26+ Normalkraft!$E$2*$AF$1*E25,PlotData!$CB$3)</f>
        <v>20.30997303939672</v>
      </c>
      <c r="AF25" s="566">
        <f>IF(ISNUMBER(System!$C26),PlotData!F26+Normalkraft!$E$2* $AF$1*F25,PlotData!$CB$3)</f>
        <v>19.829973139396721</v>
      </c>
      <c r="AG25" s="566">
        <f>IF(ISNUMBER(System!$C26),PlotData!G26+ Normalkraft!$E$2*$AF$1*G25,PlotData!$CB$3)</f>
        <v>19.349973239396721</v>
      </c>
      <c r="AH25" s="566">
        <f>IF(ISNUMBER(System!$C26),PlotData!H26+ Normalkraft!$E$2*$AF$1*H25,PlotData!$CB$3)</f>
        <v>18.869973339396722</v>
      </c>
      <c r="AI25" s="566">
        <f>IF(ISNUMBER(System!$C26),PlotData!I26+ Normalkraft!$E$2*$AF$1*I25,PlotData!$CB$3)</f>
        <v>18.389973439396723</v>
      </c>
      <c r="AJ25" s="566">
        <f>IF(ISNUMBER(System!$C26),PlotData!J26+ Normalkraft!$E$2*$AF$1*J25,PlotData!$CB$3)</f>
        <v>17.909973539396724</v>
      </c>
      <c r="AK25" s="566">
        <f>IF(ISNUMBER(System!$C26),PlotData!K26+Normalkraft!$E$2* $AF$1*K25,PlotData!$CB$3)</f>
        <v>17.429973639396724</v>
      </c>
      <c r="AL25" s="567">
        <f>IF(ISNUMBER(System!$C26),PlotData!L26+Normalkraft!$E$2* $AF$1*L25,PlotData!$CB$3)</f>
        <v>16.949973739396725</v>
      </c>
      <c r="AM25" s="565">
        <f>IF(ISNUMBER(System!$C26),PlotData!L26,PlotData!$CB$3)</f>
        <v>16.950001000000007</v>
      </c>
      <c r="AN25" s="566">
        <f>IF(ISNUMBER(System!$C26),PlotData!B26,PlotData!$CB$3)</f>
        <v>21.75</v>
      </c>
      <c r="AO25" s="447">
        <f>IF(ISNUMBER(System!$C26),AB25,PlotData!$CB$3)</f>
        <v>21.749972739396718</v>
      </c>
      <c r="AQ25" s="609">
        <v>23</v>
      </c>
      <c r="AR25" s="565">
        <f>IF(ISNUMBER(System!$C26),PlotData!O26+ Normalkraft!$E$2*$AF$1*O25,PlotData!$CB$4)</f>
        <v>0.90004361695616741</v>
      </c>
      <c r="AS25" s="566">
        <f>IF(ISNUMBER(System!$C26),PlotData!P26+ Normalkraft!$E$2*$AF$1*P25,PlotData!$CB$4)</f>
        <v>0.60004361695616737</v>
      </c>
      <c r="AT25" s="566">
        <f>IF(ISNUMBER(System!$C26),PlotData!Q26+ Normalkraft!$E$2*$AF$1*Q25,PlotData!$CB$4)</f>
        <v>0.30004361695616727</v>
      </c>
      <c r="AU25" s="566">
        <f>IF(ISNUMBER(System!$C26),PlotData!R26+ Normalkraft!$E$2*$AF$1*R25,PlotData!$CB$4)</f>
        <v>4.3616956167245096E-5</v>
      </c>
      <c r="AV25" s="566">
        <f>IF(ISNUMBER(System!$C26),PlotData!S26+Normalkraft!$E$2* $AF$1*S25,PlotData!$CB$4)</f>
        <v>-0.29995638304383282</v>
      </c>
      <c r="AW25" s="566">
        <f>IF(ISNUMBER(System!$C26),PlotData!T26+ Normalkraft!$E$2*$AF$1*T25,PlotData!$CB$4)</f>
        <v>-0.59995638304383281</v>
      </c>
      <c r="AX25" s="566">
        <f>IF(ISNUMBER(System!$C26),PlotData!U26+Normalkraft!$E$2* $AF$1*U25,PlotData!$CB$4)</f>
        <v>-0.89995638304383285</v>
      </c>
      <c r="AY25" s="566">
        <f>IF(ISNUMBER(System!$C26),PlotData!V26+ Normalkraft!$E$2*$AF$1*V25,PlotData!$CB$4)</f>
        <v>-1.1999563830438329</v>
      </c>
      <c r="AZ25" s="566">
        <f>IF(ISNUMBER(System!$C26),PlotData!W26+ Normalkraft!$E$2*$AF$1*W25,PlotData!$CB$4)</f>
        <v>-1.4999563830438329</v>
      </c>
      <c r="BA25" s="566">
        <f>IF(ISNUMBER(System!$C26),PlotData!X26+ Normalkraft!$E$2*$AF$1*X25,PlotData!$CB$4)</f>
        <v>-1.799956383043833</v>
      </c>
      <c r="BB25" s="567">
        <f>IF(ISNUMBER(System!$C26),PlotData!Y26+Normalkraft!$E$2*$AF$1*Y25,PlotData!$CB$4)</f>
        <v>-2.0999563830438333</v>
      </c>
      <c r="BC25" s="565">
        <f>IF(ISNUMBER(System!$C26),PlotData!Y26, PlotData!CB$4)</f>
        <v>-2.1000000000000005</v>
      </c>
      <c r="BD25" s="566">
        <f>IF(ISNUMBER(System!$C26),PlotData!O26, PlotData!$CB$4)</f>
        <v>0.9</v>
      </c>
      <c r="BE25" s="567">
        <f>IF(ISNUMBER(System!$C26), AR25,PlotData!$CB$4)</f>
        <v>0.90004361695616741</v>
      </c>
    </row>
    <row r="26" spans="1:60" x14ac:dyDescent="0.35">
      <c r="A26" s="564">
        <v>24</v>
      </c>
      <c r="B26" s="581">
        <v>0</v>
      </c>
      <c r="C26" s="582">
        <v>0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3">
        <v>0</v>
      </c>
      <c r="N26" s="564">
        <v>24</v>
      </c>
      <c r="O26" s="565">
        <v>0</v>
      </c>
      <c r="P26" s="566">
        <v>0</v>
      </c>
      <c r="Q26" s="566">
        <v>0</v>
      </c>
      <c r="R26" s="566">
        <v>0</v>
      </c>
      <c r="S26" s="566">
        <v>0</v>
      </c>
      <c r="T26" s="566">
        <v>0</v>
      </c>
      <c r="U26" s="566">
        <v>0</v>
      </c>
      <c r="V26" s="566">
        <v>0</v>
      </c>
      <c r="W26" s="566">
        <v>0</v>
      </c>
      <c r="X26" s="566">
        <v>0</v>
      </c>
      <c r="Y26" s="567">
        <v>0</v>
      </c>
      <c r="AA26" s="580">
        <v>24</v>
      </c>
      <c r="AB26" s="565">
        <f>IF(ISNUMBER(System!$C27),PlotData!B27+ Normalkraft!$E$2*$AF$1*B26,PlotData!$CB$3)</f>
        <v>16.950001</v>
      </c>
      <c r="AC26" s="566">
        <f>IF(ISNUMBER(System!$C27),PlotData!C27+ Normalkraft!$E$2*$AF$1*C26,PlotData!$CB$3)</f>
        <v>17.087176500000002</v>
      </c>
      <c r="AD26" s="566">
        <f>IF(ISNUMBER(System!$C27),PlotData!D27+ Normalkraft!$E$2*$AF$1*D26,PlotData!$CB$3)</f>
        <v>17.224352000000003</v>
      </c>
      <c r="AE26" s="566">
        <f>IF(ISNUMBER(System!$C27),PlotData!E27+ Normalkraft!$E$2*$AF$1*E26,PlotData!$CB$3)</f>
        <v>17.361527500000005</v>
      </c>
      <c r="AF26" s="566">
        <f>IF(ISNUMBER(System!$C27),PlotData!F27+Normalkraft!$E$2* $AF$1*F26,PlotData!$CB$3)</f>
        <v>17.498703000000006</v>
      </c>
      <c r="AG26" s="566">
        <f>IF(ISNUMBER(System!$C27),PlotData!G27+ Normalkraft!$E$2*$AF$1*G26,PlotData!$CB$3)</f>
        <v>17.635878500000008</v>
      </c>
      <c r="AH26" s="566">
        <f>IF(ISNUMBER(System!$C27),PlotData!H27+ Normalkraft!$E$2*$AF$1*H26,PlotData!$CB$3)</f>
        <v>17.773054000000009</v>
      </c>
      <c r="AI26" s="566">
        <f>IF(ISNUMBER(System!$C27),PlotData!I27+ Normalkraft!$E$2*$AF$1*I26,PlotData!$CB$3)</f>
        <v>17.91022950000001</v>
      </c>
      <c r="AJ26" s="566">
        <f>IF(ISNUMBER(System!$C27),PlotData!J27+ Normalkraft!$E$2*$AF$1*J26,PlotData!$CB$3)</f>
        <v>18.047405000000012</v>
      </c>
      <c r="AK26" s="566">
        <f>IF(ISNUMBER(System!$C27),PlotData!K27+Normalkraft!$E$2* $AF$1*K26,PlotData!$CB$3)</f>
        <v>18.184580500000013</v>
      </c>
      <c r="AL26" s="567">
        <f>IF(ISNUMBER(System!$C27),PlotData!L27+Normalkraft!$E$2* $AF$1*L26,PlotData!$CB$3)</f>
        <v>18.321756000000015</v>
      </c>
      <c r="AM26" s="565">
        <f>IF(ISNUMBER(System!$C27),PlotData!L27,PlotData!$CB$3)</f>
        <v>18.321756000000015</v>
      </c>
      <c r="AN26" s="566">
        <f>IF(ISNUMBER(System!$C27),PlotData!B27,PlotData!$CB$3)</f>
        <v>16.950001</v>
      </c>
      <c r="AO26" s="447">
        <f>IF(ISNUMBER(System!$C27),AB26,PlotData!$CB$3)</f>
        <v>16.950001</v>
      </c>
      <c r="AQ26" s="609">
        <v>24</v>
      </c>
      <c r="AR26" s="565">
        <f>IF(ISNUMBER(System!$C27),PlotData!O27+ Normalkraft!$E$2*$AF$1*O26,PlotData!$CB$4)</f>
        <v>0.9</v>
      </c>
      <c r="AS26" s="566">
        <f>IF(ISNUMBER(System!$C27),PlotData!P27+ Normalkraft!$E$2*$AF$1*P26,PlotData!$CB$4)</f>
        <v>0.89998359999999999</v>
      </c>
      <c r="AT26" s="566">
        <f>IF(ISNUMBER(System!$C27),PlotData!Q27+ Normalkraft!$E$2*$AF$1*Q26,PlotData!$CB$4)</f>
        <v>0.89996719999999997</v>
      </c>
      <c r="AU26" s="566">
        <f>IF(ISNUMBER(System!$C27),PlotData!R27+ Normalkraft!$E$2*$AF$1*R26,PlotData!$CB$4)</f>
        <v>0.89995079999999994</v>
      </c>
      <c r="AV26" s="566">
        <f>IF(ISNUMBER(System!$C27),PlotData!S27+Normalkraft!$E$2* $AF$1*S26,PlotData!$CB$4)</f>
        <v>0.89993439999999991</v>
      </c>
      <c r="AW26" s="566">
        <f>IF(ISNUMBER(System!$C27),PlotData!T27+ Normalkraft!$E$2*$AF$1*T26,PlotData!$CB$4)</f>
        <v>0.89991799999999988</v>
      </c>
      <c r="AX26" s="566">
        <f>IF(ISNUMBER(System!$C27),PlotData!U27+Normalkraft!$E$2* $AF$1*U26,PlotData!$CB$4)</f>
        <v>0.89990159999999986</v>
      </c>
      <c r="AY26" s="566">
        <f>IF(ISNUMBER(System!$C27),PlotData!V27+ Normalkraft!$E$2*$AF$1*V26,PlotData!$CB$4)</f>
        <v>0.89988519999999983</v>
      </c>
      <c r="AZ26" s="566">
        <f>IF(ISNUMBER(System!$C27),PlotData!W27+ Normalkraft!$E$2*$AF$1*W26,PlotData!$CB$4)</f>
        <v>0.8998687999999998</v>
      </c>
      <c r="BA26" s="566">
        <f>IF(ISNUMBER(System!$C27),PlotData!X27+ Normalkraft!$E$2*$AF$1*X26,PlotData!$CB$4)</f>
        <v>0.89985239999999977</v>
      </c>
      <c r="BB26" s="567">
        <f>IF(ISNUMBER(System!$C27),PlotData!Y27+Normalkraft!$E$2*$AF$1*Y26,PlotData!$CB$4)</f>
        <v>0.89983599999999975</v>
      </c>
      <c r="BC26" s="565">
        <f>IF(ISNUMBER(System!$C27),PlotData!Y27, PlotData!CB$4)</f>
        <v>0.89983599999999975</v>
      </c>
      <c r="BD26" s="566">
        <f>IF(ISNUMBER(System!$C27),PlotData!O27, PlotData!$CB$4)</f>
        <v>0.9</v>
      </c>
      <c r="BE26" s="567">
        <f>IF(ISNUMBER(System!$C27), AR26,PlotData!$CB$4)</f>
        <v>0.9</v>
      </c>
    </row>
    <row r="27" spans="1:60" x14ac:dyDescent="0.35">
      <c r="A27" s="564">
        <v>25</v>
      </c>
      <c r="B27" s="581">
        <v>0</v>
      </c>
      <c r="C27" s="582">
        <v>0</v>
      </c>
      <c r="D27" s="582">
        <v>0</v>
      </c>
      <c r="E27" s="582">
        <v>0</v>
      </c>
      <c r="F27" s="582">
        <v>0</v>
      </c>
      <c r="G27" s="582">
        <v>0</v>
      </c>
      <c r="H27" s="582">
        <v>0</v>
      </c>
      <c r="I27" s="582">
        <v>0</v>
      </c>
      <c r="J27" s="582">
        <v>0</v>
      </c>
      <c r="K27" s="582">
        <v>0</v>
      </c>
      <c r="L27" s="583">
        <v>0</v>
      </c>
      <c r="N27" s="564">
        <v>25</v>
      </c>
      <c r="O27" s="565">
        <v>0</v>
      </c>
      <c r="P27" s="566">
        <v>0</v>
      </c>
      <c r="Q27" s="566">
        <v>0</v>
      </c>
      <c r="R27" s="566">
        <v>0</v>
      </c>
      <c r="S27" s="566">
        <v>0</v>
      </c>
      <c r="T27" s="566">
        <v>0</v>
      </c>
      <c r="U27" s="566">
        <v>0</v>
      </c>
      <c r="V27" s="566">
        <v>0</v>
      </c>
      <c r="W27" s="566">
        <v>0</v>
      </c>
      <c r="X27" s="566">
        <v>0</v>
      </c>
      <c r="Y27" s="567">
        <v>0</v>
      </c>
      <c r="AA27" s="580">
        <v>25</v>
      </c>
      <c r="AB27" s="565">
        <f>IF(ISNUMBER(System!$C28),PlotData!B28+ Normalkraft!$E$2*$AF$1*B27,PlotData!$CB$3)</f>
        <v>16.350000000000001</v>
      </c>
      <c r="AC27" s="566">
        <f>IF(ISNUMBER(System!$C28),PlotData!C28+ Normalkraft!$E$2*$AF$1*C27,PlotData!$CB$3)</f>
        <v>16.358565000000002</v>
      </c>
      <c r="AD27" s="566">
        <f>IF(ISNUMBER(System!$C28),PlotData!D28+ Normalkraft!$E$2*$AF$1*D27,PlotData!$CB$3)</f>
        <v>16.367130000000003</v>
      </c>
      <c r="AE27" s="566">
        <f>IF(ISNUMBER(System!$C28),PlotData!E28+ Normalkraft!$E$2*$AF$1*E27,PlotData!$CB$3)</f>
        <v>16.375695000000004</v>
      </c>
      <c r="AF27" s="566">
        <f>IF(ISNUMBER(System!$C28),PlotData!F28+Normalkraft!$E$2* $AF$1*F27,PlotData!$CB$3)</f>
        <v>16.384260000000005</v>
      </c>
      <c r="AG27" s="566">
        <f>IF(ISNUMBER(System!$C28),PlotData!G28+ Normalkraft!$E$2*$AF$1*G27,PlotData!$CB$3)</f>
        <v>16.392825000000006</v>
      </c>
      <c r="AH27" s="566">
        <f>IF(ISNUMBER(System!$C28),PlotData!H28+ Normalkraft!$E$2*$AF$1*H27,PlotData!$CB$3)</f>
        <v>16.401390000000006</v>
      </c>
      <c r="AI27" s="566">
        <f>IF(ISNUMBER(System!$C28),PlotData!I28+ Normalkraft!$E$2*$AF$1*I27,PlotData!$CB$3)</f>
        <v>16.409955000000007</v>
      </c>
      <c r="AJ27" s="566">
        <f>IF(ISNUMBER(System!$C28),PlotData!J28+ Normalkraft!$E$2*$AF$1*J27,PlotData!$CB$3)</f>
        <v>16.418520000000008</v>
      </c>
      <c r="AK27" s="566">
        <f>IF(ISNUMBER(System!$C28),PlotData!K28+Normalkraft!$E$2* $AF$1*K27,PlotData!$CB$3)</f>
        <v>16.427085000000009</v>
      </c>
      <c r="AL27" s="567">
        <f>IF(ISNUMBER(System!$C28),PlotData!L28+Normalkraft!$E$2* $AF$1*L27,PlotData!$CB$3)</f>
        <v>16.43565000000001</v>
      </c>
      <c r="AM27" s="565">
        <f>IF(ISNUMBER(System!$C28),PlotData!L28,PlotData!$CB$3)</f>
        <v>16.43565000000001</v>
      </c>
      <c r="AN27" s="566">
        <f>IF(ISNUMBER(System!$C28),PlotData!B28,PlotData!$CB$3)</f>
        <v>16.350000000000001</v>
      </c>
      <c r="AO27" s="447">
        <f>IF(ISNUMBER(System!$C28),AB27,PlotData!$CB$3)</f>
        <v>16.350000000000001</v>
      </c>
      <c r="AQ27" s="609">
        <v>25</v>
      </c>
      <c r="AR27" s="565">
        <f>IF(ISNUMBER(System!$C28),PlotData!O28+ Normalkraft!$E$2*$AF$1*O27,PlotData!$CB$4)</f>
        <v>3.6</v>
      </c>
      <c r="AS27" s="566">
        <f>IF(ISNUMBER(System!$C28),PlotData!P28+ Normalkraft!$E$2*$AF$1*P27,PlotData!$CB$4)</f>
        <v>3.5129331000000001</v>
      </c>
      <c r="AT27" s="566">
        <f>IF(ISNUMBER(System!$C28),PlotData!Q28+ Normalkraft!$E$2*$AF$1*Q27,PlotData!$CB$4)</f>
        <v>3.4258662000000002</v>
      </c>
      <c r="AU27" s="566">
        <f>IF(ISNUMBER(System!$C28),PlotData!R28+ Normalkraft!$E$2*$AF$1*R27,PlotData!$CB$4)</f>
        <v>3.3387993000000002</v>
      </c>
      <c r="AV27" s="566">
        <f>IF(ISNUMBER(System!$C28),PlotData!S28+Normalkraft!$E$2* $AF$1*S27,PlotData!$CB$4)</f>
        <v>3.2517324000000003</v>
      </c>
      <c r="AW27" s="566">
        <f>IF(ISNUMBER(System!$C28),PlotData!T28+ Normalkraft!$E$2*$AF$1*T27,PlotData!$CB$4)</f>
        <v>3.1646655000000004</v>
      </c>
      <c r="AX27" s="566">
        <f>IF(ISNUMBER(System!$C28),PlotData!U28+Normalkraft!$E$2* $AF$1*U27,PlotData!$CB$4)</f>
        <v>3.0775986000000004</v>
      </c>
      <c r="AY27" s="566">
        <f>IF(ISNUMBER(System!$C28),PlotData!V28+ Normalkraft!$E$2*$AF$1*V27,PlotData!$CB$4)</f>
        <v>2.9905317000000005</v>
      </c>
      <c r="AZ27" s="566">
        <f>IF(ISNUMBER(System!$C28),PlotData!W28+ Normalkraft!$E$2*$AF$1*W27,PlotData!$CB$4)</f>
        <v>2.9034648000000005</v>
      </c>
      <c r="BA27" s="566">
        <f>IF(ISNUMBER(System!$C28),PlotData!X28+ Normalkraft!$E$2*$AF$1*X27,PlotData!$CB$4)</f>
        <v>2.8163979000000006</v>
      </c>
      <c r="BB27" s="567">
        <f>IF(ISNUMBER(System!$C28),PlotData!Y28+Normalkraft!$E$2*$AF$1*Y27,PlotData!$CB$4)</f>
        <v>2.7293310000000006</v>
      </c>
      <c r="BC27" s="565">
        <f>IF(ISNUMBER(System!$C28),PlotData!Y28, PlotData!CB$4)</f>
        <v>2.7293310000000006</v>
      </c>
      <c r="BD27" s="566">
        <f>IF(ISNUMBER(System!$C28),PlotData!O28, PlotData!$CB$4)</f>
        <v>3.6</v>
      </c>
      <c r="BE27" s="567">
        <f>IF(ISNUMBER(System!$C28), AR27,PlotData!$CB$4)</f>
        <v>3.6</v>
      </c>
    </row>
    <row r="28" spans="1:60" x14ac:dyDescent="0.35">
      <c r="A28" s="564">
        <v>26</v>
      </c>
      <c r="B28" s="581">
        <v>0</v>
      </c>
      <c r="C28" s="582">
        <v>0</v>
      </c>
      <c r="D28" s="582">
        <v>0</v>
      </c>
      <c r="E28" s="582">
        <v>0</v>
      </c>
      <c r="F28" s="582">
        <v>0</v>
      </c>
      <c r="G28" s="582">
        <v>0</v>
      </c>
      <c r="H28" s="582">
        <v>0</v>
      </c>
      <c r="I28" s="582">
        <v>0</v>
      </c>
      <c r="J28" s="582">
        <v>0</v>
      </c>
      <c r="K28" s="582">
        <v>0</v>
      </c>
      <c r="L28" s="583">
        <v>0</v>
      </c>
      <c r="N28" s="564">
        <v>26</v>
      </c>
      <c r="O28" s="565">
        <v>0</v>
      </c>
      <c r="P28" s="566">
        <v>0</v>
      </c>
      <c r="Q28" s="566">
        <v>0</v>
      </c>
      <c r="R28" s="566">
        <v>0</v>
      </c>
      <c r="S28" s="566">
        <v>0</v>
      </c>
      <c r="T28" s="566">
        <v>0</v>
      </c>
      <c r="U28" s="566">
        <v>0</v>
      </c>
      <c r="V28" s="566">
        <v>0</v>
      </c>
      <c r="W28" s="566">
        <v>0</v>
      </c>
      <c r="X28" s="566">
        <v>0</v>
      </c>
      <c r="Y28" s="567">
        <v>0</v>
      </c>
      <c r="AA28" s="580">
        <v>26</v>
      </c>
      <c r="AB28" s="565">
        <f>IF(ISNUMBER(System!$C29),PlotData!B29+ Normalkraft!$E$2*$AF$1*B28,PlotData!$CB$3)</f>
        <v>17.549999</v>
      </c>
      <c r="AC28" s="566">
        <f>IF(ISNUMBER(System!$C29),PlotData!C29+ Normalkraft!$E$2*$AF$1*C28,PlotData!$CB$3)</f>
        <v>17.540599399999998</v>
      </c>
      <c r="AD28" s="566">
        <f>IF(ISNUMBER(System!$C29),PlotData!D29+ Normalkraft!$E$2*$AF$1*D28,PlotData!$CB$3)</f>
        <v>17.531199799999996</v>
      </c>
      <c r="AE28" s="566">
        <f>IF(ISNUMBER(System!$C29),PlotData!E29+ Normalkraft!$E$2*$AF$1*E28,PlotData!$CB$3)</f>
        <v>17.521800199999994</v>
      </c>
      <c r="AF28" s="566">
        <f>IF(ISNUMBER(System!$C29),PlotData!F29+Normalkraft!$E$2* $AF$1*F28,PlotData!$CB$3)</f>
        <v>17.512400599999992</v>
      </c>
      <c r="AG28" s="566">
        <f>IF(ISNUMBER(System!$C29),PlotData!G29+ Normalkraft!$E$2*$AF$1*G28,PlotData!$CB$3)</f>
        <v>17.50300099999999</v>
      </c>
      <c r="AH28" s="566">
        <f>IF(ISNUMBER(System!$C29),PlotData!H29+ Normalkraft!$E$2*$AF$1*H28,PlotData!$CB$3)</f>
        <v>17.493601399999989</v>
      </c>
      <c r="AI28" s="566">
        <f>IF(ISNUMBER(System!$C29),PlotData!I29+ Normalkraft!$E$2*$AF$1*I28,PlotData!$CB$3)</f>
        <v>17.484201799999987</v>
      </c>
      <c r="AJ28" s="566">
        <f>IF(ISNUMBER(System!$C29),PlotData!J29+ Normalkraft!$E$2*$AF$1*J28,PlotData!$CB$3)</f>
        <v>17.474802199999985</v>
      </c>
      <c r="AK28" s="566">
        <f>IF(ISNUMBER(System!$C29),PlotData!K29+Normalkraft!$E$2* $AF$1*K28,PlotData!$CB$3)</f>
        <v>17.465402599999983</v>
      </c>
      <c r="AL28" s="567">
        <f>IF(ISNUMBER(System!$C29),PlotData!L29+Normalkraft!$E$2* $AF$1*L28,PlotData!$CB$3)</f>
        <v>17.456002999999981</v>
      </c>
      <c r="AM28" s="565">
        <f>IF(ISNUMBER(System!$C29),PlotData!L29,PlotData!$CB$3)</f>
        <v>17.456002999999981</v>
      </c>
      <c r="AN28" s="566">
        <f>IF(ISNUMBER(System!$C29),PlotData!B29,PlotData!$CB$3)</f>
        <v>17.549999</v>
      </c>
      <c r="AO28" s="447">
        <f>IF(ISNUMBER(System!$C29),AB28,PlotData!$CB$3)</f>
        <v>17.549999</v>
      </c>
      <c r="AQ28" s="609">
        <v>26</v>
      </c>
      <c r="AR28" s="565">
        <f>IF(ISNUMBER(System!$C29),PlotData!O29+ Normalkraft!$E$2*$AF$1*O28,PlotData!$CB$4)</f>
        <v>3.6</v>
      </c>
      <c r="AS28" s="566">
        <f>IF(ISNUMBER(System!$C29),PlotData!P29+ Normalkraft!$E$2*$AF$1*P28,PlotData!$CB$4)</f>
        <v>3.5144827000000003</v>
      </c>
      <c r="AT28" s="566">
        <f>IF(ISNUMBER(System!$C29),PlotData!Q29+ Normalkraft!$E$2*$AF$1*Q28,PlotData!$CB$4)</f>
        <v>3.4289654000000001</v>
      </c>
      <c r="AU28" s="566">
        <f>IF(ISNUMBER(System!$C29),PlotData!R29+ Normalkraft!$E$2*$AF$1*R28,PlotData!$CB$4)</f>
        <v>3.3434480999999998</v>
      </c>
      <c r="AV28" s="566">
        <f>IF(ISNUMBER(System!$C29),PlotData!S29+Normalkraft!$E$2* $AF$1*S28,PlotData!$CB$4)</f>
        <v>3.2579307999999996</v>
      </c>
      <c r="AW28" s="566">
        <f>IF(ISNUMBER(System!$C29),PlotData!T29+ Normalkraft!$E$2*$AF$1*T28,PlotData!$CB$4)</f>
        <v>3.1724134999999993</v>
      </c>
      <c r="AX28" s="566">
        <f>IF(ISNUMBER(System!$C29),PlotData!U29+Normalkraft!$E$2* $AF$1*U28,PlotData!$CB$4)</f>
        <v>3.0868961999999991</v>
      </c>
      <c r="AY28" s="566">
        <f>IF(ISNUMBER(System!$C29),PlotData!V29+ Normalkraft!$E$2*$AF$1*V28,PlotData!$CB$4)</f>
        <v>3.0013788999999989</v>
      </c>
      <c r="AZ28" s="566">
        <f>IF(ISNUMBER(System!$C29),PlotData!W29+ Normalkraft!$E$2*$AF$1*W28,PlotData!$CB$4)</f>
        <v>2.9158615999999986</v>
      </c>
      <c r="BA28" s="566">
        <f>IF(ISNUMBER(System!$C29),PlotData!X29+ Normalkraft!$E$2*$AF$1*X28,PlotData!$CB$4)</f>
        <v>2.8303442999999984</v>
      </c>
      <c r="BB28" s="567">
        <f>IF(ISNUMBER(System!$C29),PlotData!Y29+Normalkraft!$E$2*$AF$1*Y28,PlotData!$CB$4)</f>
        <v>2.7448269999999981</v>
      </c>
      <c r="BC28" s="565">
        <f>IF(ISNUMBER(System!$C29),PlotData!Y29, PlotData!CB$4)</f>
        <v>2.7448269999999981</v>
      </c>
      <c r="BD28" s="566">
        <f>IF(ISNUMBER(System!$C29),PlotData!O29, PlotData!$CB$4)</f>
        <v>3.6</v>
      </c>
      <c r="BE28" s="567">
        <f>IF(ISNUMBER(System!$C29), AR28,PlotData!$CB$4)</f>
        <v>3.6</v>
      </c>
    </row>
    <row r="29" spans="1:60" x14ac:dyDescent="0.35">
      <c r="A29" s="564">
        <v>27</v>
      </c>
      <c r="B29" s="581">
        <v>0</v>
      </c>
      <c r="C29" s="582">
        <v>0</v>
      </c>
      <c r="D29" s="582">
        <v>0</v>
      </c>
      <c r="E29" s="582">
        <v>0</v>
      </c>
      <c r="F29" s="582">
        <v>0</v>
      </c>
      <c r="G29" s="582">
        <v>0</v>
      </c>
      <c r="H29" s="582">
        <v>0</v>
      </c>
      <c r="I29" s="582">
        <v>0</v>
      </c>
      <c r="J29" s="582">
        <v>0</v>
      </c>
      <c r="K29" s="582">
        <v>0</v>
      </c>
      <c r="L29" s="583">
        <v>0</v>
      </c>
      <c r="N29" s="564">
        <v>27</v>
      </c>
      <c r="O29" s="565">
        <v>0</v>
      </c>
      <c r="P29" s="566">
        <v>0</v>
      </c>
      <c r="Q29" s="566">
        <v>0</v>
      </c>
      <c r="R29" s="566">
        <v>0</v>
      </c>
      <c r="S29" s="566">
        <v>0</v>
      </c>
      <c r="T29" s="566">
        <v>0</v>
      </c>
      <c r="U29" s="566">
        <v>0</v>
      </c>
      <c r="V29" s="566">
        <v>0</v>
      </c>
      <c r="W29" s="566">
        <v>0</v>
      </c>
      <c r="X29" s="566">
        <v>0</v>
      </c>
      <c r="Y29" s="567">
        <v>0</v>
      </c>
      <c r="AA29" s="580">
        <v>27</v>
      </c>
      <c r="AB29" s="565">
        <f>IF(ISNUMBER(System!$C30),PlotData!B30+ Normalkraft!$E$2*$AF$1*B29,PlotData!$CB$3)</f>
        <v>15.600816999999999</v>
      </c>
      <c r="AC29" s="566">
        <f>IF(ISNUMBER(System!$C30),PlotData!C30+ Normalkraft!$E$2*$AF$1*C29,PlotData!$CB$3)</f>
        <v>15.735735399999999</v>
      </c>
      <c r="AD29" s="566">
        <f>IF(ISNUMBER(System!$C30),PlotData!D30+ Normalkraft!$E$2*$AF$1*D29,PlotData!$CB$3)</f>
        <v>15.870653799999999</v>
      </c>
      <c r="AE29" s="566">
        <f>IF(ISNUMBER(System!$C30),PlotData!E30+ Normalkraft!$E$2*$AF$1*E29,PlotData!$CB$3)</f>
        <v>16.0055722</v>
      </c>
      <c r="AF29" s="566">
        <f>IF(ISNUMBER(System!$C30),PlotData!F30+Normalkraft!$E$2* $AF$1*F29,PlotData!$CB$3)</f>
        <v>16.1404906</v>
      </c>
      <c r="AG29" s="566">
        <f>IF(ISNUMBER(System!$C30),PlotData!G30+ Normalkraft!$E$2*$AF$1*G29,PlotData!$CB$3)</f>
        <v>16.275409</v>
      </c>
      <c r="AH29" s="566">
        <f>IF(ISNUMBER(System!$C30),PlotData!H30+ Normalkraft!$E$2*$AF$1*H29,PlotData!$CB$3)</f>
        <v>16.4103274</v>
      </c>
      <c r="AI29" s="566">
        <f>IF(ISNUMBER(System!$C30),PlotData!I30+ Normalkraft!$E$2*$AF$1*I29,PlotData!$CB$3)</f>
        <v>16.5452458</v>
      </c>
      <c r="AJ29" s="566">
        <f>IF(ISNUMBER(System!$C30),PlotData!J30+ Normalkraft!$E$2*$AF$1*J29,PlotData!$CB$3)</f>
        <v>16.6801642</v>
      </c>
      <c r="AK29" s="566">
        <f>IF(ISNUMBER(System!$C30),PlotData!K30+Normalkraft!$E$2* $AF$1*K29,PlotData!$CB$3)</f>
        <v>16.8150826</v>
      </c>
      <c r="AL29" s="567">
        <f>IF(ISNUMBER(System!$C30),PlotData!L30+Normalkraft!$E$2* $AF$1*L29,PlotData!$CB$3)</f>
        <v>16.950001</v>
      </c>
      <c r="AM29" s="565">
        <f>IF(ISNUMBER(System!$C30),PlotData!L30,PlotData!$CB$3)</f>
        <v>16.950001</v>
      </c>
      <c r="AN29" s="566">
        <f>IF(ISNUMBER(System!$C30),PlotData!B30,PlotData!$CB$3)</f>
        <v>15.600816999999999</v>
      </c>
      <c r="AO29" s="447">
        <f>IF(ISNUMBER(System!$C30),AB29,PlotData!$CB$3)</f>
        <v>15.600816999999999</v>
      </c>
      <c r="AQ29" s="609">
        <v>27</v>
      </c>
      <c r="AR29" s="565">
        <f>IF(ISNUMBER(System!$C30),PlotData!O30+ Normalkraft!$E$2*$AF$1*O29,PlotData!$CB$4)</f>
        <v>0.89983599999999997</v>
      </c>
      <c r="AS29" s="566">
        <f>IF(ISNUMBER(System!$C30),PlotData!P30+ Normalkraft!$E$2*$AF$1*P29,PlotData!$CB$4)</f>
        <v>0.8998524</v>
      </c>
      <c r="AT29" s="566">
        <f>IF(ISNUMBER(System!$C30),PlotData!Q30+ Normalkraft!$E$2*$AF$1*Q29,PlotData!$CB$4)</f>
        <v>0.89986880000000002</v>
      </c>
      <c r="AU29" s="566">
        <f>IF(ISNUMBER(System!$C30),PlotData!R30+ Normalkraft!$E$2*$AF$1*R29,PlotData!$CB$4)</f>
        <v>0.89988520000000005</v>
      </c>
      <c r="AV29" s="566">
        <f>IF(ISNUMBER(System!$C30),PlotData!S30+Normalkraft!$E$2* $AF$1*S29,PlotData!$CB$4)</f>
        <v>0.89990160000000008</v>
      </c>
      <c r="AW29" s="566">
        <f>IF(ISNUMBER(System!$C30),PlotData!T30+ Normalkraft!$E$2*$AF$1*T29,PlotData!$CB$4)</f>
        <v>0.89991800000000011</v>
      </c>
      <c r="AX29" s="566">
        <f>IF(ISNUMBER(System!$C30),PlotData!U30+Normalkraft!$E$2* $AF$1*U29,PlotData!$CB$4)</f>
        <v>0.89993440000000013</v>
      </c>
      <c r="AY29" s="566">
        <f>IF(ISNUMBER(System!$C30),PlotData!V30+ Normalkraft!$E$2*$AF$1*V29,PlotData!$CB$4)</f>
        <v>0.89995080000000016</v>
      </c>
      <c r="AZ29" s="566">
        <f>IF(ISNUMBER(System!$C30),PlotData!W30+ Normalkraft!$E$2*$AF$1*W29,PlotData!$CB$4)</f>
        <v>0.89996720000000019</v>
      </c>
      <c r="BA29" s="566">
        <f>IF(ISNUMBER(System!$C30),PlotData!X30+ Normalkraft!$E$2*$AF$1*X29,PlotData!$CB$4)</f>
        <v>0.89998360000000022</v>
      </c>
      <c r="BB29" s="567">
        <f>IF(ISNUMBER(System!$C30),PlotData!Y30+Normalkraft!$E$2*$AF$1*Y29,PlotData!$CB$4)</f>
        <v>0.90000000000000024</v>
      </c>
      <c r="BC29" s="565">
        <f>IF(ISNUMBER(System!$C30),PlotData!Y30, PlotData!CB$4)</f>
        <v>0.90000000000000024</v>
      </c>
      <c r="BD29" s="566">
        <f>IF(ISNUMBER(System!$C30),PlotData!O30, PlotData!$CB$4)</f>
        <v>0.89983599999999997</v>
      </c>
      <c r="BE29" s="567">
        <f>IF(ISNUMBER(System!$C30), AR29,PlotData!$CB$4)</f>
        <v>0.89983599999999997</v>
      </c>
    </row>
    <row r="30" spans="1:60" x14ac:dyDescent="0.35">
      <c r="A30" s="564">
        <v>28</v>
      </c>
      <c r="B30" s="581">
        <v>0</v>
      </c>
      <c r="C30" s="582">
        <v>0</v>
      </c>
      <c r="D30" s="582">
        <v>0</v>
      </c>
      <c r="E30" s="582">
        <v>0</v>
      </c>
      <c r="F30" s="582">
        <v>0</v>
      </c>
      <c r="G30" s="582">
        <v>0</v>
      </c>
      <c r="H30" s="582">
        <v>0</v>
      </c>
      <c r="I30" s="582">
        <v>0</v>
      </c>
      <c r="J30" s="582">
        <v>0</v>
      </c>
      <c r="K30" s="582">
        <v>0</v>
      </c>
      <c r="L30" s="583">
        <v>0</v>
      </c>
      <c r="N30" s="564">
        <v>28</v>
      </c>
      <c r="O30" s="565">
        <v>0</v>
      </c>
      <c r="P30" s="566">
        <v>0</v>
      </c>
      <c r="Q30" s="566">
        <v>0</v>
      </c>
      <c r="R30" s="566">
        <v>0</v>
      </c>
      <c r="S30" s="566">
        <v>0</v>
      </c>
      <c r="T30" s="566">
        <v>0</v>
      </c>
      <c r="U30" s="566">
        <v>0</v>
      </c>
      <c r="V30" s="566">
        <v>0</v>
      </c>
      <c r="W30" s="566">
        <v>0</v>
      </c>
      <c r="X30" s="566">
        <v>0</v>
      </c>
      <c r="Y30" s="567">
        <v>0</v>
      </c>
      <c r="AA30" s="580">
        <v>28</v>
      </c>
      <c r="AB30" s="565">
        <f>IF(ISNUMBER(System!$C31),PlotData!B31+ Normalkraft!$E$2*$AF$1*B30,PlotData!$CB$3)</f>
        <v>18.321756000000001</v>
      </c>
      <c r="AC30" s="566">
        <f>IF(ISNUMBER(System!$C31),PlotData!C31+ Normalkraft!$E$2*$AF$1*C30,PlotData!$CB$3)</f>
        <v>18.664580400000002</v>
      </c>
      <c r="AD30" s="566">
        <f>IF(ISNUMBER(System!$C31),PlotData!D31+ Normalkraft!$E$2*$AF$1*D30,PlotData!$CB$3)</f>
        <v>19.007404800000003</v>
      </c>
      <c r="AE30" s="566">
        <f>IF(ISNUMBER(System!$C31),PlotData!E31+ Normalkraft!$E$2*$AF$1*E30,PlotData!$CB$3)</f>
        <v>19.350229200000005</v>
      </c>
      <c r="AF30" s="566">
        <f>IF(ISNUMBER(System!$C31),PlotData!F31+Normalkraft!$E$2* $AF$1*F30,PlotData!$CB$3)</f>
        <v>19.693053600000006</v>
      </c>
      <c r="AG30" s="566">
        <f>IF(ISNUMBER(System!$C31),PlotData!G31+ Normalkraft!$E$2*$AF$1*G30,PlotData!$CB$3)</f>
        <v>20.035878000000007</v>
      </c>
      <c r="AH30" s="566">
        <f>IF(ISNUMBER(System!$C31),PlotData!H31+ Normalkraft!$E$2*$AF$1*H30,PlotData!$CB$3)</f>
        <v>20.378702400000009</v>
      </c>
      <c r="AI30" s="566">
        <f>IF(ISNUMBER(System!$C31),PlotData!I31+ Normalkraft!$E$2*$AF$1*I30,PlotData!$CB$3)</f>
        <v>20.72152680000001</v>
      </c>
      <c r="AJ30" s="566">
        <f>IF(ISNUMBER(System!$C31),PlotData!J31+ Normalkraft!$E$2*$AF$1*J30,PlotData!$CB$3)</f>
        <v>21.064351200000011</v>
      </c>
      <c r="AK30" s="566">
        <f>IF(ISNUMBER(System!$C31),PlotData!K31+Normalkraft!$E$2* $AF$1*K30,PlotData!$CB$3)</f>
        <v>21.407175600000013</v>
      </c>
      <c r="AL30" s="567">
        <f>IF(ISNUMBER(System!$C31),PlotData!L31+Normalkraft!$E$2* $AF$1*L30,PlotData!$CB$3)</f>
        <v>21.750000000000014</v>
      </c>
      <c r="AM30" s="565">
        <f>IF(ISNUMBER(System!$C31),PlotData!L31,PlotData!$CB$3)</f>
        <v>21.750000000000014</v>
      </c>
      <c r="AN30" s="566">
        <f>IF(ISNUMBER(System!$C31),PlotData!B31,PlotData!$CB$3)</f>
        <v>18.321756000000001</v>
      </c>
      <c r="AO30" s="447">
        <f>IF(ISNUMBER(System!$C31),AB30,PlotData!$CB$3)</f>
        <v>18.321756000000001</v>
      </c>
      <c r="AQ30" s="609">
        <v>28</v>
      </c>
      <c r="AR30" s="565">
        <f>IF(ISNUMBER(System!$C31),PlotData!O31+ Normalkraft!$E$2*$AF$1*O30,PlotData!$CB$4)</f>
        <v>0.89983599999999997</v>
      </c>
      <c r="AS30" s="566">
        <f>IF(ISNUMBER(System!$C31),PlotData!P31+ Normalkraft!$E$2*$AF$1*P30,PlotData!$CB$4)</f>
        <v>0.8998524</v>
      </c>
      <c r="AT30" s="566">
        <f>IF(ISNUMBER(System!$C31),PlotData!Q31+ Normalkraft!$E$2*$AF$1*Q30,PlotData!$CB$4)</f>
        <v>0.89986880000000002</v>
      </c>
      <c r="AU30" s="566">
        <f>IF(ISNUMBER(System!$C31),PlotData!R31+ Normalkraft!$E$2*$AF$1*R30,PlotData!$CB$4)</f>
        <v>0.89988520000000005</v>
      </c>
      <c r="AV30" s="566">
        <f>IF(ISNUMBER(System!$C31),PlotData!S31+Normalkraft!$E$2* $AF$1*S30,PlotData!$CB$4)</f>
        <v>0.89990160000000008</v>
      </c>
      <c r="AW30" s="566">
        <f>IF(ISNUMBER(System!$C31),PlotData!T31+ Normalkraft!$E$2*$AF$1*T30,PlotData!$CB$4)</f>
        <v>0.89991800000000011</v>
      </c>
      <c r="AX30" s="566">
        <f>IF(ISNUMBER(System!$C31),PlotData!U31+Normalkraft!$E$2* $AF$1*U30,PlotData!$CB$4)</f>
        <v>0.89993440000000013</v>
      </c>
      <c r="AY30" s="566">
        <f>IF(ISNUMBER(System!$C31),PlotData!V31+ Normalkraft!$E$2*$AF$1*V30,PlotData!$CB$4)</f>
        <v>0.89995080000000016</v>
      </c>
      <c r="AZ30" s="566">
        <f>IF(ISNUMBER(System!$C31),PlotData!W31+ Normalkraft!$E$2*$AF$1*W30,PlotData!$CB$4)</f>
        <v>0.89996720000000019</v>
      </c>
      <c r="BA30" s="566">
        <f>IF(ISNUMBER(System!$C31),PlotData!X31+ Normalkraft!$E$2*$AF$1*X30,PlotData!$CB$4)</f>
        <v>0.89998360000000022</v>
      </c>
      <c r="BB30" s="567">
        <f>IF(ISNUMBER(System!$C31),PlotData!Y31+Normalkraft!$E$2*$AF$1*Y30,PlotData!$CB$4)</f>
        <v>0.90000000000000024</v>
      </c>
      <c r="BC30" s="565">
        <f>IF(ISNUMBER(System!$C31),PlotData!Y31, PlotData!CB$4)</f>
        <v>0.90000000000000024</v>
      </c>
      <c r="BD30" s="566">
        <f>IF(ISNUMBER(System!$C31),PlotData!O31, PlotData!$CB$4)</f>
        <v>0.89983599999999997</v>
      </c>
      <c r="BE30" s="567">
        <f>IF(ISNUMBER(System!$C31), AR30,PlotData!$CB$4)</f>
        <v>0.89983599999999997</v>
      </c>
    </row>
    <row r="31" spans="1:60" x14ac:dyDescent="0.35">
      <c r="A31" s="564">
        <v>29</v>
      </c>
      <c r="B31" s="581">
        <v>0</v>
      </c>
      <c r="C31" s="582">
        <v>0</v>
      </c>
      <c r="D31" s="582">
        <v>0</v>
      </c>
      <c r="E31" s="582">
        <v>0</v>
      </c>
      <c r="F31" s="582">
        <v>0</v>
      </c>
      <c r="G31" s="582">
        <v>0</v>
      </c>
      <c r="H31" s="582">
        <v>0</v>
      </c>
      <c r="I31" s="582">
        <v>0</v>
      </c>
      <c r="J31" s="582">
        <v>0</v>
      </c>
      <c r="K31" s="582">
        <v>0</v>
      </c>
      <c r="L31" s="583">
        <v>0</v>
      </c>
      <c r="N31" s="564">
        <v>29</v>
      </c>
      <c r="O31" s="565">
        <v>0</v>
      </c>
      <c r="P31" s="566">
        <v>0</v>
      </c>
      <c r="Q31" s="566">
        <v>0</v>
      </c>
      <c r="R31" s="566">
        <v>0</v>
      </c>
      <c r="S31" s="566">
        <v>0</v>
      </c>
      <c r="T31" s="566">
        <v>0</v>
      </c>
      <c r="U31" s="566">
        <v>0</v>
      </c>
      <c r="V31" s="566">
        <v>0</v>
      </c>
      <c r="W31" s="566">
        <v>0</v>
      </c>
      <c r="X31" s="566">
        <v>0</v>
      </c>
      <c r="Y31" s="567">
        <v>0</v>
      </c>
      <c r="AA31" s="580">
        <v>29</v>
      </c>
      <c r="AB31" s="565">
        <f>IF(ISNUMBER(System!$C32),PlotData!B32+ Normalkraft!$E$2*$AF$1*B31,PlotData!$CB$3)</f>
        <v>16.435649999999999</v>
      </c>
      <c r="AC31" s="566">
        <f>IF(ISNUMBER(System!$C32),PlotData!C32+ Normalkraft!$E$2*$AF$1*C31,PlotData!$CB$3)</f>
        <v>16.487085099999998</v>
      </c>
      <c r="AD31" s="566">
        <f>IF(ISNUMBER(System!$C32),PlotData!D32+ Normalkraft!$E$2*$AF$1*D31,PlotData!$CB$3)</f>
        <v>16.538520199999997</v>
      </c>
      <c r="AE31" s="566">
        <f>IF(ISNUMBER(System!$C32),PlotData!E32+ Normalkraft!$E$2*$AF$1*E31,PlotData!$CB$3)</f>
        <v>16.589955299999996</v>
      </c>
      <c r="AF31" s="566">
        <f>IF(ISNUMBER(System!$C32),PlotData!F32+Normalkraft!$E$2* $AF$1*F31,PlotData!$CB$3)</f>
        <v>16.641390399999995</v>
      </c>
      <c r="AG31" s="566">
        <f>IF(ISNUMBER(System!$C32),PlotData!G32+ Normalkraft!$E$2*$AF$1*G31,PlotData!$CB$3)</f>
        <v>16.692825499999994</v>
      </c>
      <c r="AH31" s="566">
        <f>IF(ISNUMBER(System!$C32),PlotData!H32+ Normalkraft!$E$2*$AF$1*H31,PlotData!$CB$3)</f>
        <v>16.744260599999993</v>
      </c>
      <c r="AI31" s="566">
        <f>IF(ISNUMBER(System!$C32),PlotData!I32+ Normalkraft!$E$2*$AF$1*I31,PlotData!$CB$3)</f>
        <v>16.795695699999992</v>
      </c>
      <c r="AJ31" s="566">
        <f>IF(ISNUMBER(System!$C32),PlotData!J32+ Normalkraft!$E$2*$AF$1*J31,PlotData!$CB$3)</f>
        <v>16.847130799999992</v>
      </c>
      <c r="AK31" s="566">
        <f>IF(ISNUMBER(System!$C32),PlotData!K32+Normalkraft!$E$2* $AF$1*K31,PlotData!$CB$3)</f>
        <v>16.898565899999991</v>
      </c>
      <c r="AL31" s="567">
        <f>IF(ISNUMBER(System!$C32),PlotData!L32+Normalkraft!$E$2* $AF$1*L31,PlotData!$CB$3)</f>
        <v>16.95000099999999</v>
      </c>
      <c r="AM31" s="565">
        <f>IF(ISNUMBER(System!$C32),PlotData!L32,PlotData!$CB$3)</f>
        <v>16.95000099999999</v>
      </c>
      <c r="AN31" s="566">
        <f>IF(ISNUMBER(System!$C32),PlotData!B32,PlotData!$CB$3)</f>
        <v>16.435649999999999</v>
      </c>
      <c r="AO31" s="447">
        <f>IF(ISNUMBER(System!$C32),AB31,PlotData!$CB$3)</f>
        <v>16.435649999999999</v>
      </c>
      <c r="AQ31" s="609">
        <v>29</v>
      </c>
      <c r="AR31" s="565">
        <f>IF(ISNUMBER(System!$C32),PlotData!O32+ Normalkraft!$E$2*$AF$1*O31,PlotData!$CB$4)</f>
        <v>2.7293310000000002</v>
      </c>
      <c r="AS31" s="566">
        <f>IF(ISNUMBER(System!$C32),PlotData!P32+ Normalkraft!$E$2*$AF$1*P31,PlotData!$CB$4)</f>
        <v>2.2463979000000003</v>
      </c>
      <c r="AT31" s="566">
        <f>IF(ISNUMBER(System!$C32),PlotData!Q32+ Normalkraft!$E$2*$AF$1*Q31,PlotData!$CB$4)</f>
        <v>1.7634648000000002</v>
      </c>
      <c r="AU31" s="566">
        <f>IF(ISNUMBER(System!$C32),PlotData!R32+ Normalkraft!$E$2*$AF$1*R31,PlotData!$CB$4)</f>
        <v>1.2805317000000001</v>
      </c>
      <c r="AV31" s="566">
        <f>IF(ISNUMBER(System!$C32),PlotData!S32+Normalkraft!$E$2* $AF$1*S31,PlotData!$CB$4)</f>
        <v>0.79759859999999994</v>
      </c>
      <c r="AW31" s="566">
        <f>IF(ISNUMBER(System!$C32),PlotData!T32+ Normalkraft!$E$2*$AF$1*T31,PlotData!$CB$4)</f>
        <v>0.31466549999999988</v>
      </c>
      <c r="AX31" s="566">
        <f>IF(ISNUMBER(System!$C32),PlotData!U32+Normalkraft!$E$2* $AF$1*U31,PlotData!$CB$4)</f>
        <v>-0.16826760000000018</v>
      </c>
      <c r="AY31" s="566">
        <f>IF(ISNUMBER(System!$C32),PlotData!V32+ Normalkraft!$E$2*$AF$1*V31,PlotData!$CB$4)</f>
        <v>-0.65120070000000019</v>
      </c>
      <c r="AZ31" s="566">
        <f>IF(ISNUMBER(System!$C32),PlotData!W32+ Normalkraft!$E$2*$AF$1*W31,PlotData!$CB$4)</f>
        <v>-1.1341338000000003</v>
      </c>
      <c r="BA31" s="566">
        <f>IF(ISNUMBER(System!$C32),PlotData!X32+ Normalkraft!$E$2*$AF$1*X31,PlotData!$CB$4)</f>
        <v>-1.6170669000000004</v>
      </c>
      <c r="BB31" s="567">
        <f>IF(ISNUMBER(System!$C32),PlotData!Y32+Normalkraft!$E$2*$AF$1*Y31,PlotData!$CB$4)</f>
        <v>-2.1000000000000005</v>
      </c>
      <c r="BC31" s="565">
        <f>IF(ISNUMBER(System!$C32),PlotData!Y32, PlotData!CB$4)</f>
        <v>-2.1000000000000005</v>
      </c>
      <c r="BD31" s="566">
        <f>IF(ISNUMBER(System!$C32),PlotData!O32, PlotData!$CB$4)</f>
        <v>2.7293310000000002</v>
      </c>
      <c r="BE31" s="567">
        <f>IF(ISNUMBER(System!$C32), AR31,PlotData!$CB$4)</f>
        <v>2.7293310000000002</v>
      </c>
    </row>
    <row r="32" spans="1:60" x14ac:dyDescent="0.35">
      <c r="A32" s="564">
        <v>30</v>
      </c>
      <c r="B32" s="581">
        <v>0</v>
      </c>
      <c r="C32" s="582">
        <v>0</v>
      </c>
      <c r="D32" s="582">
        <v>0</v>
      </c>
      <c r="E32" s="582">
        <v>0</v>
      </c>
      <c r="F32" s="582">
        <v>0</v>
      </c>
      <c r="G32" s="582">
        <v>0</v>
      </c>
      <c r="H32" s="582">
        <v>0</v>
      </c>
      <c r="I32" s="582">
        <v>0</v>
      </c>
      <c r="J32" s="582">
        <v>0</v>
      </c>
      <c r="K32" s="582">
        <v>0</v>
      </c>
      <c r="L32" s="583">
        <v>0</v>
      </c>
      <c r="N32" s="564">
        <v>30</v>
      </c>
      <c r="O32" s="565">
        <v>0</v>
      </c>
      <c r="P32" s="566">
        <v>0</v>
      </c>
      <c r="Q32" s="566">
        <v>0</v>
      </c>
      <c r="R32" s="566">
        <v>0</v>
      </c>
      <c r="S32" s="566">
        <v>0</v>
      </c>
      <c r="T32" s="566">
        <v>0</v>
      </c>
      <c r="U32" s="566">
        <v>0</v>
      </c>
      <c r="V32" s="566">
        <v>0</v>
      </c>
      <c r="W32" s="566">
        <v>0</v>
      </c>
      <c r="X32" s="566">
        <v>0</v>
      </c>
      <c r="Y32" s="567">
        <v>0</v>
      </c>
      <c r="AA32" s="580">
        <v>30</v>
      </c>
      <c r="AB32" s="565">
        <f>IF(ISNUMBER(System!$C33),PlotData!B33+ Normalkraft!$E$2*$AF$1*B32,PlotData!$CB$3)</f>
        <v>17.456002999999999</v>
      </c>
      <c r="AC32" s="566">
        <f>IF(ISNUMBER(System!$C33),PlotData!C33+ Normalkraft!$E$2*$AF$1*C32,PlotData!$CB$3)</f>
        <v>17.405402799999997</v>
      </c>
      <c r="AD32" s="566">
        <f>IF(ISNUMBER(System!$C33),PlotData!D33+ Normalkraft!$E$2*$AF$1*D32,PlotData!$CB$3)</f>
        <v>17.354802599999999</v>
      </c>
      <c r="AE32" s="566">
        <f>IF(ISNUMBER(System!$C33),PlotData!E33+ Normalkraft!$E$2*$AF$1*E32,PlotData!$CB$3)</f>
        <v>17.304202400000001</v>
      </c>
      <c r="AF32" s="566">
        <f>IF(ISNUMBER(System!$C33),PlotData!F33+Normalkraft!$E$2* $AF$1*F32,PlotData!$CB$3)</f>
        <v>17.253602200000003</v>
      </c>
      <c r="AG32" s="566">
        <f>IF(ISNUMBER(System!$C33),PlotData!G33+ Normalkraft!$E$2*$AF$1*G32,PlotData!$CB$3)</f>
        <v>17.203002000000005</v>
      </c>
      <c r="AH32" s="566">
        <f>IF(ISNUMBER(System!$C33),PlotData!H33+ Normalkraft!$E$2*$AF$1*H32,PlotData!$CB$3)</f>
        <v>17.152401800000007</v>
      </c>
      <c r="AI32" s="566">
        <f>IF(ISNUMBER(System!$C33),PlotData!I33+ Normalkraft!$E$2*$AF$1*I32,PlotData!$CB$3)</f>
        <v>17.101801600000009</v>
      </c>
      <c r="AJ32" s="566">
        <f>IF(ISNUMBER(System!$C33),PlotData!J33+ Normalkraft!$E$2*$AF$1*J32,PlotData!$CB$3)</f>
        <v>17.051201400000011</v>
      </c>
      <c r="AK32" s="566">
        <f>IF(ISNUMBER(System!$C33),PlotData!K33+Normalkraft!$E$2* $AF$1*K32,PlotData!$CB$3)</f>
        <v>17.000601200000013</v>
      </c>
      <c r="AL32" s="567">
        <f>IF(ISNUMBER(System!$C33),PlotData!L33+Normalkraft!$E$2* $AF$1*L32,PlotData!$CB$3)</f>
        <v>16.950001000000015</v>
      </c>
      <c r="AM32" s="565">
        <f>IF(ISNUMBER(System!$C33),PlotData!L33,PlotData!$CB$3)</f>
        <v>16.950001000000015</v>
      </c>
      <c r="AN32" s="566">
        <f>IF(ISNUMBER(System!$C33),PlotData!B33,PlotData!$CB$3)</f>
        <v>17.456002999999999</v>
      </c>
      <c r="AO32" s="447">
        <f>IF(ISNUMBER(System!$C33),AB32,PlotData!$CB$3)</f>
        <v>17.456002999999999</v>
      </c>
      <c r="AQ32" s="609">
        <v>30</v>
      </c>
      <c r="AR32" s="565">
        <f>IF(ISNUMBER(System!$C33),PlotData!O33+ Normalkraft!$E$2*$AF$1*O32,PlotData!$CB$4)</f>
        <v>2.7448269999999999</v>
      </c>
      <c r="AS32" s="566">
        <f>IF(ISNUMBER(System!$C33),PlotData!P33+ Normalkraft!$E$2*$AF$1*P32,PlotData!$CB$4)</f>
        <v>2.2603442999999999</v>
      </c>
      <c r="AT32" s="566">
        <f>IF(ISNUMBER(System!$C33),PlotData!Q33+ Normalkraft!$E$2*$AF$1*Q32,PlotData!$CB$4)</f>
        <v>1.7758615999999998</v>
      </c>
      <c r="AU32" s="566">
        <f>IF(ISNUMBER(System!$C33),PlotData!R33+ Normalkraft!$E$2*$AF$1*R32,PlotData!$CB$4)</f>
        <v>1.2913788999999998</v>
      </c>
      <c r="AV32" s="566">
        <f>IF(ISNUMBER(System!$C33),PlotData!S33+Normalkraft!$E$2* $AF$1*S32,PlotData!$CB$4)</f>
        <v>0.80689619999999973</v>
      </c>
      <c r="AW32" s="566">
        <f>IF(ISNUMBER(System!$C33),PlotData!T33+ Normalkraft!$E$2*$AF$1*T32,PlotData!$CB$4)</f>
        <v>0.32241349999999969</v>
      </c>
      <c r="AX32" s="566">
        <f>IF(ISNUMBER(System!$C33),PlotData!U33+Normalkraft!$E$2* $AF$1*U32,PlotData!$CB$4)</f>
        <v>-0.16206920000000036</v>
      </c>
      <c r="AY32" s="566">
        <f>IF(ISNUMBER(System!$C33),PlotData!V33+ Normalkraft!$E$2*$AF$1*V32,PlotData!$CB$4)</f>
        <v>-0.6465519000000004</v>
      </c>
      <c r="AZ32" s="566">
        <f>IF(ISNUMBER(System!$C33),PlotData!W33+ Normalkraft!$E$2*$AF$1*W32,PlotData!$CB$4)</f>
        <v>-1.1310346000000004</v>
      </c>
      <c r="BA32" s="566">
        <f>IF(ISNUMBER(System!$C33),PlotData!X33+ Normalkraft!$E$2*$AF$1*X32,PlotData!$CB$4)</f>
        <v>-1.6155173000000005</v>
      </c>
      <c r="BB32" s="567">
        <f>IF(ISNUMBER(System!$C33),PlotData!Y33+Normalkraft!$E$2*$AF$1*Y32,PlotData!$CB$4)</f>
        <v>-2.1000000000000005</v>
      </c>
      <c r="BC32" s="565">
        <f>IF(ISNUMBER(System!$C33),PlotData!Y33, PlotData!CB$4)</f>
        <v>-2.1000000000000005</v>
      </c>
      <c r="BD32" s="566">
        <f>IF(ISNUMBER(System!$C33),PlotData!O33, PlotData!$CB$4)</f>
        <v>2.7448269999999999</v>
      </c>
      <c r="BE32" s="567">
        <f>IF(ISNUMBER(System!$C33), AR32,PlotData!$CB$4)</f>
        <v>2.7448269999999999</v>
      </c>
    </row>
    <row r="33" spans="1:57" x14ac:dyDescent="0.35">
      <c r="A33" s="564">
        <v>31</v>
      </c>
      <c r="B33" s="581">
        <v>0</v>
      </c>
      <c r="C33" s="582">
        <v>0</v>
      </c>
      <c r="D33" s="582">
        <v>0</v>
      </c>
      <c r="E33" s="582">
        <v>0</v>
      </c>
      <c r="F33" s="582">
        <v>0</v>
      </c>
      <c r="G33" s="582">
        <v>0</v>
      </c>
      <c r="H33" s="582">
        <v>0</v>
      </c>
      <c r="I33" s="582">
        <v>0</v>
      </c>
      <c r="J33" s="582">
        <v>0</v>
      </c>
      <c r="K33" s="582">
        <v>0</v>
      </c>
      <c r="L33" s="583">
        <v>0</v>
      </c>
      <c r="N33" s="564">
        <v>31</v>
      </c>
      <c r="O33" s="565">
        <v>0</v>
      </c>
      <c r="P33" s="566">
        <v>0</v>
      </c>
      <c r="Q33" s="566">
        <v>0</v>
      </c>
      <c r="R33" s="566">
        <v>0</v>
      </c>
      <c r="S33" s="566">
        <v>0</v>
      </c>
      <c r="T33" s="566">
        <v>0</v>
      </c>
      <c r="U33" s="566">
        <v>0</v>
      </c>
      <c r="V33" s="566">
        <v>0</v>
      </c>
      <c r="W33" s="566">
        <v>0</v>
      </c>
      <c r="X33" s="566">
        <v>0</v>
      </c>
      <c r="Y33" s="567">
        <v>0</v>
      </c>
      <c r="AA33" s="580">
        <v>31</v>
      </c>
      <c r="AB33" s="565">
        <f>IF(ISNUMBER(System!$C34),PlotData!B34+ Normalkraft!$E$2*$AF$1*B33,PlotData!$CB$3)</f>
        <v>16.435649999999999</v>
      </c>
      <c r="AC33" s="566">
        <f>IF(ISNUMBER(System!$C34),PlotData!C34+ Normalkraft!$E$2*$AF$1*C33,PlotData!$CB$3)</f>
        <v>16.352166699999998</v>
      </c>
      <c r="AD33" s="566">
        <f>IF(ISNUMBER(System!$C34),PlotData!D34+ Normalkraft!$E$2*$AF$1*D33,PlotData!$CB$3)</f>
        <v>16.268683399999997</v>
      </c>
      <c r="AE33" s="566">
        <f>IF(ISNUMBER(System!$C34),PlotData!E34+ Normalkraft!$E$2*$AF$1*E33,PlotData!$CB$3)</f>
        <v>16.185200099999996</v>
      </c>
      <c r="AF33" s="566">
        <f>IF(ISNUMBER(System!$C34),PlotData!F34+Normalkraft!$E$2* $AF$1*F33,PlotData!$CB$3)</f>
        <v>16.101716799999995</v>
      </c>
      <c r="AG33" s="566">
        <f>IF(ISNUMBER(System!$C34),PlotData!G34+ Normalkraft!$E$2*$AF$1*G33,PlotData!$CB$3)</f>
        <v>16.018233499999994</v>
      </c>
      <c r="AH33" s="566">
        <f>IF(ISNUMBER(System!$C34),PlotData!H34+ Normalkraft!$E$2*$AF$1*H33,PlotData!$CB$3)</f>
        <v>15.934750199999995</v>
      </c>
      <c r="AI33" s="566">
        <f>IF(ISNUMBER(System!$C34),PlotData!I34+ Normalkraft!$E$2*$AF$1*I33,PlotData!$CB$3)</f>
        <v>15.851266899999995</v>
      </c>
      <c r="AJ33" s="566">
        <f>IF(ISNUMBER(System!$C34),PlotData!J34+ Normalkraft!$E$2*$AF$1*J33,PlotData!$CB$3)</f>
        <v>15.767783599999996</v>
      </c>
      <c r="AK33" s="566">
        <f>IF(ISNUMBER(System!$C34),PlotData!K34+Normalkraft!$E$2* $AF$1*K33,PlotData!$CB$3)</f>
        <v>15.684300299999997</v>
      </c>
      <c r="AL33" s="567">
        <f>IF(ISNUMBER(System!$C34),PlotData!L34+Normalkraft!$E$2* $AF$1*L33,PlotData!$CB$3)</f>
        <v>15.600816999999997</v>
      </c>
      <c r="AM33" s="565">
        <f>IF(ISNUMBER(System!$C34),PlotData!L34,PlotData!$CB$3)</f>
        <v>15.600816999999997</v>
      </c>
      <c r="AN33" s="566">
        <f>IF(ISNUMBER(System!$C34),PlotData!B34,PlotData!$CB$3)</f>
        <v>16.435649999999999</v>
      </c>
      <c r="AO33" s="447">
        <f>IF(ISNUMBER(System!$C34),AB33,PlotData!$CB$3)</f>
        <v>16.435649999999999</v>
      </c>
      <c r="AQ33" s="609">
        <v>31</v>
      </c>
      <c r="AR33" s="565">
        <f>IF(ISNUMBER(System!$C34),PlotData!O34+ Normalkraft!$E$2*$AF$1*O33,PlotData!$CB$4)</f>
        <v>2.7293310000000002</v>
      </c>
      <c r="AS33" s="566">
        <f>IF(ISNUMBER(System!$C34),PlotData!P34+ Normalkraft!$E$2*$AF$1*P33,PlotData!$CB$4)</f>
        <v>2.5463815000000003</v>
      </c>
      <c r="AT33" s="566">
        <f>IF(ISNUMBER(System!$C34),PlotData!Q34+ Normalkraft!$E$2*$AF$1*Q33,PlotData!$CB$4)</f>
        <v>2.3634320000000004</v>
      </c>
      <c r="AU33" s="566">
        <f>IF(ISNUMBER(System!$C34),PlotData!R34+ Normalkraft!$E$2*$AF$1*R33,PlotData!$CB$4)</f>
        <v>2.1804825000000005</v>
      </c>
      <c r="AV33" s="566">
        <f>IF(ISNUMBER(System!$C34),PlotData!S34+Normalkraft!$E$2* $AF$1*S33,PlotData!$CB$4)</f>
        <v>1.9975330000000004</v>
      </c>
      <c r="AW33" s="566">
        <f>IF(ISNUMBER(System!$C34),PlotData!T34+ Normalkraft!$E$2*$AF$1*T33,PlotData!$CB$4)</f>
        <v>1.8145835000000003</v>
      </c>
      <c r="AX33" s="566">
        <f>IF(ISNUMBER(System!$C34),PlotData!U34+Normalkraft!$E$2* $AF$1*U33,PlotData!$CB$4)</f>
        <v>1.6316340000000003</v>
      </c>
      <c r="AY33" s="566">
        <f>IF(ISNUMBER(System!$C34),PlotData!V34+ Normalkraft!$E$2*$AF$1*V33,PlotData!$CB$4)</f>
        <v>1.4486845000000002</v>
      </c>
      <c r="AZ33" s="566">
        <f>IF(ISNUMBER(System!$C34),PlotData!W34+ Normalkraft!$E$2*$AF$1*W33,PlotData!$CB$4)</f>
        <v>1.2657350000000001</v>
      </c>
      <c r="BA33" s="566">
        <f>IF(ISNUMBER(System!$C34),PlotData!X34+ Normalkraft!$E$2*$AF$1*X33,PlotData!$CB$4)</f>
        <v>1.0827855</v>
      </c>
      <c r="BB33" s="567">
        <f>IF(ISNUMBER(System!$C34),PlotData!Y34+Normalkraft!$E$2*$AF$1*Y33,PlotData!$CB$4)</f>
        <v>0.89983599999999986</v>
      </c>
      <c r="BC33" s="565">
        <f>IF(ISNUMBER(System!$C34),PlotData!Y34, PlotData!CB$4)</f>
        <v>0.89983599999999986</v>
      </c>
      <c r="BD33" s="566">
        <f>IF(ISNUMBER(System!$C34),PlotData!O34, PlotData!$CB$4)</f>
        <v>2.7293310000000002</v>
      </c>
      <c r="BE33" s="567">
        <f>IF(ISNUMBER(System!$C34), AR33,PlotData!$CB$4)</f>
        <v>2.7293310000000002</v>
      </c>
    </row>
    <row r="34" spans="1:57" x14ac:dyDescent="0.35">
      <c r="A34" s="564">
        <v>32</v>
      </c>
      <c r="B34" s="581">
        <v>0</v>
      </c>
      <c r="C34" s="582">
        <v>0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3">
        <v>0</v>
      </c>
      <c r="N34" s="564">
        <v>32</v>
      </c>
      <c r="O34" s="565">
        <v>0</v>
      </c>
      <c r="P34" s="566">
        <v>0</v>
      </c>
      <c r="Q34" s="566">
        <v>0</v>
      </c>
      <c r="R34" s="566">
        <v>0</v>
      </c>
      <c r="S34" s="566">
        <v>0</v>
      </c>
      <c r="T34" s="566">
        <v>0</v>
      </c>
      <c r="U34" s="566">
        <v>0</v>
      </c>
      <c r="V34" s="566">
        <v>0</v>
      </c>
      <c r="W34" s="566">
        <v>0</v>
      </c>
      <c r="X34" s="566">
        <v>0</v>
      </c>
      <c r="Y34" s="567">
        <v>0</v>
      </c>
      <c r="AA34" s="580">
        <v>32</v>
      </c>
      <c r="AB34" s="565">
        <f>IF(ISNUMBER(System!$C35),PlotData!B35+ Normalkraft!$E$2*$AF$1*B34,PlotData!$CB$3)</f>
        <v>17.456002999999999</v>
      </c>
      <c r="AC34" s="566">
        <f>IF(ISNUMBER(System!$C35),PlotData!C35+ Normalkraft!$E$2*$AF$1*C34,PlotData!$CB$3)</f>
        <v>17.542578299999999</v>
      </c>
      <c r="AD34" s="566">
        <f>IF(ISNUMBER(System!$C35),PlotData!D35+ Normalkraft!$E$2*$AF$1*D34,PlotData!$CB$3)</f>
        <v>17.629153599999999</v>
      </c>
      <c r="AE34" s="566">
        <f>IF(ISNUMBER(System!$C35),PlotData!E35+ Normalkraft!$E$2*$AF$1*E34,PlotData!$CB$3)</f>
        <v>17.715728899999998</v>
      </c>
      <c r="AF34" s="566">
        <f>IF(ISNUMBER(System!$C35),PlotData!F35+Normalkraft!$E$2* $AF$1*F34,PlotData!$CB$3)</f>
        <v>17.802304199999998</v>
      </c>
      <c r="AG34" s="566">
        <f>IF(ISNUMBER(System!$C35),PlotData!G35+ Normalkraft!$E$2*$AF$1*G34,PlotData!$CB$3)</f>
        <v>17.888879499999998</v>
      </c>
      <c r="AH34" s="566">
        <f>IF(ISNUMBER(System!$C35),PlotData!H35+ Normalkraft!$E$2*$AF$1*H34,PlotData!$CB$3)</f>
        <v>17.975454799999998</v>
      </c>
      <c r="AI34" s="566">
        <f>IF(ISNUMBER(System!$C35),PlotData!I35+ Normalkraft!$E$2*$AF$1*I34,PlotData!$CB$3)</f>
        <v>18.062030099999998</v>
      </c>
      <c r="AJ34" s="566">
        <f>IF(ISNUMBER(System!$C35),PlotData!J35+ Normalkraft!$E$2*$AF$1*J34,PlotData!$CB$3)</f>
        <v>18.148605399999997</v>
      </c>
      <c r="AK34" s="566">
        <f>IF(ISNUMBER(System!$C35),PlotData!K35+Normalkraft!$E$2* $AF$1*K34,PlotData!$CB$3)</f>
        <v>18.235180699999997</v>
      </c>
      <c r="AL34" s="567">
        <f>IF(ISNUMBER(System!$C35),PlotData!L35+Normalkraft!$E$2* $AF$1*L34,PlotData!$CB$3)</f>
        <v>18.321755999999997</v>
      </c>
      <c r="AM34" s="565">
        <f>IF(ISNUMBER(System!$C35),PlotData!L35,PlotData!$CB$3)</f>
        <v>18.321755999999997</v>
      </c>
      <c r="AN34" s="566">
        <f>IF(ISNUMBER(System!$C35),PlotData!B35,PlotData!$CB$3)</f>
        <v>17.456002999999999</v>
      </c>
      <c r="AO34" s="447">
        <f>IF(ISNUMBER(System!$C35),AB34,PlotData!$CB$3)</f>
        <v>17.456002999999999</v>
      </c>
      <c r="AQ34" s="609">
        <v>32</v>
      </c>
      <c r="AR34" s="565">
        <f>IF(ISNUMBER(System!$C35),PlotData!O35+ Normalkraft!$E$2*$AF$1*O34,PlotData!$CB$4)</f>
        <v>2.7448269999999999</v>
      </c>
      <c r="AS34" s="566">
        <f>IF(ISNUMBER(System!$C35),PlotData!P35+ Normalkraft!$E$2*$AF$1*P34,PlotData!$CB$4)</f>
        <v>2.5603278999999999</v>
      </c>
      <c r="AT34" s="566">
        <f>IF(ISNUMBER(System!$C35),PlotData!Q35+ Normalkraft!$E$2*$AF$1*Q34,PlotData!$CB$4)</f>
        <v>2.3758287999999999</v>
      </c>
      <c r="AU34" s="566">
        <f>IF(ISNUMBER(System!$C35),PlotData!R35+ Normalkraft!$E$2*$AF$1*R34,PlotData!$CB$4)</f>
        <v>2.1913296999999998</v>
      </c>
      <c r="AV34" s="566">
        <f>IF(ISNUMBER(System!$C35),PlotData!S35+Normalkraft!$E$2* $AF$1*S34,PlotData!$CB$4)</f>
        <v>2.0068305999999998</v>
      </c>
      <c r="AW34" s="566">
        <f>IF(ISNUMBER(System!$C35),PlotData!T35+ Normalkraft!$E$2*$AF$1*T34,PlotData!$CB$4)</f>
        <v>1.8223314999999998</v>
      </c>
      <c r="AX34" s="566">
        <f>IF(ISNUMBER(System!$C35),PlotData!U35+Normalkraft!$E$2* $AF$1*U34,PlotData!$CB$4)</f>
        <v>1.6378323999999997</v>
      </c>
      <c r="AY34" s="566">
        <f>IF(ISNUMBER(System!$C35),PlotData!V35+ Normalkraft!$E$2*$AF$1*V34,PlotData!$CB$4)</f>
        <v>1.4533332999999997</v>
      </c>
      <c r="AZ34" s="566">
        <f>IF(ISNUMBER(System!$C35),PlotData!W35+ Normalkraft!$E$2*$AF$1*W34,PlotData!$CB$4)</f>
        <v>1.2688341999999997</v>
      </c>
      <c r="BA34" s="566">
        <f>IF(ISNUMBER(System!$C35),PlotData!X35+ Normalkraft!$E$2*$AF$1*X34,PlotData!$CB$4)</f>
        <v>1.0843350999999997</v>
      </c>
      <c r="BB34" s="567">
        <f>IF(ISNUMBER(System!$C35),PlotData!Y35+Normalkraft!$E$2*$AF$1*Y34,PlotData!$CB$4)</f>
        <v>0.89983599999999964</v>
      </c>
      <c r="BC34" s="565">
        <f>IF(ISNUMBER(System!$C35),PlotData!Y35, PlotData!CB$4)</f>
        <v>0.89983599999999964</v>
      </c>
      <c r="BD34" s="566">
        <f>IF(ISNUMBER(System!$C35),PlotData!O35, PlotData!$CB$4)</f>
        <v>2.7448269999999999</v>
      </c>
      <c r="BE34" s="567">
        <f>IF(ISNUMBER(System!$C35), AR34,PlotData!$CB$4)</f>
        <v>2.7448269999999999</v>
      </c>
    </row>
    <row r="35" spans="1:57" x14ac:dyDescent="0.35">
      <c r="A35" s="564">
        <v>33</v>
      </c>
      <c r="B35" s="581">
        <v>0</v>
      </c>
      <c r="C35" s="582">
        <v>0</v>
      </c>
      <c r="D35" s="582">
        <v>0</v>
      </c>
      <c r="E35" s="582">
        <v>0</v>
      </c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3">
        <v>0</v>
      </c>
      <c r="N35" s="564">
        <v>33</v>
      </c>
      <c r="O35" s="565">
        <v>0</v>
      </c>
      <c r="P35" s="566">
        <v>0</v>
      </c>
      <c r="Q35" s="566">
        <v>0</v>
      </c>
      <c r="R35" s="566">
        <v>0</v>
      </c>
      <c r="S35" s="566">
        <v>0</v>
      </c>
      <c r="T35" s="566">
        <v>0</v>
      </c>
      <c r="U35" s="566">
        <v>0</v>
      </c>
      <c r="V35" s="566">
        <v>0</v>
      </c>
      <c r="W35" s="566">
        <v>0</v>
      </c>
      <c r="X35" s="566">
        <v>0</v>
      </c>
      <c r="Y35" s="567">
        <v>0</v>
      </c>
      <c r="AA35" s="580">
        <v>33</v>
      </c>
      <c r="AB35" s="565">
        <f>IF(ISNUMBER(System!$C36),PlotData!B36+ Normalkraft!$E$2*$AF$1*B35,PlotData!$CB$3)</f>
        <v>16.435649999999999</v>
      </c>
      <c r="AC35" s="566">
        <f>IF(ISNUMBER(System!$C36),PlotData!C36+ Normalkraft!$E$2*$AF$1*C35,PlotData!$CB$3)</f>
        <v>16.5376853</v>
      </c>
      <c r="AD35" s="566">
        <f>IF(ISNUMBER(System!$C36),PlotData!D36+ Normalkraft!$E$2*$AF$1*D35,PlotData!$CB$3)</f>
        <v>16.6397206</v>
      </c>
      <c r="AE35" s="566">
        <f>IF(ISNUMBER(System!$C36),PlotData!E36+ Normalkraft!$E$2*$AF$1*E35,PlotData!$CB$3)</f>
        <v>16.741755900000001</v>
      </c>
      <c r="AF35" s="566">
        <f>IF(ISNUMBER(System!$C36),PlotData!F36+Normalkraft!$E$2* $AF$1*F35,PlotData!$CB$3)</f>
        <v>16.843791200000002</v>
      </c>
      <c r="AG35" s="566">
        <f>IF(ISNUMBER(System!$C36),PlotData!G36+ Normalkraft!$E$2*$AF$1*G35,PlotData!$CB$3)</f>
        <v>16.945826500000003</v>
      </c>
      <c r="AH35" s="566">
        <f>IF(ISNUMBER(System!$C36),PlotData!H36+ Normalkraft!$E$2*$AF$1*H35,PlotData!$CB$3)</f>
        <v>17.047861800000003</v>
      </c>
      <c r="AI35" s="566">
        <f>IF(ISNUMBER(System!$C36),PlotData!I36+ Normalkraft!$E$2*$AF$1*I35,PlotData!$CB$3)</f>
        <v>17.149897100000004</v>
      </c>
      <c r="AJ35" s="566">
        <f>IF(ISNUMBER(System!$C36),PlotData!J36+ Normalkraft!$E$2*$AF$1*J35,PlotData!$CB$3)</f>
        <v>17.251932400000005</v>
      </c>
      <c r="AK35" s="566">
        <f>IF(ISNUMBER(System!$C36),PlotData!K36+Normalkraft!$E$2* $AF$1*K35,PlotData!$CB$3)</f>
        <v>17.353967700000005</v>
      </c>
      <c r="AL35" s="567">
        <f>IF(ISNUMBER(System!$C36),PlotData!L36+Normalkraft!$E$2* $AF$1*L35,PlotData!$CB$3)</f>
        <v>17.456003000000006</v>
      </c>
      <c r="AM35" s="565">
        <f>IF(ISNUMBER(System!$C36),PlotData!L36,PlotData!$CB$3)</f>
        <v>17.456003000000006</v>
      </c>
      <c r="AN35" s="566">
        <f>IF(ISNUMBER(System!$C36),PlotData!B36,PlotData!$CB$3)</f>
        <v>16.435649999999999</v>
      </c>
      <c r="AO35" s="447">
        <f>IF(ISNUMBER(System!$C36),AB35,PlotData!$CB$3)</f>
        <v>16.435649999999999</v>
      </c>
      <c r="AQ35" s="609">
        <v>33</v>
      </c>
      <c r="AR35" s="565">
        <f>IF(ISNUMBER(System!$C36),PlotData!O36+ Normalkraft!$E$2*$AF$1*O35,PlotData!$CB$4)</f>
        <v>2.7293310000000002</v>
      </c>
      <c r="AS35" s="566">
        <f>IF(ISNUMBER(System!$C36),PlotData!P36+ Normalkraft!$E$2*$AF$1*P35,PlotData!$CB$4)</f>
        <v>2.7308806000000003</v>
      </c>
      <c r="AT35" s="566">
        <f>IF(ISNUMBER(System!$C36),PlotData!Q36+ Normalkraft!$E$2*$AF$1*Q35,PlotData!$CB$4)</f>
        <v>2.7324302000000005</v>
      </c>
      <c r="AU35" s="566">
        <f>IF(ISNUMBER(System!$C36),PlotData!R36+ Normalkraft!$E$2*$AF$1*R35,PlotData!$CB$4)</f>
        <v>2.7339798000000006</v>
      </c>
      <c r="AV35" s="566">
        <f>IF(ISNUMBER(System!$C36),PlotData!S36+Normalkraft!$E$2* $AF$1*S35,PlotData!$CB$4)</f>
        <v>2.7355294000000008</v>
      </c>
      <c r="AW35" s="566">
        <f>IF(ISNUMBER(System!$C36),PlotData!T36+ Normalkraft!$E$2*$AF$1*T35,PlotData!$CB$4)</f>
        <v>2.7370790000000009</v>
      </c>
      <c r="AX35" s="566">
        <f>IF(ISNUMBER(System!$C36),PlotData!U36+Normalkraft!$E$2* $AF$1*U35,PlotData!$CB$4)</f>
        <v>2.7386286000000011</v>
      </c>
      <c r="AY35" s="566">
        <f>IF(ISNUMBER(System!$C36),PlotData!V36+ Normalkraft!$E$2*$AF$1*V35,PlotData!$CB$4)</f>
        <v>2.7401782000000012</v>
      </c>
      <c r="AZ35" s="566">
        <f>IF(ISNUMBER(System!$C36),PlotData!W36+ Normalkraft!$E$2*$AF$1*W35,PlotData!$CB$4)</f>
        <v>2.7417278000000014</v>
      </c>
      <c r="BA35" s="566">
        <f>IF(ISNUMBER(System!$C36),PlotData!X36+ Normalkraft!$E$2*$AF$1*X35,PlotData!$CB$4)</f>
        <v>2.7432774000000015</v>
      </c>
      <c r="BB35" s="567">
        <f>IF(ISNUMBER(System!$C36),PlotData!Y36+Normalkraft!$E$2*$AF$1*Y35,PlotData!$CB$4)</f>
        <v>2.7448270000000017</v>
      </c>
      <c r="BC35" s="565">
        <f>IF(ISNUMBER(System!$C36),PlotData!Y36, PlotData!CB$4)</f>
        <v>2.7448270000000017</v>
      </c>
      <c r="BD35" s="566">
        <f>IF(ISNUMBER(System!$C36),PlotData!O36, PlotData!$CB$4)</f>
        <v>2.7293310000000002</v>
      </c>
      <c r="BE35" s="567">
        <f>IF(ISNUMBER(System!$C36), AR35,PlotData!$CB$4)</f>
        <v>2.7293310000000002</v>
      </c>
    </row>
    <row r="36" spans="1:57" x14ac:dyDescent="0.35">
      <c r="A36" s="564">
        <v>34</v>
      </c>
      <c r="B36" s="581"/>
      <c r="C36" s="582"/>
      <c r="D36" s="582"/>
      <c r="E36" s="582"/>
      <c r="F36" s="582"/>
      <c r="G36" s="582"/>
      <c r="H36" s="582"/>
      <c r="I36" s="582"/>
      <c r="J36" s="582"/>
      <c r="K36" s="582"/>
      <c r="L36" s="583"/>
      <c r="N36" s="564">
        <v>34</v>
      </c>
      <c r="O36" s="565"/>
      <c r="P36" s="566"/>
      <c r="Q36" s="566"/>
      <c r="R36" s="566"/>
      <c r="S36" s="566"/>
      <c r="T36" s="566"/>
      <c r="U36" s="566"/>
      <c r="V36" s="566"/>
      <c r="W36" s="566"/>
      <c r="X36" s="566"/>
      <c r="Y36" s="567"/>
      <c r="AA36" s="580">
        <v>34</v>
      </c>
      <c r="AB36" s="565">
        <f>IF(ISNUMBER(System!$C37),PlotData!B37+ Normalkraft!$E$2*$AF$1*B36,PlotData!$CB$3)</f>
        <v>7.6500000953674316</v>
      </c>
      <c r="AC36" s="566">
        <f>IF(ISNUMBER(System!$C37),PlotData!C37+ Normalkraft!$E$2*$AF$1*C36,PlotData!$CB$3)</f>
        <v>7.6500000953674316</v>
      </c>
      <c r="AD36" s="566">
        <f>IF(ISNUMBER(System!$C37),PlotData!D37+ Normalkraft!$E$2*$AF$1*D36,PlotData!$CB$3)</f>
        <v>7.6500000953674316</v>
      </c>
      <c r="AE36" s="566">
        <f>IF(ISNUMBER(System!$C37),PlotData!E37+ Normalkraft!$E$2*$AF$1*E36,PlotData!$CB$3)</f>
        <v>7.6500000953674316</v>
      </c>
      <c r="AF36" s="566">
        <f>IF(ISNUMBER(System!$C37),PlotData!F37+Normalkraft!$E$2* $AF$1*F36,PlotData!$CB$3)</f>
        <v>7.6500000953674316</v>
      </c>
      <c r="AG36" s="566">
        <f>IF(ISNUMBER(System!$C37),PlotData!G37+ Normalkraft!$E$2*$AF$1*G36,PlotData!$CB$3)</f>
        <v>7.6500000953674316</v>
      </c>
      <c r="AH36" s="566">
        <f>IF(ISNUMBER(System!$C37),PlotData!H37+ Normalkraft!$E$2*$AF$1*H36,PlotData!$CB$3)</f>
        <v>7.6500000953674316</v>
      </c>
      <c r="AI36" s="566">
        <f>IF(ISNUMBER(System!$C37),PlotData!I37+ Normalkraft!$E$2*$AF$1*I36,PlotData!$CB$3)</f>
        <v>7.6500000953674316</v>
      </c>
      <c r="AJ36" s="566">
        <f>IF(ISNUMBER(System!$C37),PlotData!J37+ Normalkraft!$E$2*$AF$1*J36,PlotData!$CB$3)</f>
        <v>7.6500000953674316</v>
      </c>
      <c r="AK36" s="566">
        <f>IF(ISNUMBER(System!$C37),PlotData!K37+Normalkraft!$E$2* $AF$1*K36,PlotData!$CB$3)</f>
        <v>7.6500000953674316</v>
      </c>
      <c r="AL36" s="567">
        <f>IF(ISNUMBER(System!$C37),PlotData!L37+Normalkraft!$E$2* $AF$1*L36,PlotData!$CB$3)</f>
        <v>7.6500000953674316</v>
      </c>
      <c r="AM36" s="565">
        <f>IF(ISNUMBER(System!$C37),PlotData!L37,PlotData!$CB$3)</f>
        <v>7.6500000953674316</v>
      </c>
      <c r="AN36" s="566">
        <f>IF(ISNUMBER(System!$C37),PlotData!B37,PlotData!$CB$3)</f>
        <v>7.6500000953674316</v>
      </c>
      <c r="AO36" s="447">
        <f>IF(ISNUMBER(System!$C37),AB36,PlotData!$CB$3)</f>
        <v>7.6500000953674316</v>
      </c>
      <c r="AQ36" s="609">
        <v>34</v>
      </c>
      <c r="AR36" s="565">
        <f>IF(ISNUMBER(System!$C37),PlotData!O37+ Normalkraft!$E$2*$AF$1*O36,PlotData!$CB$4)</f>
        <v>0.75</v>
      </c>
      <c r="AS36" s="566">
        <f>IF(ISNUMBER(System!$C37),PlotData!P37+ Normalkraft!$E$2*$AF$1*P36,PlotData!$CB$4)</f>
        <v>0.75</v>
      </c>
      <c r="AT36" s="566">
        <f>IF(ISNUMBER(System!$C37),PlotData!Q37+ Normalkraft!$E$2*$AF$1*Q36,PlotData!$CB$4)</f>
        <v>0.75</v>
      </c>
      <c r="AU36" s="566">
        <f>IF(ISNUMBER(System!$C37),PlotData!R37+ Normalkraft!$E$2*$AF$1*R36,PlotData!$CB$4)</f>
        <v>0.75</v>
      </c>
      <c r="AV36" s="566">
        <f>IF(ISNUMBER(System!$C37),PlotData!S37+Normalkraft!$E$2* $AF$1*S36,PlotData!$CB$4)</f>
        <v>0.75</v>
      </c>
      <c r="AW36" s="566">
        <f>IF(ISNUMBER(System!$C37),PlotData!T37+ Normalkraft!$E$2*$AF$1*T36,PlotData!$CB$4)</f>
        <v>0.75</v>
      </c>
      <c r="AX36" s="566">
        <f>IF(ISNUMBER(System!$C37),PlotData!U37+Normalkraft!$E$2* $AF$1*U36,PlotData!$CB$4)</f>
        <v>0.75</v>
      </c>
      <c r="AY36" s="566">
        <f>IF(ISNUMBER(System!$C37),PlotData!V37+ Normalkraft!$E$2*$AF$1*V36,PlotData!$CB$4)</f>
        <v>0.75</v>
      </c>
      <c r="AZ36" s="566">
        <f>IF(ISNUMBER(System!$C37),PlotData!W37+ Normalkraft!$E$2*$AF$1*W36,PlotData!$CB$4)</f>
        <v>0.75</v>
      </c>
      <c r="BA36" s="566">
        <f>IF(ISNUMBER(System!$C37),PlotData!X37+ Normalkraft!$E$2*$AF$1*X36,PlotData!$CB$4)</f>
        <v>0.75</v>
      </c>
      <c r="BB36" s="567">
        <f>IF(ISNUMBER(System!$C37),PlotData!Y37+Normalkraft!$E$2*$AF$1*Y36,PlotData!$CB$4)</f>
        <v>0.75</v>
      </c>
      <c r="BC36" s="565">
        <f>IF(ISNUMBER(System!$C37),PlotData!Y37, PlotData!CB$4)</f>
        <v>0.75</v>
      </c>
      <c r="BD36" s="566">
        <f>IF(ISNUMBER(System!$C37),PlotData!O37, PlotData!$CB$4)</f>
        <v>0.75</v>
      </c>
      <c r="BE36" s="567">
        <f>IF(ISNUMBER(System!$C37), AR36,PlotData!$CB$4)</f>
        <v>0.75</v>
      </c>
    </row>
    <row r="37" spans="1:57" x14ac:dyDescent="0.35">
      <c r="A37" s="564">
        <v>35</v>
      </c>
      <c r="B37" s="581"/>
      <c r="C37" s="582"/>
      <c r="D37" s="582"/>
      <c r="E37" s="582"/>
      <c r="F37" s="582"/>
      <c r="G37" s="582"/>
      <c r="H37" s="582"/>
      <c r="I37" s="582"/>
      <c r="J37" s="582"/>
      <c r="K37" s="582"/>
      <c r="L37" s="583"/>
      <c r="N37" s="564">
        <v>35</v>
      </c>
      <c r="O37" s="565"/>
      <c r="P37" s="566"/>
      <c r="Q37" s="566"/>
      <c r="R37" s="566"/>
      <c r="S37" s="566"/>
      <c r="T37" s="566"/>
      <c r="U37" s="566"/>
      <c r="V37" s="566"/>
      <c r="W37" s="566"/>
      <c r="X37" s="566"/>
      <c r="Y37" s="567"/>
      <c r="AA37" s="580">
        <v>35</v>
      </c>
      <c r="AB37" s="565">
        <f>IF(ISNUMBER(System!$C38),PlotData!B38+ Normalkraft!$E$2*$AF$1*B37,PlotData!$CB$3)</f>
        <v>7.6500000953674316</v>
      </c>
      <c r="AC37" s="566">
        <f>IF(ISNUMBER(System!$C38),PlotData!C38+ Normalkraft!$E$2*$AF$1*C37,PlotData!$CB$3)</f>
        <v>7.6500000953674316</v>
      </c>
      <c r="AD37" s="566">
        <f>IF(ISNUMBER(System!$C38),PlotData!D38+ Normalkraft!$E$2*$AF$1*D37,PlotData!$CB$3)</f>
        <v>7.6500000953674316</v>
      </c>
      <c r="AE37" s="566">
        <f>IF(ISNUMBER(System!$C38),PlotData!E38+ Normalkraft!$E$2*$AF$1*E37,PlotData!$CB$3)</f>
        <v>7.6500000953674316</v>
      </c>
      <c r="AF37" s="566">
        <f>IF(ISNUMBER(System!$C38),PlotData!F38+Normalkraft!$E$2* $AF$1*F37,PlotData!$CB$3)</f>
        <v>7.6500000953674316</v>
      </c>
      <c r="AG37" s="566">
        <f>IF(ISNUMBER(System!$C38),PlotData!G38+ Normalkraft!$E$2*$AF$1*G37,PlotData!$CB$3)</f>
        <v>7.6500000953674316</v>
      </c>
      <c r="AH37" s="566">
        <f>IF(ISNUMBER(System!$C38),PlotData!H38+ Normalkraft!$E$2*$AF$1*H37,PlotData!$CB$3)</f>
        <v>7.6500000953674316</v>
      </c>
      <c r="AI37" s="566">
        <f>IF(ISNUMBER(System!$C38),PlotData!I38+ Normalkraft!$E$2*$AF$1*I37,PlotData!$CB$3)</f>
        <v>7.6500000953674316</v>
      </c>
      <c r="AJ37" s="566">
        <f>IF(ISNUMBER(System!$C38),PlotData!J38+ Normalkraft!$E$2*$AF$1*J37,PlotData!$CB$3)</f>
        <v>7.6500000953674316</v>
      </c>
      <c r="AK37" s="566">
        <f>IF(ISNUMBER(System!$C38),PlotData!K38+Normalkraft!$E$2* $AF$1*K37,PlotData!$CB$3)</f>
        <v>7.6500000953674316</v>
      </c>
      <c r="AL37" s="567">
        <f>IF(ISNUMBER(System!$C38),PlotData!L38+Normalkraft!$E$2* $AF$1*L37,PlotData!$CB$3)</f>
        <v>7.6500000953674316</v>
      </c>
      <c r="AM37" s="565">
        <f>IF(ISNUMBER(System!$C38),PlotData!L38,PlotData!$CB$3)</f>
        <v>7.6500000953674316</v>
      </c>
      <c r="AN37" s="566">
        <f>IF(ISNUMBER(System!$C38),PlotData!B38,PlotData!$CB$3)</f>
        <v>7.6500000953674316</v>
      </c>
      <c r="AO37" s="447">
        <f>IF(ISNUMBER(System!$C38),AB37,PlotData!$CB$3)</f>
        <v>7.6500000953674316</v>
      </c>
      <c r="AQ37" s="609">
        <v>35</v>
      </c>
      <c r="AR37" s="565">
        <f>IF(ISNUMBER(System!$C38),PlotData!O38+ Normalkraft!$E$2*$AF$1*O37,PlotData!$CB$4)</f>
        <v>0.75</v>
      </c>
      <c r="AS37" s="566">
        <f>IF(ISNUMBER(System!$C38),PlotData!P38+ Normalkraft!$E$2*$AF$1*P37,PlotData!$CB$4)</f>
        <v>0.75</v>
      </c>
      <c r="AT37" s="566">
        <f>IF(ISNUMBER(System!$C38),PlotData!Q38+ Normalkraft!$E$2*$AF$1*Q37,PlotData!$CB$4)</f>
        <v>0.75</v>
      </c>
      <c r="AU37" s="566">
        <f>IF(ISNUMBER(System!$C38),PlotData!R38+ Normalkraft!$E$2*$AF$1*R37,PlotData!$CB$4)</f>
        <v>0.75</v>
      </c>
      <c r="AV37" s="566">
        <f>IF(ISNUMBER(System!$C38),PlotData!S38+Normalkraft!$E$2* $AF$1*S37,PlotData!$CB$4)</f>
        <v>0.75</v>
      </c>
      <c r="AW37" s="566">
        <f>IF(ISNUMBER(System!$C38),PlotData!T38+ Normalkraft!$E$2*$AF$1*T37,PlotData!$CB$4)</f>
        <v>0.75</v>
      </c>
      <c r="AX37" s="566">
        <f>IF(ISNUMBER(System!$C38),PlotData!U38+Normalkraft!$E$2* $AF$1*U37,PlotData!$CB$4)</f>
        <v>0.75</v>
      </c>
      <c r="AY37" s="566">
        <f>IF(ISNUMBER(System!$C38),PlotData!V38+ Normalkraft!$E$2*$AF$1*V37,PlotData!$CB$4)</f>
        <v>0.75</v>
      </c>
      <c r="AZ37" s="566">
        <f>IF(ISNUMBER(System!$C38),PlotData!W38+ Normalkraft!$E$2*$AF$1*W37,PlotData!$CB$4)</f>
        <v>0.75</v>
      </c>
      <c r="BA37" s="566">
        <f>IF(ISNUMBER(System!$C38),PlotData!X38+ Normalkraft!$E$2*$AF$1*X37,PlotData!$CB$4)</f>
        <v>0.75</v>
      </c>
      <c r="BB37" s="567">
        <f>IF(ISNUMBER(System!$C38),PlotData!Y38+Normalkraft!$E$2*$AF$1*Y37,PlotData!$CB$4)</f>
        <v>0.75</v>
      </c>
      <c r="BC37" s="565">
        <f>IF(ISNUMBER(System!$C38),PlotData!Y38, PlotData!CB$4)</f>
        <v>0.75</v>
      </c>
      <c r="BD37" s="566">
        <f>IF(ISNUMBER(System!$C38),PlotData!O38, PlotData!$CB$4)</f>
        <v>0.75</v>
      </c>
      <c r="BE37" s="567">
        <f>IF(ISNUMBER(System!$C38), AR37,PlotData!$CB$4)</f>
        <v>0.75</v>
      </c>
    </row>
    <row r="38" spans="1:57" x14ac:dyDescent="0.35">
      <c r="A38" s="564">
        <v>36</v>
      </c>
      <c r="B38" s="581"/>
      <c r="C38" s="582"/>
      <c r="D38" s="582"/>
      <c r="E38" s="582"/>
      <c r="F38" s="582"/>
      <c r="G38" s="582"/>
      <c r="H38" s="582"/>
      <c r="I38" s="582"/>
      <c r="J38" s="582"/>
      <c r="K38" s="582"/>
      <c r="L38" s="583"/>
      <c r="N38" s="564">
        <v>36</v>
      </c>
      <c r="O38" s="565"/>
      <c r="P38" s="566"/>
      <c r="Q38" s="566"/>
      <c r="R38" s="566"/>
      <c r="S38" s="566"/>
      <c r="T38" s="566"/>
      <c r="U38" s="566"/>
      <c r="V38" s="566"/>
      <c r="W38" s="566"/>
      <c r="X38" s="566"/>
      <c r="Y38" s="567"/>
      <c r="AA38" s="580">
        <v>36</v>
      </c>
      <c r="AB38" s="565">
        <f>IF(ISNUMBER(System!$C39),PlotData!B39+ Normalkraft!$E$2*$AF$1*B38,PlotData!$CB$3)</f>
        <v>7.6500000953674316</v>
      </c>
      <c r="AC38" s="566">
        <f>IF(ISNUMBER(System!$C39),PlotData!C39+ Normalkraft!$E$2*$AF$1*C38,PlotData!$CB$3)</f>
        <v>7.6500000953674316</v>
      </c>
      <c r="AD38" s="566">
        <f>IF(ISNUMBER(System!$C39),PlotData!D39+ Normalkraft!$E$2*$AF$1*D38,PlotData!$CB$3)</f>
        <v>7.6500000953674316</v>
      </c>
      <c r="AE38" s="566">
        <f>IF(ISNUMBER(System!$C39),PlotData!E39+ Normalkraft!$E$2*$AF$1*E38,PlotData!$CB$3)</f>
        <v>7.6500000953674316</v>
      </c>
      <c r="AF38" s="566">
        <f>IF(ISNUMBER(System!$C39),PlotData!F39+Normalkraft!$E$2* $AF$1*F38,PlotData!$CB$3)</f>
        <v>7.6500000953674316</v>
      </c>
      <c r="AG38" s="566">
        <f>IF(ISNUMBER(System!$C39),PlotData!G39+ Normalkraft!$E$2*$AF$1*G38,PlotData!$CB$3)</f>
        <v>7.6500000953674316</v>
      </c>
      <c r="AH38" s="566">
        <f>IF(ISNUMBER(System!$C39),PlotData!H39+ Normalkraft!$E$2*$AF$1*H38,PlotData!$CB$3)</f>
        <v>7.6500000953674316</v>
      </c>
      <c r="AI38" s="566">
        <f>IF(ISNUMBER(System!$C39),PlotData!I39+ Normalkraft!$E$2*$AF$1*I38,PlotData!$CB$3)</f>
        <v>7.6500000953674316</v>
      </c>
      <c r="AJ38" s="566">
        <f>IF(ISNUMBER(System!$C39),PlotData!J39+ Normalkraft!$E$2*$AF$1*J38,PlotData!$CB$3)</f>
        <v>7.6500000953674316</v>
      </c>
      <c r="AK38" s="566">
        <f>IF(ISNUMBER(System!$C39),PlotData!K39+Normalkraft!$E$2* $AF$1*K38,PlotData!$CB$3)</f>
        <v>7.6500000953674316</v>
      </c>
      <c r="AL38" s="567">
        <f>IF(ISNUMBER(System!$C39),PlotData!L39+Normalkraft!$E$2* $AF$1*L38,PlotData!$CB$3)</f>
        <v>7.6500000953674316</v>
      </c>
      <c r="AM38" s="565">
        <f>IF(ISNUMBER(System!$C39),PlotData!L39,PlotData!$CB$3)</f>
        <v>7.6500000953674316</v>
      </c>
      <c r="AN38" s="566">
        <f>IF(ISNUMBER(System!$C39),PlotData!B39,PlotData!$CB$3)</f>
        <v>7.6500000953674316</v>
      </c>
      <c r="AO38" s="447">
        <f>IF(ISNUMBER(System!$C39),AB38,PlotData!$CB$3)</f>
        <v>7.6500000953674316</v>
      </c>
      <c r="AQ38" s="609">
        <v>36</v>
      </c>
      <c r="AR38" s="565">
        <f>IF(ISNUMBER(System!$C39),PlotData!O39+ Normalkraft!$E$2*$AF$1*O38,PlotData!$CB$4)</f>
        <v>0.75</v>
      </c>
      <c r="AS38" s="566">
        <f>IF(ISNUMBER(System!$C39),PlotData!P39+ Normalkraft!$E$2*$AF$1*P38,PlotData!$CB$4)</f>
        <v>0.75</v>
      </c>
      <c r="AT38" s="566">
        <f>IF(ISNUMBER(System!$C39),PlotData!Q39+ Normalkraft!$E$2*$AF$1*Q38,PlotData!$CB$4)</f>
        <v>0.75</v>
      </c>
      <c r="AU38" s="566">
        <f>IF(ISNUMBER(System!$C39),PlotData!R39+ Normalkraft!$E$2*$AF$1*R38,PlotData!$CB$4)</f>
        <v>0.75</v>
      </c>
      <c r="AV38" s="566">
        <f>IF(ISNUMBER(System!$C39),PlotData!S39+Normalkraft!$E$2* $AF$1*S38,PlotData!$CB$4)</f>
        <v>0.75</v>
      </c>
      <c r="AW38" s="566">
        <f>IF(ISNUMBER(System!$C39),PlotData!T39+ Normalkraft!$E$2*$AF$1*T38,PlotData!$CB$4)</f>
        <v>0.75</v>
      </c>
      <c r="AX38" s="566">
        <f>IF(ISNUMBER(System!$C39),PlotData!U39+Normalkraft!$E$2* $AF$1*U38,PlotData!$CB$4)</f>
        <v>0.75</v>
      </c>
      <c r="AY38" s="566">
        <f>IF(ISNUMBER(System!$C39),PlotData!V39+ Normalkraft!$E$2*$AF$1*V38,PlotData!$CB$4)</f>
        <v>0.75</v>
      </c>
      <c r="AZ38" s="566">
        <f>IF(ISNUMBER(System!$C39),PlotData!W39+ Normalkraft!$E$2*$AF$1*W38,PlotData!$CB$4)</f>
        <v>0.75</v>
      </c>
      <c r="BA38" s="566">
        <f>IF(ISNUMBER(System!$C39),PlotData!X39+ Normalkraft!$E$2*$AF$1*X38,PlotData!$CB$4)</f>
        <v>0.75</v>
      </c>
      <c r="BB38" s="567">
        <f>IF(ISNUMBER(System!$C39),PlotData!Y39+Normalkraft!$E$2*$AF$1*Y38,PlotData!$CB$4)</f>
        <v>0.75</v>
      </c>
      <c r="BC38" s="565">
        <f>IF(ISNUMBER(System!$C39),PlotData!Y39, PlotData!CB$4)</f>
        <v>0.75</v>
      </c>
      <c r="BD38" s="566">
        <f>IF(ISNUMBER(System!$C39),PlotData!O39, PlotData!$CB$4)</f>
        <v>0.75</v>
      </c>
      <c r="BE38" s="567">
        <f>IF(ISNUMBER(System!$C39), AR38,PlotData!$CB$4)</f>
        <v>0.75</v>
      </c>
    </row>
    <row r="39" spans="1:57" x14ac:dyDescent="0.35">
      <c r="A39" s="564">
        <v>37</v>
      </c>
      <c r="B39" s="581"/>
      <c r="C39" s="582"/>
      <c r="D39" s="582"/>
      <c r="E39" s="582"/>
      <c r="F39" s="582"/>
      <c r="G39" s="582"/>
      <c r="H39" s="582"/>
      <c r="I39" s="582"/>
      <c r="J39" s="582"/>
      <c r="K39" s="582"/>
      <c r="L39" s="583"/>
      <c r="N39" s="564">
        <v>37</v>
      </c>
      <c r="O39" s="565"/>
      <c r="P39" s="566"/>
      <c r="Q39" s="566"/>
      <c r="R39" s="566"/>
      <c r="S39" s="566"/>
      <c r="T39" s="566"/>
      <c r="U39" s="566"/>
      <c r="V39" s="566"/>
      <c r="W39" s="566"/>
      <c r="X39" s="566"/>
      <c r="Y39" s="567"/>
      <c r="AA39" s="580">
        <v>37</v>
      </c>
      <c r="AB39" s="565">
        <f>IF(ISNUMBER(System!$C40),PlotData!B40+ Normalkraft!$E$2*$AF$1*B39,PlotData!$CB$3)</f>
        <v>7.6500000953674316</v>
      </c>
      <c r="AC39" s="566">
        <f>IF(ISNUMBER(System!$C40),PlotData!C40+ Normalkraft!$E$2*$AF$1*C39,PlotData!$CB$3)</f>
        <v>7.6500000953674316</v>
      </c>
      <c r="AD39" s="566">
        <f>IF(ISNUMBER(System!$C40),PlotData!D40+ Normalkraft!$E$2*$AF$1*D39,PlotData!$CB$3)</f>
        <v>7.6500000953674316</v>
      </c>
      <c r="AE39" s="566">
        <f>IF(ISNUMBER(System!$C40),PlotData!E40+ Normalkraft!$E$2*$AF$1*E39,PlotData!$CB$3)</f>
        <v>7.6500000953674316</v>
      </c>
      <c r="AF39" s="566">
        <f>IF(ISNUMBER(System!$C40),PlotData!F40+Normalkraft!$E$2* $AF$1*F39,PlotData!$CB$3)</f>
        <v>7.6500000953674316</v>
      </c>
      <c r="AG39" s="566">
        <f>IF(ISNUMBER(System!$C40),PlotData!G40+ Normalkraft!$E$2*$AF$1*G39,PlotData!$CB$3)</f>
        <v>7.6500000953674316</v>
      </c>
      <c r="AH39" s="566">
        <f>IF(ISNUMBER(System!$C40),PlotData!H40+ Normalkraft!$E$2*$AF$1*H39,PlotData!$CB$3)</f>
        <v>7.6500000953674316</v>
      </c>
      <c r="AI39" s="566">
        <f>IF(ISNUMBER(System!$C40),PlotData!I40+ Normalkraft!$E$2*$AF$1*I39,PlotData!$CB$3)</f>
        <v>7.6500000953674316</v>
      </c>
      <c r="AJ39" s="566">
        <f>IF(ISNUMBER(System!$C40),PlotData!J40+ Normalkraft!$E$2*$AF$1*J39,PlotData!$CB$3)</f>
        <v>7.6500000953674316</v>
      </c>
      <c r="AK39" s="566">
        <f>IF(ISNUMBER(System!$C40),PlotData!K40+Normalkraft!$E$2* $AF$1*K39,PlotData!$CB$3)</f>
        <v>7.6500000953674316</v>
      </c>
      <c r="AL39" s="567">
        <f>IF(ISNUMBER(System!$C40),PlotData!L40+Normalkraft!$E$2* $AF$1*L39,PlotData!$CB$3)</f>
        <v>7.6500000953674316</v>
      </c>
      <c r="AM39" s="565">
        <f>IF(ISNUMBER(System!$C40),PlotData!L40,PlotData!$CB$3)</f>
        <v>7.6500000953674316</v>
      </c>
      <c r="AN39" s="566">
        <f>IF(ISNUMBER(System!$C40),PlotData!B40,PlotData!$CB$3)</f>
        <v>7.6500000953674316</v>
      </c>
      <c r="AO39" s="447">
        <f>IF(ISNUMBER(System!$C40),AB39,PlotData!$CB$3)</f>
        <v>7.6500000953674316</v>
      </c>
      <c r="AQ39" s="609">
        <v>37</v>
      </c>
      <c r="AR39" s="565">
        <f>IF(ISNUMBER(System!$C40),PlotData!O40+ Normalkraft!$E$2*$AF$1*O39,PlotData!$CB$4)</f>
        <v>0.75</v>
      </c>
      <c r="AS39" s="566">
        <f>IF(ISNUMBER(System!$C40),PlotData!P40+ Normalkraft!$E$2*$AF$1*P39,PlotData!$CB$4)</f>
        <v>0.75</v>
      </c>
      <c r="AT39" s="566">
        <f>IF(ISNUMBER(System!$C40),PlotData!Q40+ Normalkraft!$E$2*$AF$1*Q39,PlotData!$CB$4)</f>
        <v>0.75</v>
      </c>
      <c r="AU39" s="566">
        <f>IF(ISNUMBER(System!$C40),PlotData!R40+ Normalkraft!$E$2*$AF$1*R39,PlotData!$CB$4)</f>
        <v>0.75</v>
      </c>
      <c r="AV39" s="566">
        <f>IF(ISNUMBER(System!$C40),PlotData!S40+Normalkraft!$E$2* $AF$1*S39,PlotData!$CB$4)</f>
        <v>0.75</v>
      </c>
      <c r="AW39" s="566">
        <f>IF(ISNUMBER(System!$C40),PlotData!T40+ Normalkraft!$E$2*$AF$1*T39,PlotData!$CB$4)</f>
        <v>0.75</v>
      </c>
      <c r="AX39" s="566">
        <f>IF(ISNUMBER(System!$C40),PlotData!U40+Normalkraft!$E$2* $AF$1*U39,PlotData!$CB$4)</f>
        <v>0.75</v>
      </c>
      <c r="AY39" s="566">
        <f>IF(ISNUMBER(System!$C40),PlotData!V40+ Normalkraft!$E$2*$AF$1*V39,PlotData!$CB$4)</f>
        <v>0.75</v>
      </c>
      <c r="AZ39" s="566">
        <f>IF(ISNUMBER(System!$C40),PlotData!W40+ Normalkraft!$E$2*$AF$1*W39,PlotData!$CB$4)</f>
        <v>0.75</v>
      </c>
      <c r="BA39" s="566">
        <f>IF(ISNUMBER(System!$C40),PlotData!X40+ Normalkraft!$E$2*$AF$1*X39,PlotData!$CB$4)</f>
        <v>0.75</v>
      </c>
      <c r="BB39" s="567">
        <f>IF(ISNUMBER(System!$C40),PlotData!Y40+Normalkraft!$E$2*$AF$1*Y39,PlotData!$CB$4)</f>
        <v>0.75</v>
      </c>
      <c r="BC39" s="565">
        <f>IF(ISNUMBER(System!$C40),PlotData!Y40, PlotData!CB$4)</f>
        <v>0.75</v>
      </c>
      <c r="BD39" s="566">
        <f>IF(ISNUMBER(System!$C40),PlotData!O40, PlotData!$CB$4)</f>
        <v>0.75</v>
      </c>
      <c r="BE39" s="567">
        <f>IF(ISNUMBER(System!$C40), AR39,PlotData!$CB$4)</f>
        <v>0.75</v>
      </c>
    </row>
    <row r="40" spans="1:57" x14ac:dyDescent="0.35">
      <c r="A40" s="564">
        <v>38</v>
      </c>
      <c r="B40" s="581"/>
      <c r="C40" s="582"/>
      <c r="D40" s="582"/>
      <c r="E40" s="582"/>
      <c r="F40" s="582"/>
      <c r="G40" s="582"/>
      <c r="H40" s="582"/>
      <c r="I40" s="582"/>
      <c r="J40" s="582"/>
      <c r="K40" s="582"/>
      <c r="L40" s="583"/>
      <c r="N40" s="564">
        <v>38</v>
      </c>
      <c r="O40" s="565"/>
      <c r="P40" s="566"/>
      <c r="Q40" s="566"/>
      <c r="R40" s="566"/>
      <c r="S40" s="566"/>
      <c r="T40" s="566"/>
      <c r="U40" s="566"/>
      <c r="V40" s="566"/>
      <c r="W40" s="566"/>
      <c r="X40" s="566"/>
      <c r="Y40" s="567"/>
      <c r="AA40" s="580">
        <v>38</v>
      </c>
      <c r="AB40" s="565">
        <f>IF(ISNUMBER(System!$C41),PlotData!B41+ Normalkraft!$E$2*$AF$1*B40,PlotData!$CB$3)</f>
        <v>7.6500000953674316</v>
      </c>
      <c r="AC40" s="566">
        <f>IF(ISNUMBER(System!$C41),PlotData!C41+ Normalkraft!$E$2*$AF$1*C40,PlotData!$CB$3)</f>
        <v>7.6500000953674316</v>
      </c>
      <c r="AD40" s="566">
        <f>IF(ISNUMBER(System!$C41),PlotData!D41+ Normalkraft!$E$2*$AF$1*D40,PlotData!$CB$3)</f>
        <v>7.6500000953674316</v>
      </c>
      <c r="AE40" s="566">
        <f>IF(ISNUMBER(System!$C41),PlotData!E41+ Normalkraft!$E$2*$AF$1*E40,PlotData!$CB$3)</f>
        <v>7.6500000953674316</v>
      </c>
      <c r="AF40" s="566">
        <f>IF(ISNUMBER(System!$C41),PlotData!F41+Normalkraft!$E$2* $AF$1*F40,PlotData!$CB$3)</f>
        <v>7.6500000953674316</v>
      </c>
      <c r="AG40" s="566">
        <f>IF(ISNUMBER(System!$C41),PlotData!G41+ Normalkraft!$E$2*$AF$1*G40,PlotData!$CB$3)</f>
        <v>7.6500000953674316</v>
      </c>
      <c r="AH40" s="566">
        <f>IF(ISNUMBER(System!$C41),PlotData!H41+ Normalkraft!$E$2*$AF$1*H40,PlotData!$CB$3)</f>
        <v>7.6500000953674316</v>
      </c>
      <c r="AI40" s="566">
        <f>IF(ISNUMBER(System!$C41),PlotData!I41+ Normalkraft!$E$2*$AF$1*I40,PlotData!$CB$3)</f>
        <v>7.6500000953674316</v>
      </c>
      <c r="AJ40" s="566">
        <f>IF(ISNUMBER(System!$C41),PlotData!J41+ Normalkraft!$E$2*$AF$1*J40,PlotData!$CB$3)</f>
        <v>7.6500000953674316</v>
      </c>
      <c r="AK40" s="566">
        <f>IF(ISNUMBER(System!$C41),PlotData!K41+Normalkraft!$E$2* $AF$1*K40,PlotData!$CB$3)</f>
        <v>7.6500000953674316</v>
      </c>
      <c r="AL40" s="567">
        <f>IF(ISNUMBER(System!$C41),PlotData!L41+Normalkraft!$E$2* $AF$1*L40,PlotData!$CB$3)</f>
        <v>7.6500000953674316</v>
      </c>
      <c r="AM40" s="565">
        <f>IF(ISNUMBER(System!$C41),PlotData!L41,PlotData!$CB$3)</f>
        <v>7.6500000953674316</v>
      </c>
      <c r="AN40" s="566">
        <f>IF(ISNUMBER(System!$C41),PlotData!B41,PlotData!$CB$3)</f>
        <v>7.6500000953674316</v>
      </c>
      <c r="AO40" s="447">
        <f>IF(ISNUMBER(System!$C41),AB40,PlotData!$CB$3)</f>
        <v>7.6500000953674316</v>
      </c>
      <c r="AQ40" s="609">
        <v>38</v>
      </c>
      <c r="AR40" s="565">
        <f>IF(ISNUMBER(System!$C41),PlotData!O41+ Normalkraft!$E$2*$AF$1*O40,PlotData!$CB$4)</f>
        <v>0.75</v>
      </c>
      <c r="AS40" s="566">
        <f>IF(ISNUMBER(System!$C41),PlotData!P41+ Normalkraft!$E$2*$AF$1*P40,PlotData!$CB$4)</f>
        <v>0.75</v>
      </c>
      <c r="AT40" s="566">
        <f>IF(ISNUMBER(System!$C41),PlotData!Q41+ Normalkraft!$E$2*$AF$1*Q40,PlotData!$CB$4)</f>
        <v>0.75</v>
      </c>
      <c r="AU40" s="566">
        <f>IF(ISNUMBER(System!$C41),PlotData!R41+ Normalkraft!$E$2*$AF$1*R40,PlotData!$CB$4)</f>
        <v>0.75</v>
      </c>
      <c r="AV40" s="566">
        <f>IF(ISNUMBER(System!$C41),PlotData!S41+Normalkraft!$E$2* $AF$1*S40,PlotData!$CB$4)</f>
        <v>0.75</v>
      </c>
      <c r="AW40" s="566">
        <f>IF(ISNUMBER(System!$C41),PlotData!T41+ Normalkraft!$E$2*$AF$1*T40,PlotData!$CB$4)</f>
        <v>0.75</v>
      </c>
      <c r="AX40" s="566">
        <f>IF(ISNUMBER(System!$C41),PlotData!U41+Normalkraft!$E$2* $AF$1*U40,PlotData!$CB$4)</f>
        <v>0.75</v>
      </c>
      <c r="AY40" s="566">
        <f>IF(ISNUMBER(System!$C41),PlotData!V41+ Normalkraft!$E$2*$AF$1*V40,PlotData!$CB$4)</f>
        <v>0.75</v>
      </c>
      <c r="AZ40" s="566">
        <f>IF(ISNUMBER(System!$C41),PlotData!W41+ Normalkraft!$E$2*$AF$1*W40,PlotData!$CB$4)</f>
        <v>0.75</v>
      </c>
      <c r="BA40" s="566">
        <f>IF(ISNUMBER(System!$C41),PlotData!X41+ Normalkraft!$E$2*$AF$1*X40,PlotData!$CB$4)</f>
        <v>0.75</v>
      </c>
      <c r="BB40" s="567">
        <f>IF(ISNUMBER(System!$C41),PlotData!Y41+Normalkraft!$E$2*$AF$1*Y40,PlotData!$CB$4)</f>
        <v>0.75</v>
      </c>
      <c r="BC40" s="565">
        <f>IF(ISNUMBER(System!$C41),PlotData!Y41, PlotData!CB$4)</f>
        <v>0.75</v>
      </c>
      <c r="BD40" s="566">
        <f>IF(ISNUMBER(System!$C41),PlotData!O41, PlotData!$CB$4)</f>
        <v>0.75</v>
      </c>
      <c r="BE40" s="567">
        <f>IF(ISNUMBER(System!$C41), AR40,PlotData!$CB$4)</f>
        <v>0.75</v>
      </c>
    </row>
    <row r="41" spans="1:57" x14ac:dyDescent="0.35">
      <c r="A41" s="564">
        <v>39</v>
      </c>
      <c r="B41" s="581"/>
      <c r="C41" s="582"/>
      <c r="D41" s="582"/>
      <c r="E41" s="582"/>
      <c r="F41" s="582"/>
      <c r="G41" s="582"/>
      <c r="H41" s="582"/>
      <c r="I41" s="582"/>
      <c r="J41" s="582"/>
      <c r="K41" s="582"/>
      <c r="L41" s="583"/>
      <c r="N41" s="564">
        <v>39</v>
      </c>
      <c r="O41" s="565"/>
      <c r="P41" s="566"/>
      <c r="Q41" s="566"/>
      <c r="R41" s="566"/>
      <c r="S41" s="566"/>
      <c r="T41" s="566"/>
      <c r="U41" s="566"/>
      <c r="V41" s="566"/>
      <c r="W41" s="566"/>
      <c r="X41" s="566"/>
      <c r="Y41" s="567"/>
      <c r="AA41" s="580">
        <v>39</v>
      </c>
      <c r="AB41" s="565">
        <f>IF(ISNUMBER(System!$C42),PlotData!B42+ Normalkraft!$E$2*$AF$1*B41,PlotData!$CB$3)</f>
        <v>7.6500000953674316</v>
      </c>
      <c r="AC41" s="566">
        <f>IF(ISNUMBER(System!$C42),PlotData!C42+ Normalkraft!$E$2*$AF$1*C41,PlotData!$CB$3)</f>
        <v>7.6500000953674316</v>
      </c>
      <c r="AD41" s="566">
        <f>IF(ISNUMBER(System!$C42),PlotData!D42+ Normalkraft!$E$2*$AF$1*D41,PlotData!$CB$3)</f>
        <v>7.6500000953674316</v>
      </c>
      <c r="AE41" s="566">
        <f>IF(ISNUMBER(System!$C42),PlotData!E42+ Normalkraft!$E$2*$AF$1*E41,PlotData!$CB$3)</f>
        <v>7.6500000953674316</v>
      </c>
      <c r="AF41" s="566">
        <f>IF(ISNUMBER(System!$C42),PlotData!F42+Normalkraft!$E$2* $AF$1*F41,PlotData!$CB$3)</f>
        <v>7.6500000953674316</v>
      </c>
      <c r="AG41" s="566">
        <f>IF(ISNUMBER(System!$C42),PlotData!G42+ Normalkraft!$E$2*$AF$1*G41,PlotData!$CB$3)</f>
        <v>7.6500000953674316</v>
      </c>
      <c r="AH41" s="566">
        <f>IF(ISNUMBER(System!$C42),PlotData!H42+ Normalkraft!$E$2*$AF$1*H41,PlotData!$CB$3)</f>
        <v>7.6500000953674316</v>
      </c>
      <c r="AI41" s="566">
        <f>IF(ISNUMBER(System!$C42),PlotData!I42+ Normalkraft!$E$2*$AF$1*I41,PlotData!$CB$3)</f>
        <v>7.6500000953674316</v>
      </c>
      <c r="AJ41" s="566">
        <f>IF(ISNUMBER(System!$C42),PlotData!J42+ Normalkraft!$E$2*$AF$1*J41,PlotData!$CB$3)</f>
        <v>7.6500000953674316</v>
      </c>
      <c r="AK41" s="566">
        <f>IF(ISNUMBER(System!$C42),PlotData!K42+Normalkraft!$E$2* $AF$1*K41,PlotData!$CB$3)</f>
        <v>7.6500000953674316</v>
      </c>
      <c r="AL41" s="567">
        <f>IF(ISNUMBER(System!$C42),PlotData!L42+Normalkraft!$E$2* $AF$1*L41,PlotData!$CB$3)</f>
        <v>7.6500000953674316</v>
      </c>
      <c r="AM41" s="565">
        <f>IF(ISNUMBER(System!$C42),PlotData!L42,PlotData!$CB$3)</f>
        <v>7.6500000953674316</v>
      </c>
      <c r="AN41" s="566">
        <f>IF(ISNUMBER(System!$C42),PlotData!B42,PlotData!$CB$3)</f>
        <v>7.6500000953674316</v>
      </c>
      <c r="AO41" s="447">
        <f>IF(ISNUMBER(System!$C42),AB41,PlotData!$CB$3)</f>
        <v>7.6500000953674316</v>
      </c>
      <c r="AQ41" s="609">
        <v>39</v>
      </c>
      <c r="AR41" s="565">
        <f>IF(ISNUMBER(System!$C42),PlotData!O42+ Normalkraft!$E$2*$AF$1*O41,PlotData!$CB$4)</f>
        <v>0.75</v>
      </c>
      <c r="AS41" s="566">
        <f>IF(ISNUMBER(System!$C42),PlotData!P42+ Normalkraft!$E$2*$AF$1*P41,PlotData!$CB$4)</f>
        <v>0.75</v>
      </c>
      <c r="AT41" s="566">
        <f>IF(ISNUMBER(System!$C42),PlotData!Q42+ Normalkraft!$E$2*$AF$1*Q41,PlotData!$CB$4)</f>
        <v>0.75</v>
      </c>
      <c r="AU41" s="566">
        <f>IF(ISNUMBER(System!$C42),PlotData!R42+ Normalkraft!$E$2*$AF$1*R41,PlotData!$CB$4)</f>
        <v>0.75</v>
      </c>
      <c r="AV41" s="566">
        <f>IF(ISNUMBER(System!$C42),PlotData!S42+Normalkraft!$E$2* $AF$1*S41,PlotData!$CB$4)</f>
        <v>0.75</v>
      </c>
      <c r="AW41" s="566">
        <f>IF(ISNUMBER(System!$C42),PlotData!T42+ Normalkraft!$E$2*$AF$1*T41,PlotData!$CB$4)</f>
        <v>0.75</v>
      </c>
      <c r="AX41" s="566">
        <f>IF(ISNUMBER(System!$C42),PlotData!U42+Normalkraft!$E$2* $AF$1*U41,PlotData!$CB$4)</f>
        <v>0.75</v>
      </c>
      <c r="AY41" s="566">
        <f>IF(ISNUMBER(System!$C42),PlotData!V42+ Normalkraft!$E$2*$AF$1*V41,PlotData!$CB$4)</f>
        <v>0.75</v>
      </c>
      <c r="AZ41" s="566">
        <f>IF(ISNUMBER(System!$C42),PlotData!W42+ Normalkraft!$E$2*$AF$1*W41,PlotData!$CB$4)</f>
        <v>0.75</v>
      </c>
      <c r="BA41" s="566">
        <f>IF(ISNUMBER(System!$C42),PlotData!X42+ Normalkraft!$E$2*$AF$1*X41,PlotData!$CB$4)</f>
        <v>0.75</v>
      </c>
      <c r="BB41" s="567">
        <f>IF(ISNUMBER(System!$C42),PlotData!Y42+Normalkraft!$E$2*$AF$1*Y41,PlotData!$CB$4)</f>
        <v>0.75</v>
      </c>
      <c r="BC41" s="565">
        <f>IF(ISNUMBER(System!$C42),PlotData!Y42, PlotData!CB$4)</f>
        <v>0.75</v>
      </c>
      <c r="BD41" s="566">
        <f>IF(ISNUMBER(System!$C42),PlotData!O42, PlotData!$CB$4)</f>
        <v>0.75</v>
      </c>
      <c r="BE41" s="567">
        <f>IF(ISNUMBER(System!$C42), AR41,PlotData!$CB$4)</f>
        <v>0.75</v>
      </c>
    </row>
    <row r="42" spans="1:57" ht="13.15" thickBot="1" x14ac:dyDescent="0.4">
      <c r="A42" s="587">
        <v>40</v>
      </c>
      <c r="B42" s="588"/>
      <c r="C42" s="589"/>
      <c r="D42" s="589"/>
      <c r="E42" s="589"/>
      <c r="F42" s="589"/>
      <c r="G42" s="589"/>
      <c r="H42" s="589"/>
      <c r="I42" s="589"/>
      <c r="J42" s="589"/>
      <c r="K42" s="589"/>
      <c r="L42" s="590"/>
      <c r="N42" s="587">
        <v>40</v>
      </c>
      <c r="O42" s="507"/>
      <c r="P42" s="503"/>
      <c r="Q42" s="503"/>
      <c r="R42" s="503"/>
      <c r="S42" s="503"/>
      <c r="T42" s="503"/>
      <c r="U42" s="503"/>
      <c r="V42" s="503"/>
      <c r="W42" s="503"/>
      <c r="X42" s="503"/>
      <c r="Y42" s="504"/>
      <c r="AA42" s="592">
        <v>40</v>
      </c>
      <c r="AB42" s="507">
        <f>IF(ISNUMBER(System!$C43),PlotData!B43+ Normalkraft!$E$2*$AF$1*B42,PlotData!$CB$3)</f>
        <v>7.6500000953674316</v>
      </c>
      <c r="AC42" s="503">
        <f>IF(ISNUMBER(System!$C43),PlotData!C43+ Normalkraft!$E$2*$AF$1*C42,PlotData!$CB$3)</f>
        <v>7.6500000953674316</v>
      </c>
      <c r="AD42" s="503">
        <f>IF(ISNUMBER(System!$C43),PlotData!D43+ Normalkraft!$E$2*$AF$1*D42,PlotData!$CB$3)</f>
        <v>7.6500000953674316</v>
      </c>
      <c r="AE42" s="503">
        <f>IF(ISNUMBER(System!$C43),PlotData!E43+ Normalkraft!$E$2*$AF$1*E42,PlotData!$CB$3)</f>
        <v>7.6500000953674316</v>
      </c>
      <c r="AF42" s="503">
        <f>IF(ISNUMBER(System!$C43),PlotData!F43+Normalkraft!$E$2* $AF$1*F42,PlotData!$CB$3)</f>
        <v>7.6500000953674316</v>
      </c>
      <c r="AG42" s="503">
        <f>IF(ISNUMBER(System!$C43),PlotData!G43+ Normalkraft!$E$2*$AF$1*G42,PlotData!$CB$3)</f>
        <v>7.6500000953674316</v>
      </c>
      <c r="AH42" s="503">
        <f>IF(ISNUMBER(System!$C43),PlotData!H43+ Normalkraft!$E$2*$AF$1*H42,PlotData!$CB$3)</f>
        <v>7.6500000953674316</v>
      </c>
      <c r="AI42" s="503">
        <f>IF(ISNUMBER(System!$C43),PlotData!I43+ Normalkraft!$E$2*$AF$1*I42,PlotData!$CB$3)</f>
        <v>7.6500000953674316</v>
      </c>
      <c r="AJ42" s="503">
        <f>IF(ISNUMBER(System!$C43),PlotData!J43+ Normalkraft!$E$2*$AF$1*J42,PlotData!$CB$3)</f>
        <v>7.6500000953674316</v>
      </c>
      <c r="AK42" s="503">
        <f>IF(ISNUMBER(System!$C43),PlotData!K43+Normalkraft!$E$2* $AF$1*K42,PlotData!$CB$3)</f>
        <v>7.6500000953674316</v>
      </c>
      <c r="AL42" s="504">
        <f>IF(ISNUMBER(System!$C43),PlotData!L43+Normalkraft!$E$2* $AF$1*L42,PlotData!$CB$3)</f>
        <v>7.6500000953674316</v>
      </c>
      <c r="AM42" s="507">
        <f>IF(ISNUMBER(System!$C43),PlotData!L43,PlotData!$CB$3)</f>
        <v>7.6500000953674316</v>
      </c>
      <c r="AN42" s="503">
        <f>IF(ISNUMBER(System!$C43),PlotData!B43,PlotData!$CB$3)</f>
        <v>7.6500000953674316</v>
      </c>
      <c r="AO42" s="454">
        <f>IF(ISNUMBER(System!$C43),AB42,PlotData!$CB$3)</f>
        <v>7.6500000953674316</v>
      </c>
      <c r="AQ42" s="610">
        <v>40</v>
      </c>
      <c r="AR42" s="507">
        <f>IF(ISNUMBER(System!$C43),PlotData!O43+ Normalkraft!$E$2*$AF$1*O42,PlotData!$CB$4)</f>
        <v>0.75</v>
      </c>
      <c r="AS42" s="503">
        <f>IF(ISNUMBER(System!$C43),PlotData!P43+ Normalkraft!$E$2*$AF$1*P42,PlotData!$CB$4)</f>
        <v>0.75</v>
      </c>
      <c r="AT42" s="503">
        <f>IF(ISNUMBER(System!$C43),PlotData!Q43+ Normalkraft!$E$2*$AF$1*Q42,PlotData!$CB$4)</f>
        <v>0.75</v>
      </c>
      <c r="AU42" s="503">
        <f>IF(ISNUMBER(System!$C43),PlotData!R43+ Normalkraft!$E$2*$AF$1*R42,PlotData!$CB$4)</f>
        <v>0.75</v>
      </c>
      <c r="AV42" s="503">
        <f>IF(ISNUMBER(System!$C43),PlotData!S43+Normalkraft!$E$2* $AF$1*S42,PlotData!$CB$4)</f>
        <v>0.75</v>
      </c>
      <c r="AW42" s="503">
        <f>IF(ISNUMBER(System!$C43),PlotData!T43+ Normalkraft!$E$2*$AF$1*T42,PlotData!$CB$4)</f>
        <v>0.75</v>
      </c>
      <c r="AX42" s="503">
        <f>IF(ISNUMBER(System!$C43),PlotData!U43+Normalkraft!$E$2* $AF$1*U42,PlotData!$CB$4)</f>
        <v>0.75</v>
      </c>
      <c r="AY42" s="503">
        <f>IF(ISNUMBER(System!$C43),PlotData!V43+ Normalkraft!$E$2*$AF$1*V42,PlotData!$CB$4)</f>
        <v>0.75</v>
      </c>
      <c r="AZ42" s="503">
        <f>IF(ISNUMBER(System!$C43),PlotData!W43+ Normalkraft!$E$2*$AF$1*W42,PlotData!$CB$4)</f>
        <v>0.75</v>
      </c>
      <c r="BA42" s="503">
        <f>IF(ISNUMBER(System!$C43),PlotData!X43+ Normalkraft!$E$2*$AF$1*X42,PlotData!$CB$4)</f>
        <v>0.75</v>
      </c>
      <c r="BB42" s="504">
        <f>IF(ISNUMBER(System!$C43),PlotData!Y43+Normalkraft!$E$2*$AF$1*Y42,PlotData!$CB$4)</f>
        <v>0.75</v>
      </c>
      <c r="BC42" s="507">
        <f>IF(ISNUMBER(System!$C43),PlotData!Y43, PlotData!CB$4)</f>
        <v>0.75</v>
      </c>
      <c r="BD42" s="503">
        <f>IF(ISNUMBER(System!$C43),PlotData!O43, PlotData!$CB$4)</f>
        <v>0.75</v>
      </c>
      <c r="BE42" s="504">
        <f>IF(ISNUMBER(System!$C43), AR42,PlotData!$CB$4)</f>
        <v>0.75</v>
      </c>
    </row>
    <row r="43" spans="1:57" x14ac:dyDescent="0.35">
      <c r="AA43" s="593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</row>
    <row r="44" spans="1:57" x14ac:dyDescent="0.35">
      <c r="Z44" s="42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</row>
    <row r="45" spans="1:57" x14ac:dyDescent="0.35">
      <c r="Z45" s="425"/>
    </row>
    <row r="46" spans="1:57" x14ac:dyDescent="0.35">
      <c r="Z46" s="425"/>
    </row>
    <row r="47" spans="1:57" x14ac:dyDescent="0.35">
      <c r="Z47" s="425"/>
    </row>
    <row r="48" spans="1:57" x14ac:dyDescent="0.35">
      <c r="Z48" s="425"/>
    </row>
    <row r="49" spans="26:26" x14ac:dyDescent="0.35">
      <c r="Z49" s="425"/>
    </row>
    <row r="50" spans="26:26" x14ac:dyDescent="0.35">
      <c r="Z50" s="425"/>
    </row>
    <row r="51" spans="26:26" x14ac:dyDescent="0.35">
      <c r="Z51" s="425"/>
    </row>
    <row r="52" spans="26:26" x14ac:dyDescent="0.35">
      <c r="Z52" s="425"/>
    </row>
    <row r="53" spans="26:26" x14ac:dyDescent="0.35">
      <c r="Z53" s="425"/>
    </row>
    <row r="54" spans="26:26" x14ac:dyDescent="0.35">
      <c r="Z54" s="425"/>
    </row>
    <row r="55" spans="26:26" x14ac:dyDescent="0.35">
      <c r="Z55" s="425"/>
    </row>
    <row r="56" spans="26:26" x14ac:dyDescent="0.35">
      <c r="Z56" s="425"/>
    </row>
    <row r="57" spans="26:26" x14ac:dyDescent="0.35">
      <c r="Z57" s="425"/>
    </row>
    <row r="58" spans="26:26" x14ac:dyDescent="0.35">
      <c r="Z58" s="425"/>
    </row>
    <row r="59" spans="26:26" x14ac:dyDescent="0.35">
      <c r="Z59" s="425"/>
    </row>
    <row r="60" spans="26:26" x14ac:dyDescent="0.35">
      <c r="Z60" s="425"/>
    </row>
    <row r="61" spans="26:26" x14ac:dyDescent="0.35">
      <c r="Z61" s="425"/>
    </row>
    <row r="62" spans="26:26" x14ac:dyDescent="0.35">
      <c r="Z62" s="425"/>
    </row>
    <row r="63" spans="26:26" x14ac:dyDescent="0.35">
      <c r="Z63" s="425"/>
    </row>
    <row r="64" spans="26:26" x14ac:dyDescent="0.35">
      <c r="Z64" s="425"/>
    </row>
    <row r="65" spans="1:36" x14ac:dyDescent="0.35">
      <c r="Z65" s="425"/>
    </row>
    <row r="66" spans="1:36" x14ac:dyDescent="0.35">
      <c r="Z66" s="425"/>
    </row>
    <row r="67" spans="1:36" x14ac:dyDescent="0.35">
      <c r="Z67" s="425"/>
    </row>
    <row r="68" spans="1:36" x14ac:dyDescent="0.35">
      <c r="A68" s="455"/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25"/>
      <c r="AB68" s="455"/>
      <c r="AC68" s="455"/>
      <c r="AD68" s="455"/>
      <c r="AE68" s="455"/>
      <c r="AF68" s="455"/>
      <c r="AG68" s="455"/>
      <c r="AH68" s="455"/>
      <c r="AI68" s="455"/>
      <c r="AJ68" s="455"/>
    </row>
    <row r="69" spans="1:36" x14ac:dyDescent="0.35">
      <c r="A69" s="455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25"/>
      <c r="AB69" s="455"/>
      <c r="AC69" s="455"/>
      <c r="AD69" s="455"/>
      <c r="AE69" s="455"/>
      <c r="AF69" s="455"/>
      <c r="AG69" s="455"/>
      <c r="AH69" s="455"/>
      <c r="AI69" s="455"/>
      <c r="AJ69" s="455"/>
    </row>
    <row r="70" spans="1:36" x14ac:dyDescent="0.35">
      <c r="A70" s="455"/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25"/>
      <c r="AB70" s="455"/>
      <c r="AC70" s="455"/>
      <c r="AD70" s="455"/>
      <c r="AE70" s="455"/>
      <c r="AF70" s="455"/>
      <c r="AG70" s="455"/>
      <c r="AH70" s="455"/>
      <c r="AI70" s="455"/>
      <c r="AJ70" s="455"/>
    </row>
    <row r="71" spans="1:36" x14ac:dyDescent="0.35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25"/>
      <c r="AB71" s="455"/>
      <c r="AC71" s="455"/>
      <c r="AD71" s="455"/>
      <c r="AE71" s="455"/>
      <c r="AF71" s="455"/>
      <c r="AG71" s="455"/>
      <c r="AH71" s="455"/>
      <c r="AI71" s="455"/>
      <c r="AJ71" s="455"/>
    </row>
    <row r="72" spans="1:36" x14ac:dyDescent="0.35">
      <c r="A72" s="455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25"/>
      <c r="AB72" s="455"/>
      <c r="AC72" s="455"/>
      <c r="AD72" s="455"/>
      <c r="AE72" s="455"/>
      <c r="AF72" s="455"/>
      <c r="AG72" s="455"/>
      <c r="AH72" s="455"/>
      <c r="AI72" s="455"/>
      <c r="AJ72" s="455"/>
    </row>
    <row r="73" spans="1:36" x14ac:dyDescent="0.35">
      <c r="A73" s="455"/>
      <c r="B73" s="59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25"/>
      <c r="AB73" s="455"/>
      <c r="AC73" s="455"/>
      <c r="AD73" s="455"/>
      <c r="AE73" s="455"/>
      <c r="AF73" s="455"/>
      <c r="AG73" s="455"/>
      <c r="AH73" s="455"/>
      <c r="AI73" s="455"/>
      <c r="AJ73" s="455"/>
    </row>
    <row r="74" spans="1:36" x14ac:dyDescent="0.35">
      <c r="A74" s="59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595"/>
      <c r="R74" s="455"/>
      <c r="S74" s="455"/>
      <c r="T74" s="455"/>
      <c r="U74" s="455"/>
      <c r="V74" s="455"/>
      <c r="W74" s="455"/>
      <c r="X74" s="455"/>
      <c r="Y74" s="455"/>
      <c r="Z74" s="425"/>
      <c r="AB74" s="455"/>
      <c r="AC74" s="455"/>
      <c r="AD74" s="455"/>
      <c r="AE74" s="455"/>
      <c r="AF74" s="455"/>
      <c r="AG74" s="455"/>
      <c r="AH74" s="455"/>
      <c r="AI74" s="455"/>
      <c r="AJ74" s="455"/>
    </row>
    <row r="75" spans="1:36" x14ac:dyDescent="0.35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25"/>
      <c r="AB75" s="455"/>
      <c r="AC75" s="455"/>
      <c r="AD75" s="455"/>
      <c r="AE75" s="455"/>
      <c r="AF75" s="455"/>
      <c r="AG75" s="455"/>
      <c r="AH75" s="455"/>
      <c r="AI75" s="455"/>
      <c r="AJ75" s="455"/>
    </row>
    <row r="76" spans="1:36" x14ac:dyDescent="0.35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25"/>
      <c r="AB76" s="455"/>
      <c r="AC76" s="455"/>
      <c r="AD76" s="455"/>
      <c r="AE76" s="455"/>
      <c r="AF76" s="455"/>
      <c r="AG76" s="455"/>
      <c r="AH76" s="455"/>
      <c r="AI76" s="455"/>
      <c r="AJ76" s="455"/>
    </row>
    <row r="77" spans="1:36" x14ac:dyDescent="0.35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25"/>
      <c r="AB77" s="455"/>
      <c r="AC77" s="455"/>
      <c r="AD77" s="455"/>
      <c r="AE77" s="455"/>
      <c r="AF77" s="455"/>
      <c r="AG77" s="455"/>
      <c r="AH77" s="455"/>
      <c r="AI77" s="455"/>
      <c r="AJ77" s="455"/>
    </row>
    <row r="78" spans="1:36" x14ac:dyDescent="0.35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25"/>
      <c r="AB78" s="455"/>
      <c r="AC78" s="455"/>
      <c r="AD78" s="455"/>
      <c r="AE78" s="455"/>
      <c r="AF78" s="455"/>
      <c r="AG78" s="455"/>
      <c r="AH78" s="455"/>
      <c r="AI78" s="455"/>
      <c r="AJ78" s="455"/>
    </row>
    <row r="79" spans="1:36" x14ac:dyDescent="0.3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25"/>
      <c r="AB79" s="455"/>
      <c r="AC79" s="455"/>
      <c r="AD79" s="455"/>
      <c r="AE79" s="455"/>
      <c r="AF79" s="455"/>
      <c r="AG79" s="455"/>
      <c r="AH79" s="455"/>
      <c r="AI79" s="455"/>
      <c r="AJ79" s="455"/>
    </row>
    <row r="80" spans="1:36" x14ac:dyDescent="0.35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25"/>
      <c r="AB80" s="455"/>
      <c r="AC80" s="455"/>
      <c r="AD80" s="455"/>
      <c r="AE80" s="455"/>
      <c r="AF80" s="455"/>
      <c r="AG80" s="455"/>
      <c r="AH80" s="455"/>
      <c r="AI80" s="455"/>
      <c r="AJ80" s="455"/>
    </row>
    <row r="81" spans="1:36" x14ac:dyDescent="0.35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25"/>
      <c r="AB81" s="455"/>
      <c r="AC81" s="455"/>
      <c r="AD81" s="455"/>
      <c r="AE81" s="455"/>
      <c r="AF81" s="455"/>
      <c r="AG81" s="455"/>
      <c r="AH81" s="455"/>
      <c r="AI81" s="455"/>
      <c r="AJ81" s="455"/>
    </row>
    <row r="82" spans="1:36" x14ac:dyDescent="0.35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25"/>
      <c r="AB82" s="455"/>
      <c r="AC82" s="455"/>
      <c r="AD82" s="455"/>
      <c r="AE82" s="455"/>
      <c r="AF82" s="455"/>
      <c r="AG82" s="455"/>
      <c r="AH82" s="455"/>
      <c r="AI82" s="455"/>
      <c r="AJ82" s="455"/>
    </row>
    <row r="83" spans="1:36" x14ac:dyDescent="0.3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425"/>
      <c r="AB83" s="455"/>
      <c r="AC83" s="455"/>
      <c r="AD83" s="455"/>
      <c r="AE83" s="455"/>
      <c r="AF83" s="455"/>
      <c r="AG83" s="455"/>
      <c r="AH83" s="455"/>
      <c r="AI83" s="455"/>
      <c r="AJ83" s="455"/>
    </row>
    <row r="84" spans="1:36" x14ac:dyDescent="0.35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25"/>
      <c r="AB84" s="455"/>
      <c r="AC84" s="455"/>
      <c r="AD84" s="455"/>
      <c r="AE84" s="455"/>
      <c r="AF84" s="455"/>
      <c r="AG84" s="455"/>
      <c r="AH84" s="455"/>
      <c r="AI84" s="455"/>
      <c r="AJ84" s="455"/>
    </row>
    <row r="85" spans="1:36" x14ac:dyDescent="0.3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25"/>
      <c r="AB85" s="455"/>
      <c r="AC85" s="455"/>
      <c r="AD85" s="455"/>
      <c r="AE85" s="455"/>
      <c r="AF85" s="455"/>
      <c r="AG85" s="455"/>
      <c r="AH85" s="455"/>
      <c r="AI85" s="455"/>
      <c r="AJ85" s="455"/>
    </row>
    <row r="86" spans="1:36" x14ac:dyDescent="0.35">
      <c r="A86" s="455"/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25"/>
      <c r="AB86" s="455"/>
      <c r="AC86" s="455"/>
      <c r="AD86" s="455"/>
      <c r="AE86" s="455"/>
      <c r="AF86" s="455"/>
      <c r="AG86" s="455"/>
      <c r="AH86" s="455"/>
      <c r="AI86" s="455"/>
      <c r="AJ86" s="455"/>
    </row>
    <row r="87" spans="1:36" x14ac:dyDescent="0.35">
      <c r="A87" s="455"/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425"/>
      <c r="AB87" s="455"/>
      <c r="AC87" s="455"/>
      <c r="AD87" s="455"/>
      <c r="AE87" s="455"/>
      <c r="AF87" s="455"/>
      <c r="AG87" s="455"/>
      <c r="AH87" s="455"/>
      <c r="AI87" s="455"/>
      <c r="AJ87" s="455"/>
    </row>
    <row r="88" spans="1:36" x14ac:dyDescent="0.35">
      <c r="A88" s="455"/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25"/>
      <c r="AB88" s="455"/>
      <c r="AC88" s="455"/>
      <c r="AD88" s="455"/>
      <c r="AE88" s="455"/>
      <c r="AF88" s="455"/>
      <c r="AG88" s="455"/>
      <c r="AH88" s="455"/>
      <c r="AI88" s="455"/>
      <c r="AJ88" s="455"/>
    </row>
    <row r="89" spans="1:36" x14ac:dyDescent="0.35">
      <c r="A89" s="455"/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25"/>
      <c r="AB89" s="455"/>
      <c r="AC89" s="455"/>
      <c r="AD89" s="455"/>
      <c r="AE89" s="455"/>
      <c r="AF89" s="455"/>
      <c r="AG89" s="455"/>
      <c r="AH89" s="455"/>
      <c r="AI89" s="455"/>
      <c r="AJ89" s="455"/>
    </row>
    <row r="90" spans="1:36" x14ac:dyDescent="0.35">
      <c r="A90" s="455"/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25"/>
      <c r="AB90" s="455"/>
      <c r="AC90" s="455"/>
      <c r="AD90" s="455"/>
      <c r="AE90" s="455"/>
      <c r="AF90" s="455"/>
      <c r="AG90" s="455"/>
      <c r="AH90" s="455"/>
      <c r="AI90" s="455"/>
      <c r="AJ90" s="455"/>
    </row>
    <row r="91" spans="1:36" x14ac:dyDescent="0.3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25"/>
      <c r="AB91" s="455"/>
      <c r="AC91" s="455"/>
      <c r="AD91" s="455"/>
      <c r="AE91" s="455"/>
      <c r="AF91" s="455"/>
      <c r="AG91" s="455"/>
      <c r="AH91" s="455"/>
      <c r="AI91" s="455"/>
      <c r="AJ91" s="455"/>
    </row>
    <row r="92" spans="1:36" x14ac:dyDescent="0.35">
      <c r="A92" s="455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25"/>
      <c r="AB92" s="455"/>
      <c r="AC92" s="455"/>
      <c r="AD92" s="455"/>
      <c r="AE92" s="455"/>
      <c r="AF92" s="455"/>
      <c r="AG92" s="455"/>
      <c r="AH92" s="455"/>
      <c r="AI92" s="455"/>
      <c r="AJ92" s="455"/>
    </row>
    <row r="93" spans="1:36" x14ac:dyDescent="0.35">
      <c r="A93" s="455"/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25"/>
      <c r="AB93" s="455"/>
      <c r="AC93" s="455"/>
      <c r="AD93" s="455"/>
      <c r="AE93" s="455"/>
      <c r="AF93" s="455"/>
      <c r="AG93" s="455"/>
      <c r="AH93" s="455"/>
      <c r="AI93" s="455"/>
      <c r="AJ93" s="455"/>
    </row>
    <row r="94" spans="1:36" x14ac:dyDescent="0.35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25"/>
      <c r="AB94" s="455"/>
      <c r="AC94" s="455"/>
      <c r="AD94" s="455"/>
      <c r="AE94" s="455"/>
      <c r="AF94" s="455"/>
      <c r="AG94" s="455"/>
      <c r="AH94" s="455"/>
      <c r="AI94" s="455"/>
      <c r="AJ94" s="455"/>
    </row>
    <row r="95" spans="1:36" x14ac:dyDescent="0.35">
      <c r="A95" s="455"/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25"/>
      <c r="AB95" s="455"/>
      <c r="AC95" s="455"/>
      <c r="AD95" s="455"/>
      <c r="AE95" s="455"/>
      <c r="AF95" s="455"/>
      <c r="AG95" s="455"/>
      <c r="AH95" s="455"/>
      <c r="AI95" s="455"/>
      <c r="AJ95" s="455"/>
    </row>
    <row r="96" spans="1:36" x14ac:dyDescent="0.35">
      <c r="A96" s="455"/>
      <c r="B96" s="595"/>
      <c r="C96" s="595"/>
      <c r="D96" s="455"/>
      <c r="E96" s="595"/>
      <c r="F96" s="455"/>
      <c r="G96" s="455"/>
      <c r="H96" s="595"/>
      <c r="I96" s="455"/>
      <c r="J96" s="455"/>
      <c r="K96" s="455"/>
      <c r="L96" s="455"/>
      <c r="M96" s="455"/>
      <c r="N96" s="455"/>
      <c r="O96" s="455"/>
      <c r="P96" s="455"/>
      <c r="Q96" s="455"/>
      <c r="R96" s="595"/>
      <c r="S96" s="455"/>
      <c r="T96" s="455"/>
      <c r="U96" s="455"/>
      <c r="V96" s="455"/>
      <c r="W96" s="455"/>
      <c r="X96" s="455"/>
      <c r="Y96" s="455"/>
      <c r="Z96" s="425"/>
      <c r="AB96" s="455"/>
      <c r="AC96" s="455"/>
      <c r="AD96" s="455"/>
      <c r="AE96" s="455"/>
      <c r="AF96" s="455"/>
      <c r="AG96" s="455"/>
      <c r="AH96" s="455"/>
      <c r="AI96" s="455"/>
      <c r="AJ96" s="455"/>
    </row>
    <row r="97" spans="1:36" x14ac:dyDescent="0.35">
      <c r="A97" s="595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595"/>
      <c r="R97" s="455"/>
      <c r="S97" s="455"/>
      <c r="T97" s="455"/>
      <c r="U97" s="455"/>
      <c r="V97" s="455"/>
      <c r="W97" s="455"/>
      <c r="X97" s="455"/>
      <c r="Y97" s="455"/>
      <c r="Z97" s="425"/>
      <c r="AB97" s="455"/>
      <c r="AC97" s="455"/>
      <c r="AD97" s="455"/>
      <c r="AE97" s="455"/>
      <c r="AF97" s="455"/>
      <c r="AG97" s="455"/>
      <c r="AH97" s="455"/>
      <c r="AI97" s="455"/>
      <c r="AJ97" s="455"/>
    </row>
    <row r="98" spans="1:36" x14ac:dyDescent="0.35">
      <c r="A98" s="455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59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25"/>
      <c r="AB98" s="455"/>
      <c r="AC98" s="455"/>
      <c r="AD98" s="455"/>
      <c r="AE98" s="455"/>
      <c r="AF98" s="455"/>
      <c r="AG98" s="455"/>
      <c r="AH98" s="455"/>
      <c r="AI98" s="455"/>
      <c r="AJ98" s="455"/>
    </row>
    <row r="99" spans="1:36" x14ac:dyDescent="0.35">
      <c r="A99" s="455"/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59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425"/>
      <c r="AB99" s="455"/>
      <c r="AC99" s="455"/>
      <c r="AD99" s="455"/>
      <c r="AE99" s="455"/>
      <c r="AF99" s="455"/>
      <c r="AG99" s="455"/>
      <c r="AH99" s="455"/>
      <c r="AI99" s="455"/>
      <c r="AJ99" s="455"/>
    </row>
    <row r="100" spans="1:36" x14ac:dyDescent="0.35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59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25"/>
      <c r="AB100" s="455"/>
      <c r="AC100" s="455"/>
      <c r="AD100" s="455"/>
      <c r="AE100" s="455"/>
      <c r="AF100" s="455"/>
      <c r="AG100" s="455"/>
      <c r="AH100" s="455"/>
      <c r="AI100" s="455"/>
      <c r="AJ100" s="455"/>
    </row>
    <row r="101" spans="1:36" x14ac:dyDescent="0.35">
      <c r="A101" s="455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59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425"/>
      <c r="AB101" s="455"/>
      <c r="AC101" s="455"/>
      <c r="AD101" s="455"/>
      <c r="AE101" s="455"/>
      <c r="AF101" s="455"/>
      <c r="AG101" s="455"/>
      <c r="AH101" s="455"/>
      <c r="AI101" s="455"/>
      <c r="AJ101" s="455"/>
    </row>
    <row r="102" spans="1:36" x14ac:dyDescent="0.35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59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25"/>
      <c r="AB102" s="455"/>
      <c r="AC102" s="455"/>
      <c r="AD102" s="455"/>
      <c r="AE102" s="455"/>
      <c r="AF102" s="455"/>
      <c r="AG102" s="455"/>
      <c r="AH102" s="455"/>
      <c r="AI102" s="455"/>
      <c r="AJ102" s="455"/>
    </row>
    <row r="103" spans="1:36" x14ac:dyDescent="0.35">
      <c r="A103" s="455"/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59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425"/>
      <c r="AB103" s="455"/>
      <c r="AC103" s="455"/>
      <c r="AD103" s="455"/>
      <c r="AE103" s="455"/>
      <c r="AF103" s="455"/>
      <c r="AG103" s="455"/>
      <c r="AH103" s="455"/>
      <c r="AI103" s="455"/>
      <c r="AJ103" s="455"/>
    </row>
    <row r="104" spans="1:36" x14ac:dyDescent="0.35">
      <c r="A104" s="455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59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425"/>
      <c r="AB104" s="455"/>
      <c r="AC104" s="455"/>
      <c r="AD104" s="455"/>
      <c r="AE104" s="455"/>
      <c r="AF104" s="455"/>
      <c r="AG104" s="455"/>
      <c r="AH104" s="455"/>
      <c r="AI104" s="455"/>
      <c r="AJ104" s="455"/>
    </row>
    <row r="105" spans="1:36" x14ac:dyDescent="0.35">
      <c r="A105" s="455"/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59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425"/>
      <c r="AB105" s="455"/>
      <c r="AC105" s="455"/>
      <c r="AD105" s="455"/>
      <c r="AE105" s="455"/>
      <c r="AF105" s="455"/>
      <c r="AG105" s="455"/>
      <c r="AH105" s="455"/>
      <c r="AI105" s="455"/>
      <c r="AJ105" s="455"/>
    </row>
    <row r="106" spans="1:36" x14ac:dyDescent="0.35">
      <c r="A106" s="455"/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59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425"/>
      <c r="AB106" s="455"/>
      <c r="AC106" s="455"/>
      <c r="AD106" s="455"/>
      <c r="AE106" s="455"/>
      <c r="AF106" s="455"/>
      <c r="AG106" s="455"/>
      <c r="AH106" s="455"/>
      <c r="AI106" s="455"/>
      <c r="AJ106" s="455"/>
    </row>
    <row r="107" spans="1:36" x14ac:dyDescent="0.35">
      <c r="A107" s="455"/>
      <c r="B107" s="455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59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25"/>
      <c r="AB107" s="455"/>
      <c r="AC107" s="455"/>
      <c r="AD107" s="455"/>
      <c r="AE107" s="455"/>
      <c r="AF107" s="455"/>
      <c r="AG107" s="455"/>
      <c r="AH107" s="455"/>
      <c r="AI107" s="455"/>
      <c r="AJ107" s="455"/>
    </row>
    <row r="108" spans="1:36" x14ac:dyDescent="0.35">
      <c r="A108" s="455"/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59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25"/>
      <c r="AB108" s="455"/>
      <c r="AC108" s="455"/>
      <c r="AD108" s="455"/>
      <c r="AE108" s="455"/>
      <c r="AF108" s="455"/>
      <c r="AG108" s="455"/>
      <c r="AH108" s="455"/>
      <c r="AI108" s="455"/>
      <c r="AJ108" s="455"/>
    </row>
    <row r="109" spans="1:36" x14ac:dyDescent="0.35">
      <c r="A109" s="455"/>
      <c r="B109" s="455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59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425"/>
      <c r="AB109" s="455"/>
      <c r="AC109" s="455"/>
      <c r="AD109" s="455"/>
      <c r="AE109" s="455"/>
      <c r="AF109" s="455"/>
      <c r="AG109" s="455"/>
      <c r="AH109" s="455"/>
      <c r="AI109" s="455"/>
      <c r="AJ109" s="455"/>
    </row>
    <row r="110" spans="1:36" x14ac:dyDescent="0.35">
      <c r="A110" s="455"/>
      <c r="B110" s="455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59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25"/>
      <c r="AB110" s="455"/>
      <c r="AC110" s="455"/>
      <c r="AD110" s="455"/>
      <c r="AE110" s="455"/>
      <c r="AF110" s="455"/>
      <c r="AG110" s="455"/>
      <c r="AH110" s="455"/>
      <c r="AI110" s="455"/>
      <c r="AJ110" s="455"/>
    </row>
    <row r="111" spans="1:36" x14ac:dyDescent="0.35">
      <c r="A111" s="455"/>
      <c r="B111" s="455"/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59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425"/>
      <c r="AB111" s="455"/>
      <c r="AC111" s="455"/>
      <c r="AD111" s="455"/>
      <c r="AE111" s="455"/>
      <c r="AF111" s="455"/>
      <c r="AG111" s="455"/>
      <c r="AH111" s="455"/>
      <c r="AI111" s="455"/>
      <c r="AJ111" s="455"/>
    </row>
    <row r="112" spans="1:36" x14ac:dyDescent="0.35">
      <c r="A112" s="455"/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59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25"/>
      <c r="AB112" s="455"/>
      <c r="AC112" s="455"/>
      <c r="AD112" s="455"/>
      <c r="AE112" s="455"/>
      <c r="AF112" s="455"/>
      <c r="AG112" s="455"/>
      <c r="AH112" s="455"/>
      <c r="AI112" s="455"/>
      <c r="AJ112" s="455"/>
    </row>
    <row r="113" spans="1:36" x14ac:dyDescent="0.35">
      <c r="A113" s="455"/>
      <c r="B113" s="455"/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59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425"/>
      <c r="AB113" s="455"/>
      <c r="AC113" s="455"/>
      <c r="AD113" s="455"/>
      <c r="AE113" s="455"/>
      <c r="AF113" s="455"/>
      <c r="AG113" s="455"/>
      <c r="AH113" s="455"/>
      <c r="AI113" s="455"/>
      <c r="AJ113" s="455"/>
    </row>
    <row r="114" spans="1:36" x14ac:dyDescent="0.35">
      <c r="A114" s="455"/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59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25"/>
      <c r="AB114" s="455"/>
      <c r="AC114" s="455"/>
      <c r="AD114" s="455"/>
      <c r="AE114" s="455"/>
      <c r="AF114" s="455"/>
      <c r="AG114" s="455"/>
      <c r="AH114" s="455"/>
      <c r="AI114" s="455"/>
      <c r="AJ114" s="455"/>
    </row>
    <row r="115" spans="1:36" x14ac:dyDescent="0.35">
      <c r="A115" s="455"/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59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425"/>
      <c r="AB115" s="455"/>
      <c r="AC115" s="455"/>
      <c r="AD115" s="455"/>
      <c r="AE115" s="455"/>
      <c r="AF115" s="455"/>
      <c r="AG115" s="455"/>
      <c r="AH115" s="455"/>
      <c r="AI115" s="455"/>
      <c r="AJ115" s="455"/>
    </row>
    <row r="116" spans="1:36" x14ac:dyDescent="0.35">
      <c r="A116" s="455"/>
      <c r="B116" s="455"/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59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425"/>
      <c r="AB116" s="455"/>
      <c r="AC116" s="455"/>
      <c r="AD116" s="455"/>
      <c r="AE116" s="455"/>
      <c r="AF116" s="455"/>
      <c r="AG116" s="455"/>
      <c r="AH116" s="455"/>
      <c r="AI116" s="455"/>
      <c r="AJ116" s="455"/>
    </row>
    <row r="117" spans="1:36" x14ac:dyDescent="0.35">
      <c r="A117" s="455"/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59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25"/>
      <c r="AB117" s="455"/>
      <c r="AC117" s="455"/>
      <c r="AD117" s="455"/>
      <c r="AE117" s="455"/>
      <c r="AF117" s="455"/>
      <c r="AG117" s="455"/>
      <c r="AH117" s="455"/>
      <c r="AI117" s="455"/>
      <c r="AJ117" s="455"/>
    </row>
    <row r="118" spans="1:36" x14ac:dyDescent="0.35">
      <c r="A118" s="455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25"/>
      <c r="AB118" s="455"/>
      <c r="AC118" s="455"/>
      <c r="AD118" s="455"/>
      <c r="AE118" s="455"/>
      <c r="AF118" s="455"/>
      <c r="AG118" s="455"/>
      <c r="AH118" s="455"/>
      <c r="AI118" s="455"/>
      <c r="AJ118" s="455"/>
    </row>
    <row r="119" spans="1:36" x14ac:dyDescent="0.35">
      <c r="A119" s="455"/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425"/>
      <c r="AB119" s="455"/>
      <c r="AC119" s="455"/>
      <c r="AD119" s="455"/>
      <c r="AE119" s="455"/>
      <c r="AF119" s="455"/>
      <c r="AG119" s="455"/>
      <c r="AH119" s="455"/>
      <c r="AI119" s="455"/>
      <c r="AJ119" s="455"/>
    </row>
    <row r="120" spans="1:36" x14ac:dyDescent="0.35">
      <c r="A120" s="455"/>
      <c r="B120" s="455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25"/>
      <c r="AB120" s="455"/>
      <c r="AC120" s="455"/>
      <c r="AD120" s="455"/>
      <c r="AE120" s="455"/>
      <c r="AF120" s="455"/>
      <c r="AG120" s="455"/>
      <c r="AH120" s="455"/>
      <c r="AI120" s="455"/>
      <c r="AJ120" s="455"/>
    </row>
    <row r="121" spans="1:36" x14ac:dyDescent="0.35">
      <c r="A121" s="455"/>
      <c r="B121" s="455"/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W121" s="455"/>
      <c r="X121" s="455"/>
      <c r="Y121" s="455"/>
      <c r="Z121" s="425"/>
      <c r="AB121" s="455"/>
      <c r="AC121" s="455"/>
      <c r="AD121" s="455"/>
      <c r="AE121" s="455"/>
      <c r="AF121" s="455"/>
      <c r="AG121" s="455"/>
      <c r="AH121" s="455"/>
      <c r="AI121" s="455"/>
      <c r="AJ121" s="455"/>
    </row>
  </sheetData>
  <mergeCells count="1">
    <mergeCell ref="A1:B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6484375" defaultRowHeight="12.75" x14ac:dyDescent="0.35"/>
  <cols>
    <col min="1" max="1" width="4" style="425" bestFit="1" customWidth="1"/>
    <col min="2" max="12" width="11.46484375" style="425"/>
    <col min="13" max="13" width="4.19921875" style="425" customWidth="1"/>
    <col min="14" max="15" width="10.46484375" style="425" customWidth="1"/>
    <col min="16" max="17" width="11.46484375" style="425" customWidth="1"/>
    <col min="18" max="25" width="11.46484375" style="425"/>
    <col min="26" max="26" width="3.46484375" style="596" customWidth="1"/>
    <col min="27" max="41" width="11.46484375" style="425"/>
    <col min="42" max="42" width="3.53125" style="425" customWidth="1"/>
    <col min="43" max="54" width="11.46484375" style="425"/>
    <col min="55" max="55" width="14.46484375" style="425" bestFit="1" customWidth="1"/>
    <col min="56" max="57" width="11.46484375" style="425"/>
    <col min="58" max="58" width="3.796875" style="425" customWidth="1"/>
    <col min="59" max="16384" width="11.46484375" style="425"/>
  </cols>
  <sheetData>
    <row r="1" spans="1:61" ht="13.15" thickBot="1" x14ac:dyDescent="0.4">
      <c r="B1" s="527" t="s">
        <v>72</v>
      </c>
      <c r="O1" s="425">
        <f>COLUMN(O5)</f>
        <v>15</v>
      </c>
      <c r="AB1" s="527">
        <f>COLUMN(AB5)</f>
        <v>28</v>
      </c>
      <c r="AC1" s="527" t="s">
        <v>155</v>
      </c>
      <c r="AE1" s="597" t="s">
        <v>156</v>
      </c>
      <c r="AF1" s="550">
        <f>SensA!D6</f>
        <v>1</v>
      </c>
      <c r="AH1" s="597" t="s">
        <v>157</v>
      </c>
      <c r="AI1" s="598">
        <f>(MAX(AB3:AL42)+MIN(AB3:AL42))/2</f>
        <v>7.6500000000000075</v>
      </c>
      <c r="AJ1" s="597" t="s">
        <v>158</v>
      </c>
      <c r="AK1" s="550">
        <f>(MAX(AB3:AL42)-MIN(AB3:AL42))/2</f>
        <v>14.100000000000007</v>
      </c>
      <c r="AR1" s="599">
        <f>COLUMN(AR4)</f>
        <v>44</v>
      </c>
      <c r="AS1" s="597" t="s">
        <v>159</v>
      </c>
      <c r="AT1" s="598">
        <f>(MAX(AR3:BB42)+MIN(AR3:BB42))/2</f>
        <v>0.74999999999999978</v>
      </c>
      <c r="AU1" s="597" t="s">
        <v>160</v>
      </c>
      <c r="AV1" s="550">
        <f>(MAX(AR3:BB42)-MIN(AR3:BB42))/2</f>
        <v>2.8500000000000005</v>
      </c>
      <c r="AW1" s="527" t="s">
        <v>122</v>
      </c>
      <c r="AX1" s="425">
        <f>SQRT(AK1^2+AV1^2)</f>
        <v>14.38514859151619</v>
      </c>
      <c r="BG1" s="527" t="s">
        <v>176</v>
      </c>
    </row>
    <row r="2" spans="1:61" ht="13.15" thickBot="1" x14ac:dyDescent="0.4">
      <c r="A2" s="545" t="s">
        <v>13</v>
      </c>
      <c r="B2" s="486">
        <v>0</v>
      </c>
      <c r="C2" s="547">
        <v>0</v>
      </c>
      <c r="D2" s="547">
        <v>0.2</v>
      </c>
      <c r="E2" s="547">
        <v>0.3</v>
      </c>
      <c r="F2" s="547">
        <v>0.4</v>
      </c>
      <c r="G2" s="547">
        <v>0.5</v>
      </c>
      <c r="H2" s="547">
        <v>0.6</v>
      </c>
      <c r="I2" s="547">
        <v>0.7</v>
      </c>
      <c r="J2" s="547">
        <v>0.8</v>
      </c>
      <c r="K2" s="547">
        <v>0.9</v>
      </c>
      <c r="L2" s="487">
        <v>1</v>
      </c>
      <c r="N2" s="545" t="s">
        <v>165</v>
      </c>
      <c r="O2" s="486">
        <v>0</v>
      </c>
      <c r="P2" s="547">
        <v>0.1</v>
      </c>
      <c r="Q2" s="547">
        <v>0.2</v>
      </c>
      <c r="R2" s="547">
        <v>0.3</v>
      </c>
      <c r="S2" s="547">
        <v>0.4</v>
      </c>
      <c r="T2" s="547">
        <v>0.5</v>
      </c>
      <c r="U2" s="547">
        <v>0.6</v>
      </c>
      <c r="V2" s="547">
        <v>0.7</v>
      </c>
      <c r="W2" s="547">
        <v>0.8</v>
      </c>
      <c r="X2" s="547">
        <v>0.9</v>
      </c>
      <c r="Y2" s="487">
        <v>1</v>
      </c>
      <c r="AA2" s="545" t="s">
        <v>13</v>
      </c>
      <c r="AB2" s="548">
        <v>0</v>
      </c>
      <c r="AC2" s="549">
        <v>0.1</v>
      </c>
      <c r="AD2" s="549">
        <v>0.2</v>
      </c>
      <c r="AE2" s="549">
        <v>0.3</v>
      </c>
      <c r="AF2" s="549">
        <v>0.4</v>
      </c>
      <c r="AG2" s="549">
        <v>0.5</v>
      </c>
      <c r="AH2" s="549">
        <v>0.6</v>
      </c>
      <c r="AI2" s="549">
        <v>0.7</v>
      </c>
      <c r="AJ2" s="549">
        <v>0.8</v>
      </c>
      <c r="AK2" s="549">
        <v>0.9</v>
      </c>
      <c r="AL2" s="550">
        <v>1</v>
      </c>
      <c r="AM2" s="600">
        <v>1</v>
      </c>
      <c r="AN2" s="547">
        <v>0</v>
      </c>
      <c r="AO2" s="487">
        <v>0</v>
      </c>
      <c r="AQ2" s="545" t="s">
        <v>165</v>
      </c>
      <c r="AR2" s="548">
        <v>0</v>
      </c>
      <c r="AS2" s="549">
        <v>0.1</v>
      </c>
      <c r="AT2" s="549">
        <v>0.2</v>
      </c>
      <c r="AU2" s="549">
        <v>0.3</v>
      </c>
      <c r="AV2" s="549">
        <v>0.4</v>
      </c>
      <c r="AW2" s="549">
        <v>0.5</v>
      </c>
      <c r="AX2" s="549">
        <v>0.6</v>
      </c>
      <c r="AY2" s="549">
        <v>0.7</v>
      </c>
      <c r="AZ2" s="549">
        <v>0.8</v>
      </c>
      <c r="BA2" s="549">
        <v>0.9</v>
      </c>
      <c r="BB2" s="550">
        <v>1</v>
      </c>
      <c r="BC2" s="601">
        <v>1</v>
      </c>
      <c r="BD2" s="497">
        <v>0</v>
      </c>
      <c r="BE2" s="498">
        <v>0</v>
      </c>
      <c r="BG2" s="602" t="s">
        <v>157</v>
      </c>
      <c r="BH2" s="500">
        <f>PlotS!$AI$1</f>
        <v>7.6500000000000075</v>
      </c>
      <c r="BI2" s="506"/>
    </row>
    <row r="3" spans="1:61" x14ac:dyDescent="0.35">
      <c r="A3" s="559">
        <v>1</v>
      </c>
      <c r="B3" s="505"/>
      <c r="C3" s="557"/>
      <c r="D3" s="557"/>
      <c r="E3" s="557"/>
      <c r="F3" s="557"/>
      <c r="G3" s="557"/>
      <c r="H3" s="557"/>
      <c r="I3" s="557"/>
      <c r="J3" s="557"/>
      <c r="K3" s="557"/>
      <c r="L3" s="506"/>
      <c r="N3" s="559">
        <v>1</v>
      </c>
      <c r="O3" s="505"/>
      <c r="P3" s="557"/>
      <c r="Q3" s="557"/>
      <c r="R3" s="557"/>
      <c r="S3" s="557"/>
      <c r="T3" s="557"/>
      <c r="U3" s="557"/>
      <c r="V3" s="557"/>
      <c r="W3" s="557"/>
      <c r="X3" s="557"/>
      <c r="Y3" s="506"/>
      <c r="AA3" s="560">
        <v>1</v>
      </c>
      <c r="AB3" s="505">
        <f>IF(ISNUMBER(System!$C4),PlotData!B4+SensA!$E$2* $AF$1*B3,PlotData!$CB$3)</f>
        <v>-3.75</v>
      </c>
      <c r="AC3" s="557">
        <f>IF(ISNUMBER(System!$C4),PlotData!C4+SensA!$E$2* $AF$1*C3,PlotData!$CB$3)</f>
        <v>-3.4649999999999999</v>
      </c>
      <c r="AD3" s="557">
        <f>IF(ISNUMBER(System!$C4),PlotData!D4+SensA!$E$2* $AF$1*D3,PlotData!$CB$3)</f>
        <v>-3.1799999999999997</v>
      </c>
      <c r="AE3" s="557">
        <f>IF(ISNUMBER(System!$C4),PlotData!E4+SensA!$E$2* $AF$1*E3,PlotData!$CB$3)</f>
        <v>-2.8949999999999996</v>
      </c>
      <c r="AF3" s="557">
        <f>IF(ISNUMBER(System!$C4),PlotData!F4+SensA!$E$2* $AF$1*F3,PlotData!$CB$3)</f>
        <v>-2.6099999999999994</v>
      </c>
      <c r="AG3" s="557">
        <f>IF(ISNUMBER(System!$C4),PlotData!G4+SensA!$E$2* $AF$1*G3,PlotData!$CB$3)</f>
        <v>-2.3249999999999993</v>
      </c>
      <c r="AH3" s="557">
        <f>IF(ISNUMBER(System!$C4),PlotData!H4+SensA!$E$2* $AF$1*H3,PlotData!$CB$3)</f>
        <v>-2.0399999999999991</v>
      </c>
      <c r="AI3" s="557">
        <f>IF(ISNUMBER(System!$C4),PlotData!I4+SensA!$E$2* $AF$1*I3,PlotData!$CB$3)</f>
        <v>-1.754999999999999</v>
      </c>
      <c r="AJ3" s="557">
        <f>IF(ISNUMBER(System!$C4),PlotData!J4+SensA!$E$2* $AF$1*J3,PlotData!$CB$3)</f>
        <v>-1.4699999999999989</v>
      </c>
      <c r="AK3" s="557">
        <f>IF(ISNUMBER(System!$C4),PlotData!K4+SensA!$E$2* $AF$1*K3,PlotData!$CB$3)</f>
        <v>-1.1849999999999987</v>
      </c>
      <c r="AL3" s="506">
        <f>IF(ISNUMBER(System!$C4),PlotData!L4+SensA!$E$2* $AF$1*L3,PlotData!$CB$3)</f>
        <v>-0.89999999999999869</v>
      </c>
      <c r="AM3" s="628">
        <f>IF(ISNUMBER(System!$C4),PlotData!L4,PlotData!$CB$3)</f>
        <v>-0.89999999999999869</v>
      </c>
      <c r="AN3" s="557">
        <f>IF(ISNUMBER(System!$C4),PlotData!B4,PlotData!$CB$3)</f>
        <v>-3.75</v>
      </c>
      <c r="AO3" s="440">
        <f>IF(ISNUMBER(System!$C4),AB3,PlotData!$CB$3)</f>
        <v>-3.75</v>
      </c>
      <c r="AQ3" s="560">
        <v>1</v>
      </c>
      <c r="AR3" s="505">
        <f>IF(ISNUMBER(System!$C4),PlotData!O4+ SensA!$E$2*$AF$1*O3,PlotData!$CB$4)</f>
        <v>0.9</v>
      </c>
      <c r="AS3" s="557">
        <f>IF(ISNUMBER(System!$C4),PlotData!P4+ SensA!$E$2*$AF$1*P3,PlotData!$CB$4)</f>
        <v>0.9</v>
      </c>
      <c r="AT3" s="557">
        <f>IF(ISNUMBER(System!$C4),PlotData!Q4+ SensA!$E$2*$AF$1*Q3,PlotData!$CB$4)</f>
        <v>0.9</v>
      </c>
      <c r="AU3" s="557">
        <f>IF(ISNUMBER(System!$C4),PlotData!R4+ SensA!$E$2*$AF$1*R3,PlotData!$CB$4)</f>
        <v>0.9</v>
      </c>
      <c r="AV3" s="557">
        <f>IF(ISNUMBER(System!$C4),PlotData!S4+ SensA!$E$2*$AF$1*S3,PlotData!$CB$4)</f>
        <v>0.9</v>
      </c>
      <c r="AW3" s="557">
        <f>IF(ISNUMBER(System!$C4),PlotData!T4+ SensA!$E$2*$AF$1*T3,PlotData!$CB$4)</f>
        <v>0.9</v>
      </c>
      <c r="AX3" s="557">
        <f>IF(ISNUMBER(System!$C4),PlotData!U4+ SensA!$E$2*$AF$1*U3,PlotData!$CB$4)</f>
        <v>0.9</v>
      </c>
      <c r="AY3" s="557">
        <f>IF(ISNUMBER(System!$C4),PlotData!V4+ SensA!$E$2*$AF$1*V3,PlotData!$CB$4)</f>
        <v>0.9</v>
      </c>
      <c r="AZ3" s="557">
        <f>IF(ISNUMBER(System!$C4),PlotData!W4+ SensA!$E$2*$AF$1*W3,PlotData!$CB$4)</f>
        <v>0.9</v>
      </c>
      <c r="BA3" s="557">
        <f>IF(ISNUMBER(System!$C4),PlotData!X4+ SensA!$E$2*$AF$1*X3,PlotData!$CB$4)</f>
        <v>0.9</v>
      </c>
      <c r="BB3" s="506">
        <f>IF(ISNUMBER(System!$C4),PlotData!Y4+ SensA!$E$2*$AF$1*Y3,PlotData!$CB$4)</f>
        <v>0.9</v>
      </c>
      <c r="BC3" s="606">
        <f>IF(ISNUMBER(System!$C4),PlotData!Y4, PlotData!CB$4)</f>
        <v>0.9</v>
      </c>
      <c r="BD3" s="604">
        <f>IF(ISNUMBER(System!$C4),PlotData!O4, PlotData!$CB$4)</f>
        <v>0.9</v>
      </c>
      <c r="BE3" s="605">
        <f>IF(ISNUMBER(System!$C4), AR3,PlotData!$CB$4)</f>
        <v>0.9</v>
      </c>
      <c r="BG3" s="480" t="s">
        <v>166</v>
      </c>
      <c r="BH3" s="566">
        <f>PlotS!$AT$1</f>
        <v>0.74999999999999978</v>
      </c>
      <c r="BI3" s="567"/>
    </row>
    <row r="4" spans="1:61" x14ac:dyDescent="0.35">
      <c r="A4" s="568">
        <v>2</v>
      </c>
      <c r="B4" s="565"/>
      <c r="C4" s="566"/>
      <c r="D4" s="566"/>
      <c r="E4" s="566"/>
      <c r="F4" s="566"/>
      <c r="G4" s="566"/>
      <c r="H4" s="566"/>
      <c r="I4" s="566"/>
      <c r="J4" s="566"/>
      <c r="K4" s="566"/>
      <c r="L4" s="567"/>
      <c r="N4" s="568">
        <v>2</v>
      </c>
      <c r="O4" s="565"/>
      <c r="P4" s="566"/>
      <c r="Q4" s="566"/>
      <c r="R4" s="566"/>
      <c r="S4" s="566"/>
      <c r="T4" s="566"/>
      <c r="U4" s="566"/>
      <c r="V4" s="566"/>
      <c r="W4" s="566"/>
      <c r="X4" s="566"/>
      <c r="Y4" s="567"/>
      <c r="AA4" s="569">
        <v>2</v>
      </c>
      <c r="AB4" s="565">
        <f>IF(ISNUMBER(System!$C5),PlotData!B5+SensA!$E$2* $AF$1*B4,PlotData!$CB$3)</f>
        <v>-0.9</v>
      </c>
      <c r="AC4" s="566">
        <f>IF(ISNUMBER(System!$C5),PlotData!C5+SensA!$E$2* $AF$1*C4,PlotData!$CB$3)</f>
        <v>-0.55491829999999998</v>
      </c>
      <c r="AD4" s="566">
        <f>IF(ISNUMBER(System!$C5),PlotData!D5+SensA!$E$2* $AF$1*D4,PlotData!$CB$3)</f>
        <v>-0.20983659999999998</v>
      </c>
      <c r="AE4" s="566">
        <f>IF(ISNUMBER(System!$C5),PlotData!E5+SensA!$E$2* $AF$1*E4,PlotData!$CB$3)</f>
        <v>0.13524510000000001</v>
      </c>
      <c r="AF4" s="566">
        <f>IF(ISNUMBER(System!$C5),PlotData!F5+SensA!$E$2* $AF$1*F4,PlotData!$CB$3)</f>
        <v>0.4803268</v>
      </c>
      <c r="AG4" s="566">
        <f>IF(ISNUMBER(System!$C5),PlotData!G5+SensA!$E$2* $AF$1*G4,PlotData!$CB$3)</f>
        <v>0.82540849999999999</v>
      </c>
      <c r="AH4" s="566">
        <f>IF(ISNUMBER(System!$C5),PlotData!H5+SensA!$E$2* $AF$1*H4,PlotData!$CB$3)</f>
        <v>1.1704901999999999</v>
      </c>
      <c r="AI4" s="566">
        <f>IF(ISNUMBER(System!$C5),PlotData!I5+SensA!$E$2* $AF$1*I4,PlotData!$CB$3)</f>
        <v>1.5155718999999999</v>
      </c>
      <c r="AJ4" s="566">
        <f>IF(ISNUMBER(System!$C5),PlotData!J5+SensA!$E$2* $AF$1*J4,PlotData!$CB$3)</f>
        <v>1.8606535999999998</v>
      </c>
      <c r="AK4" s="566">
        <f>IF(ISNUMBER(System!$C5),PlotData!K5+SensA!$E$2* $AF$1*K4,PlotData!$CB$3)</f>
        <v>2.2057352999999997</v>
      </c>
      <c r="AL4" s="567">
        <f>IF(ISNUMBER(System!$C5),PlotData!L5+SensA!$E$2* $AF$1*L4,PlotData!$CB$3)</f>
        <v>2.5508169999999999</v>
      </c>
      <c r="AM4" s="607">
        <f>IF(ISNUMBER(System!$C5),PlotData!L5,PlotData!$CB$3)</f>
        <v>2.5508169999999999</v>
      </c>
      <c r="AN4" s="566">
        <f>IF(ISNUMBER(System!$C5),PlotData!B5,PlotData!$CB$3)</f>
        <v>-0.9</v>
      </c>
      <c r="AO4" s="447">
        <f>IF(ISNUMBER(System!$C5),AB4,PlotData!$CB$3)</f>
        <v>-0.9</v>
      </c>
      <c r="AQ4" s="569">
        <v>2</v>
      </c>
      <c r="AR4" s="565">
        <f>IF(ISNUMBER(System!$C5),PlotData!O5+ SensA!$E$2*$AF$1*O4,PlotData!$CB$4)</f>
        <v>0.9</v>
      </c>
      <c r="AS4" s="566">
        <f>IF(ISNUMBER(System!$C5),PlotData!P5+ SensA!$E$2*$AF$1*P4,PlotData!$CB$4)</f>
        <v>0.89998359999999999</v>
      </c>
      <c r="AT4" s="566">
        <f>IF(ISNUMBER(System!$C5),PlotData!Q5+ SensA!$E$2*$AF$1*Q4,PlotData!$CB$4)</f>
        <v>0.89996719999999997</v>
      </c>
      <c r="AU4" s="566">
        <f>IF(ISNUMBER(System!$C5),PlotData!R5+ SensA!$E$2*$AF$1*R4,PlotData!$CB$4)</f>
        <v>0.89995079999999994</v>
      </c>
      <c r="AV4" s="566">
        <f>IF(ISNUMBER(System!$C5),PlotData!S5+ SensA!$E$2*$AF$1*S4,PlotData!$CB$4)</f>
        <v>0.89993439999999991</v>
      </c>
      <c r="AW4" s="566">
        <f>IF(ISNUMBER(System!$C5),PlotData!T5+ SensA!$E$2*$AF$1*T4,PlotData!$CB$4)</f>
        <v>0.89991799999999988</v>
      </c>
      <c r="AX4" s="566">
        <f>IF(ISNUMBER(System!$C5),PlotData!U5+ SensA!$E$2*$AF$1*U4,PlotData!$CB$4)</f>
        <v>0.89990159999999986</v>
      </c>
      <c r="AY4" s="566">
        <f>IF(ISNUMBER(System!$C5),PlotData!V5+ SensA!$E$2*$AF$1*V4,PlotData!$CB$4)</f>
        <v>0.89988519999999983</v>
      </c>
      <c r="AZ4" s="566">
        <f>IF(ISNUMBER(System!$C5),PlotData!W5+ SensA!$E$2*$AF$1*W4,PlotData!$CB$4)</f>
        <v>0.8998687999999998</v>
      </c>
      <c r="BA4" s="566">
        <f>IF(ISNUMBER(System!$C5),PlotData!X5+ SensA!$E$2*$AF$1*X4,PlotData!$CB$4)</f>
        <v>0.89985239999999977</v>
      </c>
      <c r="BB4" s="567">
        <f>IF(ISNUMBER(System!$C5),PlotData!Y5+ SensA!$E$2*$AF$1*Y4,PlotData!$CB$4)</f>
        <v>0.89983599999999975</v>
      </c>
      <c r="BC4" s="607">
        <f>IF(ISNUMBER(System!$C5),PlotData!Y5, PlotData!CB$4)</f>
        <v>0.89983599999999975</v>
      </c>
      <c r="BD4" s="566">
        <f>IF(ISNUMBER(System!$C5),PlotData!O5, PlotData!$CB$4)</f>
        <v>0.9</v>
      </c>
      <c r="BE4" s="567">
        <f>IF(ISNUMBER(System!$C5), AR4,PlotData!$CB$4)</f>
        <v>0.9</v>
      </c>
      <c r="BG4" s="480" t="s">
        <v>122</v>
      </c>
      <c r="BH4" s="566">
        <f>BH5 * PlotS!$AX$1</f>
        <v>14.38514859151619</v>
      </c>
      <c r="BI4" s="567"/>
    </row>
    <row r="5" spans="1:61" x14ac:dyDescent="0.35">
      <c r="A5" s="568">
        <v>3</v>
      </c>
      <c r="B5" s="565"/>
      <c r="C5" s="566"/>
      <c r="D5" s="566"/>
      <c r="E5" s="566"/>
      <c r="F5" s="566"/>
      <c r="G5" s="566"/>
      <c r="H5" s="566"/>
      <c r="I5" s="566"/>
      <c r="J5" s="566"/>
      <c r="K5" s="566"/>
      <c r="L5" s="567"/>
      <c r="N5" s="568">
        <v>3</v>
      </c>
      <c r="O5" s="565"/>
      <c r="P5" s="566"/>
      <c r="Q5" s="566"/>
      <c r="R5" s="566"/>
      <c r="S5" s="566"/>
      <c r="T5" s="566"/>
      <c r="U5" s="566"/>
      <c r="V5" s="566"/>
      <c r="W5" s="566"/>
      <c r="X5" s="566"/>
      <c r="Y5" s="567"/>
      <c r="AA5" s="569">
        <v>3</v>
      </c>
      <c r="AB5" s="565">
        <f>IF(ISNUMBER(System!$C6),PlotData!B6+SensA!$E$2* $AF$1*B5,PlotData!$CB$3)</f>
        <v>-0.9</v>
      </c>
      <c r="AC5" s="566">
        <f>IF(ISNUMBER(System!$C6),PlotData!C6+SensA!$E$2* $AF$1*C5,PlotData!$CB$3)</f>
        <v>-0.42</v>
      </c>
      <c r="AD5" s="566">
        <f>IF(ISNUMBER(System!$C6),PlotData!D6+SensA!$E$2* $AF$1*D5,PlotData!$CB$3)</f>
        <v>6.0000000000000053E-2</v>
      </c>
      <c r="AE5" s="566">
        <f>IF(ISNUMBER(System!$C6),PlotData!E6+SensA!$E$2* $AF$1*E5,PlotData!$CB$3)</f>
        <v>0.54</v>
      </c>
      <c r="AF5" s="566">
        <f>IF(ISNUMBER(System!$C6),PlotData!F6+SensA!$E$2* $AF$1*F5,PlotData!$CB$3)</f>
        <v>1.02</v>
      </c>
      <c r="AG5" s="566">
        <f>IF(ISNUMBER(System!$C6),PlotData!G6+SensA!$E$2* $AF$1*G5,PlotData!$CB$3)</f>
        <v>1.5</v>
      </c>
      <c r="AH5" s="566">
        <f>IF(ISNUMBER(System!$C6),PlotData!H6+SensA!$E$2* $AF$1*H5,PlotData!$CB$3)</f>
        <v>1.98</v>
      </c>
      <c r="AI5" s="566">
        <f>IF(ISNUMBER(System!$C6),PlotData!I6+SensA!$E$2* $AF$1*I5,PlotData!$CB$3)</f>
        <v>2.46</v>
      </c>
      <c r="AJ5" s="566">
        <f>IF(ISNUMBER(System!$C6),PlotData!J6+SensA!$E$2* $AF$1*J5,PlotData!$CB$3)</f>
        <v>2.94</v>
      </c>
      <c r="AK5" s="566">
        <f>IF(ISNUMBER(System!$C6),PlotData!K6+SensA!$E$2* $AF$1*K5,PlotData!$CB$3)</f>
        <v>3.42</v>
      </c>
      <c r="AL5" s="567">
        <f>IF(ISNUMBER(System!$C6),PlotData!L6+SensA!$E$2* $AF$1*L5,PlotData!$CB$3)</f>
        <v>3.9</v>
      </c>
      <c r="AM5" s="607">
        <f>IF(ISNUMBER(System!$C6),PlotData!L6,PlotData!$CB$3)</f>
        <v>3.9</v>
      </c>
      <c r="AN5" s="566">
        <f>IF(ISNUMBER(System!$C6),PlotData!B6,PlotData!$CB$3)</f>
        <v>-0.9</v>
      </c>
      <c r="AO5" s="447">
        <f>IF(ISNUMBER(System!$C6),AB5,PlotData!$CB$3)</f>
        <v>-0.9</v>
      </c>
      <c r="AQ5" s="569">
        <v>3</v>
      </c>
      <c r="AR5" s="565">
        <f>IF(ISNUMBER(System!$C6),PlotData!O6+ SensA!$E$2*$AF$1*O5,PlotData!$CB$4)</f>
        <v>0.9</v>
      </c>
      <c r="AS5" s="566">
        <f>IF(ISNUMBER(System!$C6),PlotData!P6+ SensA!$E$2*$AF$1*P5,PlotData!$CB$4)</f>
        <v>0.6</v>
      </c>
      <c r="AT5" s="566">
        <f>IF(ISNUMBER(System!$C6),PlotData!Q6+ SensA!$E$2*$AF$1*Q5,PlotData!$CB$4)</f>
        <v>0.29999999999999993</v>
      </c>
      <c r="AU5" s="566">
        <f>IF(ISNUMBER(System!$C6),PlotData!R6+ SensA!$E$2*$AF$1*R5,PlotData!$CB$4)</f>
        <v>-1.1102230246251565E-16</v>
      </c>
      <c r="AV5" s="566">
        <f>IF(ISNUMBER(System!$C6),PlotData!S6+ SensA!$E$2*$AF$1*S5,PlotData!$CB$4)</f>
        <v>-0.30000000000000016</v>
      </c>
      <c r="AW5" s="566">
        <f>IF(ISNUMBER(System!$C6),PlotData!T6+ SensA!$E$2*$AF$1*T5,PlotData!$CB$4)</f>
        <v>-0.6000000000000002</v>
      </c>
      <c r="AX5" s="566">
        <f>IF(ISNUMBER(System!$C6),PlotData!U6+ SensA!$E$2*$AF$1*U5,PlotData!$CB$4)</f>
        <v>-0.90000000000000024</v>
      </c>
      <c r="AY5" s="566">
        <f>IF(ISNUMBER(System!$C6),PlotData!V6+ SensA!$E$2*$AF$1*V5,PlotData!$CB$4)</f>
        <v>-1.2000000000000002</v>
      </c>
      <c r="AZ5" s="566">
        <f>IF(ISNUMBER(System!$C6),PlotData!W6+ SensA!$E$2*$AF$1*W5,PlotData!$CB$4)</f>
        <v>-1.5000000000000002</v>
      </c>
      <c r="BA5" s="566">
        <f>IF(ISNUMBER(System!$C6),PlotData!X6+ SensA!$E$2*$AF$1*X5,PlotData!$CB$4)</f>
        <v>-1.8000000000000003</v>
      </c>
      <c r="BB5" s="567">
        <f>IF(ISNUMBER(System!$C6),PlotData!Y6+ SensA!$E$2*$AF$1*Y5,PlotData!$CB$4)</f>
        <v>-2.1000000000000005</v>
      </c>
      <c r="BC5" s="607">
        <f>IF(ISNUMBER(System!$C6),PlotData!Y6, PlotData!CB$4)</f>
        <v>-2.1000000000000005</v>
      </c>
      <c r="BD5" s="566">
        <f>IF(ISNUMBER(System!$C6),PlotData!O6, PlotData!$CB$4)</f>
        <v>0.9</v>
      </c>
      <c r="BE5" s="567">
        <f>IF(ISNUMBER(System!$C6), AR5,PlotData!$CB$4)</f>
        <v>0.9</v>
      </c>
      <c r="BG5" s="480" t="s">
        <v>167</v>
      </c>
      <c r="BH5" s="566">
        <f>1/SensA!$G$2</f>
        <v>1</v>
      </c>
      <c r="BI5" s="567"/>
    </row>
    <row r="6" spans="1:61" x14ac:dyDescent="0.35">
      <c r="A6" s="568">
        <v>4</v>
      </c>
      <c r="B6" s="565"/>
      <c r="C6" s="566"/>
      <c r="D6" s="566"/>
      <c r="E6" s="566"/>
      <c r="F6" s="566"/>
      <c r="G6" s="566"/>
      <c r="H6" s="566"/>
      <c r="I6" s="566"/>
      <c r="J6" s="566"/>
      <c r="K6" s="566"/>
      <c r="L6" s="567"/>
      <c r="N6" s="568">
        <v>4</v>
      </c>
      <c r="O6" s="565"/>
      <c r="P6" s="566"/>
      <c r="Q6" s="566"/>
      <c r="R6" s="566"/>
      <c r="S6" s="566"/>
      <c r="T6" s="566"/>
      <c r="U6" s="566"/>
      <c r="V6" s="566"/>
      <c r="W6" s="566"/>
      <c r="X6" s="566"/>
      <c r="Y6" s="567"/>
      <c r="AA6" s="569">
        <v>4</v>
      </c>
      <c r="AB6" s="565">
        <f>IF(ISNUMBER(System!$C7),PlotData!B7+SensA!$E$2* $AF$1*B6,PlotData!$CB$3)</f>
        <v>8.6999999999999993</v>
      </c>
      <c r="AC6" s="566">
        <f>IF(ISNUMBER(System!$C7),PlotData!C7+SensA!$E$2* $AF$1*C6,PlotData!$CB$3)</f>
        <v>8.2199999999999989</v>
      </c>
      <c r="AD6" s="566">
        <f>IF(ISNUMBER(System!$C7),PlotData!D7+SensA!$E$2* $AF$1*D6,PlotData!$CB$3)</f>
        <v>7.7399999999999984</v>
      </c>
      <c r="AE6" s="566">
        <f>IF(ISNUMBER(System!$C7),PlotData!E7+SensA!$E$2* $AF$1*E6,PlotData!$CB$3)</f>
        <v>7.259999999999998</v>
      </c>
      <c r="AF6" s="566">
        <f>IF(ISNUMBER(System!$C7),PlotData!F7+SensA!$E$2* $AF$1*F6,PlotData!$CB$3)</f>
        <v>6.7799999999999976</v>
      </c>
      <c r="AG6" s="566">
        <f>IF(ISNUMBER(System!$C7),PlotData!G7+SensA!$E$2* $AF$1*G6,PlotData!$CB$3)</f>
        <v>6.2999999999999972</v>
      </c>
      <c r="AH6" s="566">
        <f>IF(ISNUMBER(System!$C7),PlotData!H7+SensA!$E$2* $AF$1*H6,PlotData!$CB$3)</f>
        <v>5.8199999999999967</v>
      </c>
      <c r="AI6" s="566">
        <f>IF(ISNUMBER(System!$C7),PlotData!I7+SensA!$E$2* $AF$1*I6,PlotData!$CB$3)</f>
        <v>5.3399999999999963</v>
      </c>
      <c r="AJ6" s="566">
        <f>IF(ISNUMBER(System!$C7),PlotData!J7+SensA!$E$2* $AF$1*J6,PlotData!$CB$3)</f>
        <v>4.8599999999999959</v>
      </c>
      <c r="AK6" s="566">
        <f>IF(ISNUMBER(System!$C7),PlotData!K7+SensA!$E$2* $AF$1*K6,PlotData!$CB$3)</f>
        <v>4.3799999999999955</v>
      </c>
      <c r="AL6" s="567">
        <f>IF(ISNUMBER(System!$C7),PlotData!L7+SensA!$E$2* $AF$1*L6,PlotData!$CB$3)</f>
        <v>3.8999999999999955</v>
      </c>
      <c r="AM6" s="607">
        <f>IF(ISNUMBER(System!$C7),PlotData!L7,PlotData!$CB$3)</f>
        <v>3.8999999999999955</v>
      </c>
      <c r="AN6" s="566">
        <f>IF(ISNUMBER(System!$C7),PlotData!B7,PlotData!$CB$3)</f>
        <v>8.6999999999999993</v>
      </c>
      <c r="AO6" s="447">
        <f>IF(ISNUMBER(System!$C7),AB6,PlotData!$CB$3)</f>
        <v>8.6999999999999993</v>
      </c>
      <c r="AQ6" s="569">
        <v>4</v>
      </c>
      <c r="AR6" s="565">
        <f>IF(ISNUMBER(System!$C7),PlotData!O7+ SensA!$E$2*$AF$1*O6,PlotData!$CB$4)</f>
        <v>0.9</v>
      </c>
      <c r="AS6" s="566">
        <f>IF(ISNUMBER(System!$C7),PlotData!P7+ SensA!$E$2*$AF$1*P6,PlotData!$CB$4)</f>
        <v>0.6</v>
      </c>
      <c r="AT6" s="566">
        <f>IF(ISNUMBER(System!$C7),PlotData!Q7+ SensA!$E$2*$AF$1*Q6,PlotData!$CB$4)</f>
        <v>0.29999999999999993</v>
      </c>
      <c r="AU6" s="566">
        <f>IF(ISNUMBER(System!$C7),PlotData!R7+ SensA!$E$2*$AF$1*R6,PlotData!$CB$4)</f>
        <v>-1.1102230246251565E-16</v>
      </c>
      <c r="AV6" s="566">
        <f>IF(ISNUMBER(System!$C7),PlotData!S7+ SensA!$E$2*$AF$1*S6,PlotData!$CB$4)</f>
        <v>-0.30000000000000016</v>
      </c>
      <c r="AW6" s="566">
        <f>IF(ISNUMBER(System!$C7),PlotData!T7+ SensA!$E$2*$AF$1*T6,PlotData!$CB$4)</f>
        <v>-0.6000000000000002</v>
      </c>
      <c r="AX6" s="566">
        <f>IF(ISNUMBER(System!$C7),PlotData!U7+ SensA!$E$2*$AF$1*U6,PlotData!$CB$4)</f>
        <v>-0.90000000000000024</v>
      </c>
      <c r="AY6" s="566">
        <f>IF(ISNUMBER(System!$C7),PlotData!V7+ SensA!$E$2*$AF$1*V6,PlotData!$CB$4)</f>
        <v>-1.2000000000000002</v>
      </c>
      <c r="AZ6" s="566">
        <f>IF(ISNUMBER(System!$C7),PlotData!W7+ SensA!$E$2*$AF$1*W6,PlotData!$CB$4)</f>
        <v>-1.5000000000000002</v>
      </c>
      <c r="BA6" s="566">
        <f>IF(ISNUMBER(System!$C7),PlotData!X7+ SensA!$E$2*$AF$1*X6,PlotData!$CB$4)</f>
        <v>-1.8000000000000003</v>
      </c>
      <c r="BB6" s="567">
        <f>IF(ISNUMBER(System!$C7),PlotData!Y7+ SensA!$E$2*$AF$1*Y6,PlotData!$CB$4)</f>
        <v>-2.1000000000000005</v>
      </c>
      <c r="BC6" s="607">
        <f>IF(ISNUMBER(System!$C7),PlotData!Y7, PlotData!CB$4)</f>
        <v>-2.1000000000000005</v>
      </c>
      <c r="BD6" s="566">
        <f>IF(ISNUMBER(System!$C7),PlotData!O7, PlotData!$CB$4)</f>
        <v>0.9</v>
      </c>
      <c r="BE6" s="567">
        <f>IF(ISNUMBER(System!$C7), AR6,PlotData!$CB$4)</f>
        <v>0.9</v>
      </c>
      <c r="BG6" s="480" t="s">
        <v>168</v>
      </c>
      <c r="BH6" s="566">
        <f>BH2-BH4</f>
        <v>-6.7351485915161824</v>
      </c>
      <c r="BI6" s="567">
        <f>BH3+BH4</f>
        <v>15.13514859151619</v>
      </c>
    </row>
    <row r="7" spans="1:61" x14ac:dyDescent="0.35">
      <c r="A7" s="568">
        <v>5</v>
      </c>
      <c r="B7" s="565"/>
      <c r="C7" s="566"/>
      <c r="D7" s="566"/>
      <c r="E7" s="566"/>
      <c r="F7" s="566"/>
      <c r="G7" s="566"/>
      <c r="H7" s="566"/>
      <c r="I7" s="566"/>
      <c r="J7" s="566"/>
      <c r="K7" s="566"/>
      <c r="L7" s="567"/>
      <c r="N7" s="568">
        <v>5</v>
      </c>
      <c r="O7" s="565"/>
      <c r="P7" s="566"/>
      <c r="Q7" s="566"/>
      <c r="R7" s="566"/>
      <c r="S7" s="566"/>
      <c r="T7" s="566"/>
      <c r="U7" s="566"/>
      <c r="V7" s="566"/>
      <c r="W7" s="566"/>
      <c r="X7" s="566"/>
      <c r="Y7" s="567"/>
      <c r="AA7" s="569">
        <v>5</v>
      </c>
      <c r="AB7" s="565">
        <f>IF(ISNUMBER(System!$C8),PlotData!B8+SensA!$E$2* $AF$1*B7,PlotData!$CB$3)</f>
        <v>3.9</v>
      </c>
      <c r="AC7" s="566">
        <f>IF(ISNUMBER(System!$C8),PlotData!C8+SensA!$E$2* $AF$1*C7,PlotData!$CB$3)</f>
        <v>4.0371756000000003</v>
      </c>
      <c r="AD7" s="566">
        <f>IF(ISNUMBER(System!$C8),PlotData!D8+SensA!$E$2* $AF$1*D7,PlotData!$CB$3)</f>
        <v>4.1743512000000003</v>
      </c>
      <c r="AE7" s="566">
        <f>IF(ISNUMBER(System!$C8),PlotData!E8+SensA!$E$2* $AF$1*E7,PlotData!$CB$3)</f>
        <v>4.3115268000000002</v>
      </c>
      <c r="AF7" s="566">
        <f>IF(ISNUMBER(System!$C8),PlotData!F8+SensA!$E$2* $AF$1*F7,PlotData!$CB$3)</f>
        <v>4.4487024000000002</v>
      </c>
      <c r="AG7" s="566">
        <f>IF(ISNUMBER(System!$C8),PlotData!G8+SensA!$E$2* $AF$1*G7,PlotData!$CB$3)</f>
        <v>4.5858780000000001</v>
      </c>
      <c r="AH7" s="566">
        <f>IF(ISNUMBER(System!$C8),PlotData!H8+SensA!$E$2* $AF$1*H7,PlotData!$CB$3)</f>
        <v>4.7230536000000001</v>
      </c>
      <c r="AI7" s="566">
        <f>IF(ISNUMBER(System!$C8),PlotData!I8+SensA!$E$2* $AF$1*I7,PlotData!$CB$3)</f>
        <v>4.8602292</v>
      </c>
      <c r="AJ7" s="566">
        <f>IF(ISNUMBER(System!$C8),PlotData!J8+SensA!$E$2* $AF$1*J7,PlotData!$CB$3)</f>
        <v>4.9974048</v>
      </c>
      <c r="AK7" s="566">
        <f>IF(ISNUMBER(System!$C8),PlotData!K8+SensA!$E$2* $AF$1*K7,PlotData!$CB$3)</f>
        <v>5.1345803999999999</v>
      </c>
      <c r="AL7" s="567">
        <f>IF(ISNUMBER(System!$C8),PlotData!L8+SensA!$E$2* $AF$1*L7,PlotData!$CB$3)</f>
        <v>5.2717559999999999</v>
      </c>
      <c r="AM7" s="607">
        <f>IF(ISNUMBER(System!$C8),PlotData!L8,PlotData!$CB$3)</f>
        <v>5.2717559999999999</v>
      </c>
      <c r="AN7" s="566">
        <f>IF(ISNUMBER(System!$C8),PlotData!B8,PlotData!$CB$3)</f>
        <v>3.9</v>
      </c>
      <c r="AO7" s="447">
        <f>IF(ISNUMBER(System!$C8),AB7,PlotData!$CB$3)</f>
        <v>3.9</v>
      </c>
      <c r="AQ7" s="569">
        <v>5</v>
      </c>
      <c r="AR7" s="565">
        <f>IF(ISNUMBER(System!$C8),PlotData!O8+ SensA!$E$2*$AF$1*O7,PlotData!$CB$4)</f>
        <v>0.9</v>
      </c>
      <c r="AS7" s="566">
        <f>IF(ISNUMBER(System!$C8),PlotData!P8+ SensA!$E$2*$AF$1*P7,PlotData!$CB$4)</f>
        <v>0.89998359999999999</v>
      </c>
      <c r="AT7" s="566">
        <f>IF(ISNUMBER(System!$C8),PlotData!Q8+ SensA!$E$2*$AF$1*Q7,PlotData!$CB$4)</f>
        <v>0.89996719999999997</v>
      </c>
      <c r="AU7" s="566">
        <f>IF(ISNUMBER(System!$C8),PlotData!R8+ SensA!$E$2*$AF$1*R7,PlotData!$CB$4)</f>
        <v>0.89995079999999994</v>
      </c>
      <c r="AV7" s="566">
        <f>IF(ISNUMBER(System!$C8),PlotData!S8+ SensA!$E$2*$AF$1*S7,PlotData!$CB$4)</f>
        <v>0.89993439999999991</v>
      </c>
      <c r="AW7" s="566">
        <f>IF(ISNUMBER(System!$C8),PlotData!T8+ SensA!$E$2*$AF$1*T7,PlotData!$CB$4)</f>
        <v>0.89991799999999988</v>
      </c>
      <c r="AX7" s="566">
        <f>IF(ISNUMBER(System!$C8),PlotData!U8+ SensA!$E$2*$AF$1*U7,PlotData!$CB$4)</f>
        <v>0.89990159999999986</v>
      </c>
      <c r="AY7" s="566">
        <f>IF(ISNUMBER(System!$C8),PlotData!V8+ SensA!$E$2*$AF$1*V7,PlotData!$CB$4)</f>
        <v>0.89988519999999983</v>
      </c>
      <c r="AZ7" s="566">
        <f>IF(ISNUMBER(System!$C8),PlotData!W8+ SensA!$E$2*$AF$1*W7,PlotData!$CB$4)</f>
        <v>0.8998687999999998</v>
      </c>
      <c r="BA7" s="566">
        <f>IF(ISNUMBER(System!$C8),PlotData!X8+ SensA!$E$2*$AF$1*X7,PlotData!$CB$4)</f>
        <v>0.89985239999999977</v>
      </c>
      <c r="BB7" s="567">
        <f>IF(ISNUMBER(System!$C8),PlotData!Y8+ SensA!$E$2*$AF$1*Y7,PlotData!$CB$4)</f>
        <v>0.89983599999999975</v>
      </c>
      <c r="BC7" s="607">
        <f>IF(ISNUMBER(System!$C8),PlotData!Y8, PlotData!CB$4)</f>
        <v>0.89983599999999975</v>
      </c>
      <c r="BD7" s="566">
        <f>IF(ISNUMBER(System!$C8),PlotData!O8, PlotData!$CB$4)</f>
        <v>0.9</v>
      </c>
      <c r="BE7" s="567">
        <f>IF(ISNUMBER(System!$C8), AR7,PlotData!$CB$4)</f>
        <v>0.9</v>
      </c>
      <c r="BG7" s="480" t="s">
        <v>169</v>
      </c>
      <c r="BH7" s="566">
        <f>BH2+BH4</f>
        <v>22.035148591516197</v>
      </c>
      <c r="BI7" s="567">
        <f>BH3+BH4</f>
        <v>15.13514859151619</v>
      </c>
    </row>
    <row r="8" spans="1:61" x14ac:dyDescent="0.35">
      <c r="A8" s="568">
        <v>6</v>
      </c>
      <c r="B8" s="565"/>
      <c r="C8" s="566"/>
      <c r="D8" s="566"/>
      <c r="E8" s="566"/>
      <c r="F8" s="566"/>
      <c r="G8" s="566"/>
      <c r="H8" s="566"/>
      <c r="I8" s="566"/>
      <c r="J8" s="566"/>
      <c r="K8" s="566"/>
      <c r="L8" s="567"/>
      <c r="N8" s="568">
        <v>6</v>
      </c>
      <c r="O8" s="565"/>
      <c r="P8" s="566"/>
      <c r="Q8" s="566"/>
      <c r="R8" s="566"/>
      <c r="S8" s="566"/>
      <c r="T8" s="566"/>
      <c r="U8" s="566"/>
      <c r="V8" s="566"/>
      <c r="W8" s="566"/>
      <c r="X8" s="566"/>
      <c r="Y8" s="567"/>
      <c r="AA8" s="569">
        <v>6</v>
      </c>
      <c r="AB8" s="565">
        <f>IF(ISNUMBER(System!$C9),PlotData!B9+SensA!$E$2* $AF$1*B8,PlotData!$CB$3)</f>
        <v>3.3</v>
      </c>
      <c r="AC8" s="566">
        <f>IF(ISNUMBER(System!$C9),PlotData!C9+SensA!$E$2* $AF$1*C8,PlotData!$CB$3)</f>
        <v>3.3085649999999998</v>
      </c>
      <c r="AD8" s="566">
        <f>IF(ISNUMBER(System!$C9),PlotData!D9+SensA!$E$2* $AF$1*D8,PlotData!$CB$3)</f>
        <v>3.3171299999999997</v>
      </c>
      <c r="AE8" s="566">
        <f>IF(ISNUMBER(System!$C9),PlotData!E9+SensA!$E$2* $AF$1*E8,PlotData!$CB$3)</f>
        <v>3.3256949999999996</v>
      </c>
      <c r="AF8" s="566">
        <f>IF(ISNUMBER(System!$C9),PlotData!F9+SensA!$E$2* $AF$1*F8,PlotData!$CB$3)</f>
        <v>3.3342599999999996</v>
      </c>
      <c r="AG8" s="566">
        <f>IF(ISNUMBER(System!$C9),PlotData!G9+SensA!$E$2* $AF$1*G8,PlotData!$CB$3)</f>
        <v>3.3428249999999995</v>
      </c>
      <c r="AH8" s="566">
        <f>IF(ISNUMBER(System!$C9),PlotData!H9+SensA!$E$2* $AF$1*H8,PlotData!$CB$3)</f>
        <v>3.3513899999999994</v>
      </c>
      <c r="AI8" s="566">
        <f>IF(ISNUMBER(System!$C9),PlotData!I9+SensA!$E$2* $AF$1*I8,PlotData!$CB$3)</f>
        <v>3.3599549999999994</v>
      </c>
      <c r="AJ8" s="566">
        <f>IF(ISNUMBER(System!$C9),PlotData!J9+SensA!$E$2* $AF$1*J8,PlotData!$CB$3)</f>
        <v>3.3685199999999993</v>
      </c>
      <c r="AK8" s="566">
        <f>IF(ISNUMBER(System!$C9),PlotData!K9+SensA!$E$2* $AF$1*K8,PlotData!$CB$3)</f>
        <v>3.3770849999999992</v>
      </c>
      <c r="AL8" s="567">
        <f>IF(ISNUMBER(System!$C9),PlotData!L9+SensA!$E$2* $AF$1*L8,PlotData!$CB$3)</f>
        <v>3.3856499999999992</v>
      </c>
      <c r="AM8" s="607">
        <f>IF(ISNUMBER(System!$C9),PlotData!L9,PlotData!$CB$3)</f>
        <v>3.3856499999999992</v>
      </c>
      <c r="AN8" s="566">
        <f>IF(ISNUMBER(System!$C9),PlotData!B9,PlotData!$CB$3)</f>
        <v>3.3</v>
      </c>
      <c r="AO8" s="447">
        <f>IF(ISNUMBER(System!$C9),AB8,PlotData!$CB$3)</f>
        <v>3.3</v>
      </c>
      <c r="AQ8" s="569">
        <v>6</v>
      </c>
      <c r="AR8" s="565">
        <f>IF(ISNUMBER(System!$C9),PlotData!O9+ SensA!$E$2*$AF$1*O8,PlotData!$CB$4)</f>
        <v>3.6</v>
      </c>
      <c r="AS8" s="566">
        <f>IF(ISNUMBER(System!$C9),PlotData!P9+ SensA!$E$2*$AF$1*P8,PlotData!$CB$4)</f>
        <v>3.5129331000000001</v>
      </c>
      <c r="AT8" s="566">
        <f>IF(ISNUMBER(System!$C9),PlotData!Q9+ SensA!$E$2*$AF$1*Q8,PlotData!$CB$4)</f>
        <v>3.4258662000000002</v>
      </c>
      <c r="AU8" s="566">
        <f>IF(ISNUMBER(System!$C9),PlotData!R9+ SensA!$E$2*$AF$1*R8,PlotData!$CB$4)</f>
        <v>3.3387993000000002</v>
      </c>
      <c r="AV8" s="566">
        <f>IF(ISNUMBER(System!$C9),PlotData!S9+ SensA!$E$2*$AF$1*S8,PlotData!$CB$4)</f>
        <v>3.2517324000000003</v>
      </c>
      <c r="AW8" s="566">
        <f>IF(ISNUMBER(System!$C9),PlotData!T9+ SensA!$E$2*$AF$1*T8,PlotData!$CB$4)</f>
        <v>3.1646655000000004</v>
      </c>
      <c r="AX8" s="566">
        <f>IF(ISNUMBER(System!$C9),PlotData!U9+ SensA!$E$2*$AF$1*U8,PlotData!$CB$4)</f>
        <v>3.0775986000000004</v>
      </c>
      <c r="AY8" s="566">
        <f>IF(ISNUMBER(System!$C9),PlotData!V9+ SensA!$E$2*$AF$1*V8,PlotData!$CB$4)</f>
        <v>2.9905317000000005</v>
      </c>
      <c r="AZ8" s="566">
        <f>IF(ISNUMBER(System!$C9),PlotData!W9+ SensA!$E$2*$AF$1*W8,PlotData!$CB$4)</f>
        <v>2.9034648000000005</v>
      </c>
      <c r="BA8" s="566">
        <f>IF(ISNUMBER(System!$C9),PlotData!X9+ SensA!$E$2*$AF$1*X8,PlotData!$CB$4)</f>
        <v>2.8163979000000006</v>
      </c>
      <c r="BB8" s="567">
        <f>IF(ISNUMBER(System!$C9),PlotData!Y9+ SensA!$E$2*$AF$1*Y8,PlotData!$CB$4)</f>
        <v>2.7293310000000006</v>
      </c>
      <c r="BC8" s="607">
        <f>IF(ISNUMBER(System!$C9),PlotData!Y9, PlotData!CB$4)</f>
        <v>2.7293310000000006</v>
      </c>
      <c r="BD8" s="566">
        <f>IF(ISNUMBER(System!$C9),PlotData!O9, PlotData!$CB$4)</f>
        <v>3.6</v>
      </c>
      <c r="BE8" s="567">
        <f>IF(ISNUMBER(System!$C9), AR8,PlotData!$CB$4)</f>
        <v>3.6</v>
      </c>
      <c r="BG8" s="480" t="s">
        <v>170</v>
      </c>
      <c r="BH8" s="566">
        <f>BH7</f>
        <v>22.035148591516197</v>
      </c>
      <c r="BI8" s="567">
        <f>BH3-BH4</f>
        <v>-13.63514859151619</v>
      </c>
    </row>
    <row r="9" spans="1:61" ht="13.15" thickBot="1" x14ac:dyDescent="0.4">
      <c r="A9" s="568">
        <v>7</v>
      </c>
      <c r="B9" s="565"/>
      <c r="C9" s="566"/>
      <c r="D9" s="566"/>
      <c r="E9" s="566"/>
      <c r="F9" s="566"/>
      <c r="G9" s="566"/>
      <c r="H9" s="566"/>
      <c r="I9" s="566"/>
      <c r="J9" s="566"/>
      <c r="K9" s="566"/>
      <c r="L9" s="567"/>
      <c r="N9" s="568">
        <v>7</v>
      </c>
      <c r="O9" s="565"/>
      <c r="P9" s="566"/>
      <c r="Q9" s="566"/>
      <c r="R9" s="566"/>
      <c r="S9" s="566"/>
      <c r="T9" s="566"/>
      <c r="U9" s="566"/>
      <c r="V9" s="566"/>
      <c r="W9" s="566"/>
      <c r="X9" s="566"/>
      <c r="Y9" s="567"/>
      <c r="AA9" s="569">
        <v>7</v>
      </c>
      <c r="AB9" s="565">
        <f>IF(ISNUMBER(System!$C10),PlotData!B10+SensA!$E$2* $AF$1*B9,PlotData!$CB$3)</f>
        <v>4.5</v>
      </c>
      <c r="AC9" s="566">
        <f>IF(ISNUMBER(System!$C10),PlotData!C10+SensA!$E$2* $AF$1*C9,PlotData!$CB$3)</f>
        <v>4.4906002999999997</v>
      </c>
      <c r="AD9" s="566">
        <f>IF(ISNUMBER(System!$C10),PlotData!D10+SensA!$E$2* $AF$1*D9,PlotData!$CB$3)</f>
        <v>4.4812005999999993</v>
      </c>
      <c r="AE9" s="566">
        <f>IF(ISNUMBER(System!$C10),PlotData!E10+SensA!$E$2* $AF$1*E9,PlotData!$CB$3)</f>
        <v>4.471800899999999</v>
      </c>
      <c r="AF9" s="566">
        <f>IF(ISNUMBER(System!$C10),PlotData!F10+SensA!$E$2* $AF$1*F9,PlotData!$CB$3)</f>
        <v>4.4624011999999986</v>
      </c>
      <c r="AG9" s="566">
        <f>IF(ISNUMBER(System!$C10),PlotData!G10+SensA!$E$2* $AF$1*G9,PlotData!$CB$3)</f>
        <v>4.4530014999999983</v>
      </c>
      <c r="AH9" s="566">
        <f>IF(ISNUMBER(System!$C10),PlotData!H10+SensA!$E$2* $AF$1*H9,PlotData!$CB$3)</f>
        <v>4.4436017999999979</v>
      </c>
      <c r="AI9" s="566">
        <f>IF(ISNUMBER(System!$C10),PlotData!I10+SensA!$E$2* $AF$1*I9,PlotData!$CB$3)</f>
        <v>4.4342020999999976</v>
      </c>
      <c r="AJ9" s="566">
        <f>IF(ISNUMBER(System!$C10),PlotData!J10+SensA!$E$2* $AF$1*J9,PlotData!$CB$3)</f>
        <v>4.4248023999999972</v>
      </c>
      <c r="AK9" s="566">
        <f>IF(ISNUMBER(System!$C10),PlotData!K10+SensA!$E$2* $AF$1*K9,PlotData!$CB$3)</f>
        <v>4.4154026999999969</v>
      </c>
      <c r="AL9" s="567">
        <f>IF(ISNUMBER(System!$C10),PlotData!L10+SensA!$E$2* $AF$1*L9,PlotData!$CB$3)</f>
        <v>4.4060029999999966</v>
      </c>
      <c r="AM9" s="607">
        <f>IF(ISNUMBER(System!$C10),PlotData!L10,PlotData!$CB$3)</f>
        <v>4.4060029999999966</v>
      </c>
      <c r="AN9" s="566">
        <f>IF(ISNUMBER(System!$C10),PlotData!B10,PlotData!$CB$3)</f>
        <v>4.5</v>
      </c>
      <c r="AO9" s="447">
        <f>IF(ISNUMBER(System!$C10),AB9,PlotData!$CB$3)</f>
        <v>4.5</v>
      </c>
      <c r="AQ9" s="569">
        <v>7</v>
      </c>
      <c r="AR9" s="565">
        <f>IF(ISNUMBER(System!$C10),PlotData!O10+ SensA!$E$2*$AF$1*O9,PlotData!$CB$4)</f>
        <v>3.6</v>
      </c>
      <c r="AS9" s="566">
        <f>IF(ISNUMBER(System!$C10),PlotData!P10+ SensA!$E$2*$AF$1*P9,PlotData!$CB$4)</f>
        <v>3.5144827000000003</v>
      </c>
      <c r="AT9" s="566">
        <f>IF(ISNUMBER(System!$C10),PlotData!Q10+ SensA!$E$2*$AF$1*Q9,PlotData!$CB$4)</f>
        <v>3.4289654000000001</v>
      </c>
      <c r="AU9" s="566">
        <f>IF(ISNUMBER(System!$C10),PlotData!R10+ SensA!$E$2*$AF$1*R9,PlotData!$CB$4)</f>
        <v>3.3434480999999998</v>
      </c>
      <c r="AV9" s="566">
        <f>IF(ISNUMBER(System!$C10),PlotData!S10+ SensA!$E$2*$AF$1*S9,PlotData!$CB$4)</f>
        <v>3.2579307999999996</v>
      </c>
      <c r="AW9" s="566">
        <f>IF(ISNUMBER(System!$C10),PlotData!T10+ SensA!$E$2*$AF$1*T9,PlotData!$CB$4)</f>
        <v>3.1724134999999993</v>
      </c>
      <c r="AX9" s="566">
        <f>IF(ISNUMBER(System!$C10),PlotData!U10+ SensA!$E$2*$AF$1*U9,PlotData!$CB$4)</f>
        <v>3.0868961999999991</v>
      </c>
      <c r="AY9" s="566">
        <f>IF(ISNUMBER(System!$C10),PlotData!V10+ SensA!$E$2*$AF$1*V9,PlotData!$CB$4)</f>
        <v>3.0013788999999989</v>
      </c>
      <c r="AZ9" s="566">
        <f>IF(ISNUMBER(System!$C10),PlotData!W10+ SensA!$E$2*$AF$1*W9,PlotData!$CB$4)</f>
        <v>2.9158615999999986</v>
      </c>
      <c r="BA9" s="566">
        <f>IF(ISNUMBER(System!$C10),PlotData!X10+ SensA!$E$2*$AF$1*X9,PlotData!$CB$4)</f>
        <v>2.8303442999999984</v>
      </c>
      <c r="BB9" s="567">
        <f>IF(ISNUMBER(System!$C10),PlotData!Y10+ SensA!$E$2*$AF$1*Y9,PlotData!$CB$4)</f>
        <v>2.7448269999999981</v>
      </c>
      <c r="BC9" s="607">
        <f>IF(ISNUMBER(System!$C10),PlotData!Y10, PlotData!CB$4)</f>
        <v>2.7448269999999981</v>
      </c>
      <c r="BD9" s="566">
        <f>IF(ISNUMBER(System!$C10),PlotData!O10, PlotData!$CB$4)</f>
        <v>3.6</v>
      </c>
      <c r="BE9" s="567">
        <f>IF(ISNUMBER(System!$C10), AR9,PlotData!$CB$4)</f>
        <v>3.6</v>
      </c>
      <c r="BG9" s="481" t="s">
        <v>171</v>
      </c>
      <c r="BH9" s="503">
        <f>BH6</f>
        <v>-6.7351485915161824</v>
      </c>
      <c r="BI9" s="504">
        <f>BI8</f>
        <v>-13.63514859151619</v>
      </c>
    </row>
    <row r="10" spans="1:61" x14ac:dyDescent="0.35">
      <c r="A10" s="568">
        <v>8</v>
      </c>
      <c r="B10" s="565"/>
      <c r="C10" s="566"/>
      <c r="D10" s="566"/>
      <c r="E10" s="566"/>
      <c r="F10" s="566"/>
      <c r="G10" s="566"/>
      <c r="H10" s="566"/>
      <c r="I10" s="566"/>
      <c r="J10" s="566"/>
      <c r="K10" s="566"/>
      <c r="L10" s="567"/>
      <c r="N10" s="568">
        <v>8</v>
      </c>
      <c r="O10" s="565"/>
      <c r="P10" s="566"/>
      <c r="Q10" s="566"/>
      <c r="R10" s="566"/>
      <c r="S10" s="566"/>
      <c r="T10" s="566"/>
      <c r="U10" s="566"/>
      <c r="V10" s="566"/>
      <c r="W10" s="566"/>
      <c r="X10" s="566"/>
      <c r="Y10" s="567"/>
      <c r="AA10" s="569">
        <v>8</v>
      </c>
      <c r="AB10" s="565">
        <f>IF(ISNUMBER(System!$C11),PlotData!B11+SensA!$E$2* $AF$1*B10,PlotData!$CB$3)</f>
        <v>2.5508169999999999</v>
      </c>
      <c r="AC10" s="566">
        <f>IF(ISNUMBER(System!$C11),PlotData!C11+SensA!$E$2* $AF$1*C10,PlotData!$CB$3)</f>
        <v>2.6857352999999997</v>
      </c>
      <c r="AD10" s="566">
        <f>IF(ISNUMBER(System!$C11),PlotData!D11+SensA!$E$2* $AF$1*D10,PlotData!$CB$3)</f>
        <v>2.8206535999999995</v>
      </c>
      <c r="AE10" s="566">
        <f>IF(ISNUMBER(System!$C11),PlotData!E11+SensA!$E$2* $AF$1*E10,PlotData!$CB$3)</f>
        <v>2.9555718999999994</v>
      </c>
      <c r="AF10" s="566">
        <f>IF(ISNUMBER(System!$C11),PlotData!F11+SensA!$E$2* $AF$1*F10,PlotData!$CB$3)</f>
        <v>3.0904901999999992</v>
      </c>
      <c r="AG10" s="566">
        <f>IF(ISNUMBER(System!$C11),PlotData!G11+SensA!$E$2* $AF$1*G10,PlotData!$CB$3)</f>
        <v>3.225408499999999</v>
      </c>
      <c r="AH10" s="566">
        <f>IF(ISNUMBER(System!$C11),PlotData!H11+SensA!$E$2* $AF$1*H10,PlotData!$CB$3)</f>
        <v>3.3603267999999988</v>
      </c>
      <c r="AI10" s="566">
        <f>IF(ISNUMBER(System!$C11),PlotData!I11+SensA!$E$2* $AF$1*I10,PlotData!$CB$3)</f>
        <v>3.4952450999999987</v>
      </c>
      <c r="AJ10" s="566">
        <f>IF(ISNUMBER(System!$C11),PlotData!J11+SensA!$E$2* $AF$1*J10,PlotData!$CB$3)</f>
        <v>3.6301633999999985</v>
      </c>
      <c r="AK10" s="566">
        <f>IF(ISNUMBER(System!$C11),PlotData!K11+SensA!$E$2* $AF$1*K10,PlotData!$CB$3)</f>
        <v>3.7650816999999983</v>
      </c>
      <c r="AL10" s="567">
        <f>IF(ISNUMBER(System!$C11),PlotData!L11+SensA!$E$2* $AF$1*L10,PlotData!$CB$3)</f>
        <v>3.8999999999999981</v>
      </c>
      <c r="AM10" s="607">
        <f>IF(ISNUMBER(System!$C11),PlotData!L11,PlotData!$CB$3)</f>
        <v>3.8999999999999981</v>
      </c>
      <c r="AN10" s="566">
        <f>IF(ISNUMBER(System!$C11),PlotData!B11,PlotData!$CB$3)</f>
        <v>2.5508169999999999</v>
      </c>
      <c r="AO10" s="447">
        <f>IF(ISNUMBER(System!$C11),AB10,PlotData!$CB$3)</f>
        <v>2.5508169999999999</v>
      </c>
      <c r="AQ10" s="569">
        <v>8</v>
      </c>
      <c r="AR10" s="565">
        <f>IF(ISNUMBER(System!$C11),PlotData!O11+ SensA!$E$2*$AF$1*O10,PlotData!$CB$4)</f>
        <v>0.89983599999999997</v>
      </c>
      <c r="AS10" s="566">
        <f>IF(ISNUMBER(System!$C11),PlotData!P11+ SensA!$E$2*$AF$1*P10,PlotData!$CB$4)</f>
        <v>0.8998524</v>
      </c>
      <c r="AT10" s="566">
        <f>IF(ISNUMBER(System!$C11),PlotData!Q11+ SensA!$E$2*$AF$1*Q10,PlotData!$CB$4)</f>
        <v>0.89986880000000002</v>
      </c>
      <c r="AU10" s="566">
        <f>IF(ISNUMBER(System!$C11),PlotData!R11+ SensA!$E$2*$AF$1*R10,PlotData!$CB$4)</f>
        <v>0.89988520000000005</v>
      </c>
      <c r="AV10" s="566">
        <f>IF(ISNUMBER(System!$C11),PlotData!S11+ SensA!$E$2*$AF$1*S10,PlotData!$CB$4)</f>
        <v>0.89990160000000008</v>
      </c>
      <c r="AW10" s="566">
        <f>IF(ISNUMBER(System!$C11),PlotData!T11+ SensA!$E$2*$AF$1*T10,PlotData!$CB$4)</f>
        <v>0.89991800000000011</v>
      </c>
      <c r="AX10" s="566">
        <f>IF(ISNUMBER(System!$C11),PlotData!U11+ SensA!$E$2*$AF$1*U10,PlotData!$CB$4)</f>
        <v>0.89993440000000013</v>
      </c>
      <c r="AY10" s="566">
        <f>IF(ISNUMBER(System!$C11),PlotData!V11+ SensA!$E$2*$AF$1*V10,PlotData!$CB$4)</f>
        <v>0.89995080000000016</v>
      </c>
      <c r="AZ10" s="566">
        <f>IF(ISNUMBER(System!$C11),PlotData!W11+ SensA!$E$2*$AF$1*W10,PlotData!$CB$4)</f>
        <v>0.89996720000000019</v>
      </c>
      <c r="BA10" s="566">
        <f>IF(ISNUMBER(System!$C11),PlotData!X11+ SensA!$E$2*$AF$1*X10,PlotData!$CB$4)</f>
        <v>0.89998360000000022</v>
      </c>
      <c r="BB10" s="567">
        <f>IF(ISNUMBER(System!$C11),PlotData!Y11+ SensA!$E$2*$AF$1*Y10,PlotData!$CB$4)</f>
        <v>0.90000000000000024</v>
      </c>
      <c r="BC10" s="607">
        <f>IF(ISNUMBER(System!$C11),PlotData!Y11, PlotData!CB$4)</f>
        <v>0.90000000000000024</v>
      </c>
      <c r="BD10" s="566">
        <f>IF(ISNUMBER(System!$C11),PlotData!O11, PlotData!$CB$4)</f>
        <v>0.89983599999999997</v>
      </c>
      <c r="BE10" s="567">
        <f>IF(ISNUMBER(System!$C11), AR10,PlotData!$CB$4)</f>
        <v>0.89983599999999997</v>
      </c>
    </row>
    <row r="11" spans="1:61" x14ac:dyDescent="0.35">
      <c r="A11" s="568">
        <v>9</v>
      </c>
      <c r="B11" s="565"/>
      <c r="C11" s="566"/>
      <c r="D11" s="566"/>
      <c r="E11" s="566"/>
      <c r="F11" s="566"/>
      <c r="G11" s="566"/>
      <c r="H11" s="566"/>
      <c r="I11" s="566"/>
      <c r="J11" s="566"/>
      <c r="K11" s="566"/>
      <c r="L11" s="567"/>
      <c r="N11" s="568">
        <v>9</v>
      </c>
      <c r="O11" s="565"/>
      <c r="P11" s="566"/>
      <c r="Q11" s="566"/>
      <c r="R11" s="566"/>
      <c r="S11" s="566"/>
      <c r="T11" s="566"/>
      <c r="U11" s="566"/>
      <c r="V11" s="566"/>
      <c r="W11" s="566"/>
      <c r="X11" s="566"/>
      <c r="Y11" s="567"/>
      <c r="AA11" s="569">
        <v>9</v>
      </c>
      <c r="AB11" s="565">
        <f>IF(ISNUMBER(System!$C12),PlotData!B12+SensA!$E$2* $AF$1*B11,PlotData!$CB$3)</f>
        <v>5.2717559999999999</v>
      </c>
      <c r="AC11" s="566">
        <f>IF(ISNUMBER(System!$C12),PlotData!C12+SensA!$E$2* $AF$1*C11,PlotData!$CB$3)</f>
        <v>5.6145803999999995</v>
      </c>
      <c r="AD11" s="566">
        <f>IF(ISNUMBER(System!$C12),PlotData!D12+SensA!$E$2* $AF$1*D11,PlotData!$CB$3)</f>
        <v>5.9574047999999991</v>
      </c>
      <c r="AE11" s="566">
        <f>IF(ISNUMBER(System!$C12),PlotData!E12+SensA!$E$2* $AF$1*E11,PlotData!$CB$3)</f>
        <v>6.3002291999999986</v>
      </c>
      <c r="AF11" s="566">
        <f>IF(ISNUMBER(System!$C12),PlotData!F12+SensA!$E$2* $AF$1*F11,PlotData!$CB$3)</f>
        <v>6.6430535999999982</v>
      </c>
      <c r="AG11" s="566">
        <f>IF(ISNUMBER(System!$C12),PlotData!G12+SensA!$E$2* $AF$1*G11,PlotData!$CB$3)</f>
        <v>6.9858779999999978</v>
      </c>
      <c r="AH11" s="566">
        <f>IF(ISNUMBER(System!$C12),PlotData!H12+SensA!$E$2* $AF$1*H11,PlotData!$CB$3)</f>
        <v>7.3287023999999974</v>
      </c>
      <c r="AI11" s="566">
        <f>IF(ISNUMBER(System!$C12),PlotData!I12+SensA!$E$2* $AF$1*I11,PlotData!$CB$3)</f>
        <v>7.671526799999997</v>
      </c>
      <c r="AJ11" s="566">
        <f>IF(ISNUMBER(System!$C12),PlotData!J12+SensA!$E$2* $AF$1*J11,PlotData!$CB$3)</f>
        <v>8.0143511999999966</v>
      </c>
      <c r="AK11" s="566">
        <f>IF(ISNUMBER(System!$C12),PlotData!K12+SensA!$E$2* $AF$1*K11,PlotData!$CB$3)</f>
        <v>8.3571755999999962</v>
      </c>
      <c r="AL11" s="567">
        <f>IF(ISNUMBER(System!$C12),PlotData!L12+SensA!$E$2* $AF$1*L11,PlotData!$CB$3)</f>
        <v>8.6999999999999957</v>
      </c>
      <c r="AM11" s="607">
        <f>IF(ISNUMBER(System!$C12),PlotData!L12,PlotData!$CB$3)</f>
        <v>8.6999999999999957</v>
      </c>
      <c r="AN11" s="566">
        <f>IF(ISNUMBER(System!$C12),PlotData!B12,PlotData!$CB$3)</f>
        <v>5.2717559999999999</v>
      </c>
      <c r="AO11" s="447">
        <f>IF(ISNUMBER(System!$C12),AB11,PlotData!$CB$3)</f>
        <v>5.2717559999999999</v>
      </c>
      <c r="AQ11" s="569">
        <v>9</v>
      </c>
      <c r="AR11" s="565">
        <f>IF(ISNUMBER(System!$C12),PlotData!O12+ SensA!$E$2*$AF$1*O11,PlotData!$CB$4)</f>
        <v>0.89983599999999997</v>
      </c>
      <c r="AS11" s="566">
        <f>IF(ISNUMBER(System!$C12),PlotData!P12+ SensA!$E$2*$AF$1*P11,PlotData!$CB$4)</f>
        <v>0.8998524</v>
      </c>
      <c r="AT11" s="566">
        <f>IF(ISNUMBER(System!$C12),PlotData!Q12+ SensA!$E$2*$AF$1*Q11,PlotData!$CB$4)</f>
        <v>0.89986880000000002</v>
      </c>
      <c r="AU11" s="566">
        <f>IF(ISNUMBER(System!$C12),PlotData!R12+ SensA!$E$2*$AF$1*R11,PlotData!$CB$4)</f>
        <v>0.89988520000000005</v>
      </c>
      <c r="AV11" s="566">
        <f>IF(ISNUMBER(System!$C12),PlotData!S12+ SensA!$E$2*$AF$1*S11,PlotData!$CB$4)</f>
        <v>0.89990160000000008</v>
      </c>
      <c r="AW11" s="566">
        <f>IF(ISNUMBER(System!$C12),PlotData!T12+ SensA!$E$2*$AF$1*T11,PlotData!$CB$4)</f>
        <v>0.89991800000000011</v>
      </c>
      <c r="AX11" s="566">
        <f>IF(ISNUMBER(System!$C12),PlotData!U12+ SensA!$E$2*$AF$1*U11,PlotData!$CB$4)</f>
        <v>0.89993440000000013</v>
      </c>
      <c r="AY11" s="566">
        <f>IF(ISNUMBER(System!$C12),PlotData!V12+ SensA!$E$2*$AF$1*V11,PlotData!$CB$4)</f>
        <v>0.89995080000000016</v>
      </c>
      <c r="AZ11" s="566">
        <f>IF(ISNUMBER(System!$C12),PlotData!W12+ SensA!$E$2*$AF$1*W11,PlotData!$CB$4)</f>
        <v>0.89996720000000019</v>
      </c>
      <c r="BA11" s="566">
        <f>IF(ISNUMBER(System!$C12),PlotData!X12+ SensA!$E$2*$AF$1*X11,PlotData!$CB$4)</f>
        <v>0.89998360000000022</v>
      </c>
      <c r="BB11" s="567">
        <f>IF(ISNUMBER(System!$C12),PlotData!Y12+ SensA!$E$2*$AF$1*Y11,PlotData!$CB$4)</f>
        <v>0.90000000000000024</v>
      </c>
      <c r="BC11" s="607">
        <f>IF(ISNUMBER(System!$C12),PlotData!Y12, PlotData!CB$4)</f>
        <v>0.90000000000000024</v>
      </c>
      <c r="BD11" s="566">
        <f>IF(ISNUMBER(System!$C12),PlotData!O12, PlotData!$CB$4)</f>
        <v>0.89983599999999997</v>
      </c>
      <c r="BE11" s="567">
        <f>IF(ISNUMBER(System!$C12), AR11,PlotData!$CB$4)</f>
        <v>0.89983599999999997</v>
      </c>
    </row>
    <row r="12" spans="1:61" x14ac:dyDescent="0.35">
      <c r="A12" s="568">
        <v>10</v>
      </c>
      <c r="B12" s="565"/>
      <c r="C12" s="566"/>
      <c r="D12" s="566"/>
      <c r="E12" s="566"/>
      <c r="F12" s="566"/>
      <c r="G12" s="566"/>
      <c r="H12" s="566"/>
      <c r="I12" s="566"/>
      <c r="J12" s="566"/>
      <c r="K12" s="566"/>
      <c r="L12" s="567"/>
      <c r="N12" s="568">
        <v>10</v>
      </c>
      <c r="O12" s="565"/>
      <c r="P12" s="566"/>
      <c r="Q12" s="566"/>
      <c r="R12" s="566"/>
      <c r="S12" s="566"/>
      <c r="T12" s="566"/>
      <c r="U12" s="566"/>
      <c r="V12" s="566"/>
      <c r="W12" s="566"/>
      <c r="X12" s="566"/>
      <c r="Y12" s="567"/>
      <c r="AA12" s="569">
        <v>10</v>
      </c>
      <c r="AB12" s="565">
        <f>IF(ISNUMBER(System!$C13),PlotData!B13+SensA!$E$2* $AF$1*B12,PlotData!$CB$3)</f>
        <v>3.38565</v>
      </c>
      <c r="AC12" s="566">
        <f>IF(ISNUMBER(System!$C13),PlotData!C13+SensA!$E$2* $AF$1*C12,PlotData!$CB$3)</f>
        <v>3.4370850000000002</v>
      </c>
      <c r="AD12" s="566">
        <f>IF(ISNUMBER(System!$C13),PlotData!D13+SensA!$E$2* $AF$1*D12,PlotData!$CB$3)</f>
        <v>3.4885200000000003</v>
      </c>
      <c r="AE12" s="566">
        <f>IF(ISNUMBER(System!$C13),PlotData!E13+SensA!$E$2* $AF$1*E12,PlotData!$CB$3)</f>
        <v>3.5399550000000004</v>
      </c>
      <c r="AF12" s="566">
        <f>IF(ISNUMBER(System!$C13),PlotData!F13+SensA!$E$2* $AF$1*F12,PlotData!$CB$3)</f>
        <v>3.5913900000000005</v>
      </c>
      <c r="AG12" s="566">
        <f>IF(ISNUMBER(System!$C13),PlotData!G13+SensA!$E$2* $AF$1*G12,PlotData!$CB$3)</f>
        <v>3.6428250000000006</v>
      </c>
      <c r="AH12" s="566">
        <f>IF(ISNUMBER(System!$C13),PlotData!H13+SensA!$E$2* $AF$1*H12,PlotData!$CB$3)</f>
        <v>3.6942600000000008</v>
      </c>
      <c r="AI12" s="566">
        <f>IF(ISNUMBER(System!$C13),PlotData!I13+SensA!$E$2* $AF$1*I12,PlotData!$CB$3)</f>
        <v>3.7456950000000009</v>
      </c>
      <c r="AJ12" s="566">
        <f>IF(ISNUMBER(System!$C13),PlotData!J13+SensA!$E$2* $AF$1*J12,PlotData!$CB$3)</f>
        <v>3.797130000000001</v>
      </c>
      <c r="AK12" s="566">
        <f>IF(ISNUMBER(System!$C13),PlotData!K13+SensA!$E$2* $AF$1*K12,PlotData!$CB$3)</f>
        <v>3.8485650000000011</v>
      </c>
      <c r="AL12" s="567">
        <f>IF(ISNUMBER(System!$C13),PlotData!L13+SensA!$E$2* $AF$1*L12,PlotData!$CB$3)</f>
        <v>3.9000000000000012</v>
      </c>
      <c r="AM12" s="607">
        <f>IF(ISNUMBER(System!$C13),PlotData!L13,PlotData!$CB$3)</f>
        <v>3.9000000000000012</v>
      </c>
      <c r="AN12" s="566">
        <f>IF(ISNUMBER(System!$C13),PlotData!B13,PlotData!$CB$3)</f>
        <v>3.38565</v>
      </c>
      <c r="AO12" s="447">
        <f>IF(ISNUMBER(System!$C13),AB12,PlotData!$CB$3)</f>
        <v>3.38565</v>
      </c>
      <c r="AQ12" s="569">
        <v>10</v>
      </c>
      <c r="AR12" s="565">
        <f>IF(ISNUMBER(System!$C13),PlotData!O13+ SensA!$E$2*$AF$1*O12,PlotData!$CB$4)</f>
        <v>2.7293310000000002</v>
      </c>
      <c r="AS12" s="566">
        <f>IF(ISNUMBER(System!$C13),PlotData!P13+ SensA!$E$2*$AF$1*P12,PlotData!$CB$4)</f>
        <v>2.2463979000000003</v>
      </c>
      <c r="AT12" s="566">
        <f>IF(ISNUMBER(System!$C13),PlotData!Q13+ SensA!$E$2*$AF$1*Q12,PlotData!$CB$4)</f>
        <v>1.7634648000000002</v>
      </c>
      <c r="AU12" s="566">
        <f>IF(ISNUMBER(System!$C13),PlotData!R13+ SensA!$E$2*$AF$1*R12,PlotData!$CB$4)</f>
        <v>1.2805317000000001</v>
      </c>
      <c r="AV12" s="566">
        <f>IF(ISNUMBER(System!$C13),PlotData!S13+ SensA!$E$2*$AF$1*S12,PlotData!$CB$4)</f>
        <v>0.79759859999999994</v>
      </c>
      <c r="AW12" s="566">
        <f>IF(ISNUMBER(System!$C13),PlotData!T13+ SensA!$E$2*$AF$1*T12,PlotData!$CB$4)</f>
        <v>0.31466549999999988</v>
      </c>
      <c r="AX12" s="566">
        <f>IF(ISNUMBER(System!$C13),PlotData!U13+ SensA!$E$2*$AF$1*U12,PlotData!$CB$4)</f>
        <v>-0.16826760000000018</v>
      </c>
      <c r="AY12" s="566">
        <f>IF(ISNUMBER(System!$C13),PlotData!V13+ SensA!$E$2*$AF$1*V12,PlotData!$CB$4)</f>
        <v>-0.65120070000000019</v>
      </c>
      <c r="AZ12" s="566">
        <f>IF(ISNUMBER(System!$C13),PlotData!W13+ SensA!$E$2*$AF$1*W12,PlotData!$CB$4)</f>
        <v>-1.1341338000000003</v>
      </c>
      <c r="BA12" s="566">
        <f>IF(ISNUMBER(System!$C13),PlotData!X13+ SensA!$E$2*$AF$1*X12,PlotData!$CB$4)</f>
        <v>-1.6170669000000004</v>
      </c>
      <c r="BB12" s="567">
        <f>IF(ISNUMBER(System!$C13),PlotData!Y13+ SensA!$E$2*$AF$1*Y12,PlotData!$CB$4)</f>
        <v>-2.1000000000000005</v>
      </c>
      <c r="BC12" s="607">
        <f>IF(ISNUMBER(System!$C13),PlotData!Y13, PlotData!CB$4)</f>
        <v>-2.1000000000000005</v>
      </c>
      <c r="BD12" s="566">
        <f>IF(ISNUMBER(System!$C13),PlotData!O13, PlotData!$CB$4)</f>
        <v>2.7293310000000002</v>
      </c>
      <c r="BE12" s="567">
        <f>IF(ISNUMBER(System!$C13), AR12,PlotData!$CB$4)</f>
        <v>2.7293310000000002</v>
      </c>
    </row>
    <row r="13" spans="1:61" x14ac:dyDescent="0.35">
      <c r="A13" s="568">
        <v>11</v>
      </c>
      <c r="B13" s="565"/>
      <c r="C13" s="566"/>
      <c r="D13" s="566"/>
      <c r="E13" s="566"/>
      <c r="F13" s="566"/>
      <c r="G13" s="566"/>
      <c r="H13" s="566"/>
      <c r="I13" s="566"/>
      <c r="J13" s="566"/>
      <c r="K13" s="566"/>
      <c r="L13" s="567"/>
      <c r="N13" s="568">
        <v>11</v>
      </c>
      <c r="O13" s="565"/>
      <c r="P13" s="566"/>
      <c r="Q13" s="566"/>
      <c r="R13" s="566"/>
      <c r="S13" s="566"/>
      <c r="T13" s="566"/>
      <c r="U13" s="566"/>
      <c r="V13" s="566"/>
      <c r="W13" s="566"/>
      <c r="X13" s="566"/>
      <c r="Y13" s="567"/>
      <c r="AA13" s="569">
        <v>11</v>
      </c>
      <c r="AB13" s="565">
        <f>IF(ISNUMBER(System!$C14),PlotData!B14+SensA!$E$2* $AF$1*B13,PlotData!$CB$3)</f>
        <v>4.4060030000000001</v>
      </c>
      <c r="AC13" s="566">
        <f>IF(ISNUMBER(System!$C14),PlotData!C14+SensA!$E$2* $AF$1*C13,PlotData!$CB$3)</f>
        <v>4.3554027</v>
      </c>
      <c r="AD13" s="566">
        <f>IF(ISNUMBER(System!$C14),PlotData!D14+SensA!$E$2* $AF$1*D13,PlotData!$CB$3)</f>
        <v>4.3048023999999998</v>
      </c>
      <c r="AE13" s="566">
        <f>IF(ISNUMBER(System!$C14),PlotData!E14+SensA!$E$2* $AF$1*E13,PlotData!$CB$3)</f>
        <v>4.2542020999999997</v>
      </c>
      <c r="AF13" s="566">
        <f>IF(ISNUMBER(System!$C14),PlotData!F14+SensA!$E$2* $AF$1*F13,PlotData!$CB$3)</f>
        <v>4.2036017999999995</v>
      </c>
      <c r="AG13" s="566">
        <f>IF(ISNUMBER(System!$C14),PlotData!G14+SensA!$E$2* $AF$1*G13,PlotData!$CB$3)</f>
        <v>4.1530014999999993</v>
      </c>
      <c r="AH13" s="566">
        <f>IF(ISNUMBER(System!$C14),PlotData!H14+SensA!$E$2* $AF$1*H13,PlotData!$CB$3)</f>
        <v>4.1024011999999992</v>
      </c>
      <c r="AI13" s="566">
        <f>IF(ISNUMBER(System!$C14),PlotData!I14+SensA!$E$2* $AF$1*I13,PlotData!$CB$3)</f>
        <v>4.051800899999999</v>
      </c>
      <c r="AJ13" s="566">
        <f>IF(ISNUMBER(System!$C14),PlotData!J14+SensA!$E$2* $AF$1*J13,PlotData!$CB$3)</f>
        <v>4.0012005999999989</v>
      </c>
      <c r="AK13" s="566">
        <f>IF(ISNUMBER(System!$C14),PlotData!K14+SensA!$E$2* $AF$1*K13,PlotData!$CB$3)</f>
        <v>3.9506002999999987</v>
      </c>
      <c r="AL13" s="567">
        <f>IF(ISNUMBER(System!$C14),PlotData!L14+SensA!$E$2* $AF$1*L13,PlotData!$CB$3)</f>
        <v>3.8999999999999986</v>
      </c>
      <c r="AM13" s="607">
        <f>IF(ISNUMBER(System!$C14),PlotData!L14,PlotData!$CB$3)</f>
        <v>3.8999999999999986</v>
      </c>
      <c r="AN13" s="566">
        <f>IF(ISNUMBER(System!$C14),PlotData!B14,PlotData!$CB$3)</f>
        <v>4.4060030000000001</v>
      </c>
      <c r="AO13" s="447">
        <f>IF(ISNUMBER(System!$C14),AB13,PlotData!$CB$3)</f>
        <v>4.4060030000000001</v>
      </c>
      <c r="AQ13" s="569">
        <v>11</v>
      </c>
      <c r="AR13" s="565">
        <f>IF(ISNUMBER(System!$C14),PlotData!O14+ SensA!$E$2*$AF$1*O13,PlotData!$CB$4)</f>
        <v>2.7448269999999999</v>
      </c>
      <c r="AS13" s="566">
        <f>IF(ISNUMBER(System!$C14),PlotData!P14+ SensA!$E$2*$AF$1*P13,PlotData!$CB$4)</f>
        <v>2.2603442999999999</v>
      </c>
      <c r="AT13" s="566">
        <f>IF(ISNUMBER(System!$C14),PlotData!Q14+ SensA!$E$2*$AF$1*Q13,PlotData!$CB$4)</f>
        <v>1.7758615999999998</v>
      </c>
      <c r="AU13" s="566">
        <f>IF(ISNUMBER(System!$C14),PlotData!R14+ SensA!$E$2*$AF$1*R13,PlotData!$CB$4)</f>
        <v>1.2913788999999998</v>
      </c>
      <c r="AV13" s="566">
        <f>IF(ISNUMBER(System!$C14),PlotData!S14+ SensA!$E$2*$AF$1*S13,PlotData!$CB$4)</f>
        <v>0.80689619999999973</v>
      </c>
      <c r="AW13" s="566">
        <f>IF(ISNUMBER(System!$C14),PlotData!T14+ SensA!$E$2*$AF$1*T13,PlotData!$CB$4)</f>
        <v>0.32241349999999969</v>
      </c>
      <c r="AX13" s="566">
        <f>IF(ISNUMBER(System!$C14),PlotData!U14+ SensA!$E$2*$AF$1*U13,PlotData!$CB$4)</f>
        <v>-0.16206920000000036</v>
      </c>
      <c r="AY13" s="566">
        <f>IF(ISNUMBER(System!$C14),PlotData!V14+ SensA!$E$2*$AF$1*V13,PlotData!$CB$4)</f>
        <v>-0.6465519000000004</v>
      </c>
      <c r="AZ13" s="566">
        <f>IF(ISNUMBER(System!$C14),PlotData!W14+ SensA!$E$2*$AF$1*W13,PlotData!$CB$4)</f>
        <v>-1.1310346000000004</v>
      </c>
      <c r="BA13" s="566">
        <f>IF(ISNUMBER(System!$C14),PlotData!X14+ SensA!$E$2*$AF$1*X13,PlotData!$CB$4)</f>
        <v>-1.6155173000000005</v>
      </c>
      <c r="BB13" s="567">
        <f>IF(ISNUMBER(System!$C14),PlotData!Y14+ SensA!$E$2*$AF$1*Y13,PlotData!$CB$4)</f>
        <v>-2.1000000000000005</v>
      </c>
      <c r="BC13" s="607">
        <f>IF(ISNUMBER(System!$C14),PlotData!Y14, PlotData!CB$4)</f>
        <v>-2.1000000000000005</v>
      </c>
      <c r="BD13" s="566">
        <f>IF(ISNUMBER(System!$C14),PlotData!O14, PlotData!$CB$4)</f>
        <v>2.7448269999999999</v>
      </c>
      <c r="BE13" s="567">
        <f>IF(ISNUMBER(System!$C14), AR13,PlotData!$CB$4)</f>
        <v>2.7448269999999999</v>
      </c>
    </row>
    <row r="14" spans="1:61" x14ac:dyDescent="0.35">
      <c r="A14" s="568">
        <v>12</v>
      </c>
      <c r="B14" s="565"/>
      <c r="C14" s="566"/>
      <c r="D14" s="566"/>
      <c r="E14" s="566"/>
      <c r="F14" s="566"/>
      <c r="G14" s="566"/>
      <c r="H14" s="566"/>
      <c r="I14" s="566"/>
      <c r="J14" s="566"/>
      <c r="K14" s="566"/>
      <c r="L14" s="567"/>
      <c r="N14" s="568">
        <v>12</v>
      </c>
      <c r="O14" s="565"/>
      <c r="P14" s="566"/>
      <c r="Q14" s="566"/>
      <c r="R14" s="566"/>
      <c r="S14" s="566"/>
      <c r="T14" s="566"/>
      <c r="U14" s="566"/>
      <c r="V14" s="566"/>
      <c r="W14" s="566"/>
      <c r="X14" s="566"/>
      <c r="Y14" s="567"/>
      <c r="AA14" s="569">
        <v>12</v>
      </c>
      <c r="AB14" s="565">
        <f>IF(ISNUMBER(System!$C15),PlotData!B15+SensA!$E$2* $AF$1*B14,PlotData!$CB$3)</f>
        <v>3.38565</v>
      </c>
      <c r="AC14" s="566">
        <f>IF(ISNUMBER(System!$C15),PlotData!C15+SensA!$E$2* $AF$1*C14,PlotData!$CB$3)</f>
        <v>3.3021666999999999</v>
      </c>
      <c r="AD14" s="566">
        <f>IF(ISNUMBER(System!$C15),PlotData!D15+SensA!$E$2* $AF$1*D14,PlotData!$CB$3)</f>
        <v>3.2186833999999998</v>
      </c>
      <c r="AE14" s="566">
        <f>IF(ISNUMBER(System!$C15),PlotData!E15+SensA!$E$2* $AF$1*E14,PlotData!$CB$3)</f>
        <v>3.1352000999999996</v>
      </c>
      <c r="AF14" s="566">
        <f>IF(ISNUMBER(System!$C15),PlotData!F15+SensA!$E$2* $AF$1*F14,PlotData!$CB$3)</f>
        <v>3.0517167999999995</v>
      </c>
      <c r="AG14" s="566">
        <f>IF(ISNUMBER(System!$C15),PlotData!G15+SensA!$E$2* $AF$1*G14,PlotData!$CB$3)</f>
        <v>2.9682334999999993</v>
      </c>
      <c r="AH14" s="566">
        <f>IF(ISNUMBER(System!$C15),PlotData!H15+SensA!$E$2* $AF$1*H14,PlotData!$CB$3)</f>
        <v>2.8847501999999992</v>
      </c>
      <c r="AI14" s="566">
        <f>IF(ISNUMBER(System!$C15),PlotData!I15+SensA!$E$2* $AF$1*I14,PlotData!$CB$3)</f>
        <v>2.801266899999999</v>
      </c>
      <c r="AJ14" s="566">
        <f>IF(ISNUMBER(System!$C15),PlotData!J15+SensA!$E$2* $AF$1*J14,PlotData!$CB$3)</f>
        <v>2.7177835999999989</v>
      </c>
      <c r="AK14" s="566">
        <f>IF(ISNUMBER(System!$C15),PlotData!K15+SensA!$E$2* $AF$1*K14,PlotData!$CB$3)</f>
        <v>2.6343002999999987</v>
      </c>
      <c r="AL14" s="567">
        <f>IF(ISNUMBER(System!$C15),PlotData!L15+SensA!$E$2* $AF$1*L14,PlotData!$CB$3)</f>
        <v>2.5508169999999986</v>
      </c>
      <c r="AM14" s="607">
        <f>IF(ISNUMBER(System!$C15),PlotData!L15,PlotData!$CB$3)</f>
        <v>2.5508169999999986</v>
      </c>
      <c r="AN14" s="566">
        <f>IF(ISNUMBER(System!$C15),PlotData!B15,PlotData!$CB$3)</f>
        <v>3.38565</v>
      </c>
      <c r="AO14" s="447">
        <f>IF(ISNUMBER(System!$C15),AB14,PlotData!$CB$3)</f>
        <v>3.38565</v>
      </c>
      <c r="AQ14" s="569">
        <v>12</v>
      </c>
      <c r="AR14" s="565">
        <f>IF(ISNUMBER(System!$C15),PlotData!O15+ SensA!$E$2*$AF$1*O14,PlotData!$CB$4)</f>
        <v>2.7293310000000002</v>
      </c>
      <c r="AS14" s="566">
        <f>IF(ISNUMBER(System!$C15),PlotData!P15+ SensA!$E$2*$AF$1*P14,PlotData!$CB$4)</f>
        <v>2.5463815000000003</v>
      </c>
      <c r="AT14" s="566">
        <f>IF(ISNUMBER(System!$C15),PlotData!Q15+ SensA!$E$2*$AF$1*Q14,PlotData!$CB$4)</f>
        <v>2.3634320000000004</v>
      </c>
      <c r="AU14" s="566">
        <f>IF(ISNUMBER(System!$C15),PlotData!R15+ SensA!$E$2*$AF$1*R14,PlotData!$CB$4)</f>
        <v>2.1804825000000005</v>
      </c>
      <c r="AV14" s="566">
        <f>IF(ISNUMBER(System!$C15),PlotData!S15+ SensA!$E$2*$AF$1*S14,PlotData!$CB$4)</f>
        <v>1.9975330000000004</v>
      </c>
      <c r="AW14" s="566">
        <f>IF(ISNUMBER(System!$C15),PlotData!T15+ SensA!$E$2*$AF$1*T14,PlotData!$CB$4)</f>
        <v>1.8145835000000003</v>
      </c>
      <c r="AX14" s="566">
        <f>IF(ISNUMBER(System!$C15),PlotData!U15+ SensA!$E$2*$AF$1*U14,PlotData!$CB$4)</f>
        <v>1.6316340000000003</v>
      </c>
      <c r="AY14" s="566">
        <f>IF(ISNUMBER(System!$C15),PlotData!V15+ SensA!$E$2*$AF$1*V14,PlotData!$CB$4)</f>
        <v>1.4486845000000002</v>
      </c>
      <c r="AZ14" s="566">
        <f>IF(ISNUMBER(System!$C15),PlotData!W15+ SensA!$E$2*$AF$1*W14,PlotData!$CB$4)</f>
        <v>1.2657350000000001</v>
      </c>
      <c r="BA14" s="566">
        <f>IF(ISNUMBER(System!$C15),PlotData!X15+ SensA!$E$2*$AF$1*X14,PlotData!$CB$4)</f>
        <v>1.0827855</v>
      </c>
      <c r="BB14" s="567">
        <f>IF(ISNUMBER(System!$C15),PlotData!Y15+ SensA!$E$2*$AF$1*Y14,PlotData!$CB$4)</f>
        <v>0.89983599999999986</v>
      </c>
      <c r="BC14" s="607">
        <f>IF(ISNUMBER(System!$C15),PlotData!Y15, PlotData!CB$4)</f>
        <v>0.89983599999999986</v>
      </c>
      <c r="BD14" s="566">
        <f>IF(ISNUMBER(System!$C15),PlotData!O15, PlotData!$CB$4)</f>
        <v>2.7293310000000002</v>
      </c>
      <c r="BE14" s="567">
        <f>IF(ISNUMBER(System!$C15), AR14,PlotData!$CB$4)</f>
        <v>2.7293310000000002</v>
      </c>
    </row>
    <row r="15" spans="1:61" x14ac:dyDescent="0.35">
      <c r="A15" s="568">
        <v>13</v>
      </c>
      <c r="B15" s="565"/>
      <c r="C15" s="566"/>
      <c r="D15" s="566"/>
      <c r="E15" s="566"/>
      <c r="F15" s="566"/>
      <c r="G15" s="566"/>
      <c r="H15" s="566"/>
      <c r="I15" s="566"/>
      <c r="J15" s="566"/>
      <c r="K15" s="566"/>
      <c r="L15" s="567"/>
      <c r="N15" s="568">
        <v>13</v>
      </c>
      <c r="O15" s="565"/>
      <c r="P15" s="566"/>
      <c r="Q15" s="566"/>
      <c r="R15" s="566"/>
      <c r="S15" s="566"/>
      <c r="T15" s="566"/>
      <c r="U15" s="566"/>
      <c r="V15" s="566"/>
      <c r="W15" s="566"/>
      <c r="X15" s="566"/>
      <c r="Y15" s="567"/>
      <c r="AA15" s="569">
        <v>13</v>
      </c>
      <c r="AB15" s="565">
        <f>IF(ISNUMBER(System!$C16),PlotData!B16+SensA!$E$2* $AF$1*B15,PlotData!$CB$3)</f>
        <v>4.4060030000000001</v>
      </c>
      <c r="AC15" s="566">
        <f>IF(ISNUMBER(System!$C16),PlotData!C16+SensA!$E$2* $AF$1*C15,PlotData!$CB$3)</f>
        <v>4.4925782999999999</v>
      </c>
      <c r="AD15" s="566">
        <f>IF(ISNUMBER(System!$C16),PlotData!D16+SensA!$E$2* $AF$1*D15,PlotData!$CB$3)</f>
        <v>4.5791535999999997</v>
      </c>
      <c r="AE15" s="566">
        <f>IF(ISNUMBER(System!$C16),PlotData!E16+SensA!$E$2* $AF$1*E15,PlotData!$CB$3)</f>
        <v>4.6657288999999995</v>
      </c>
      <c r="AF15" s="566">
        <f>IF(ISNUMBER(System!$C16),PlotData!F16+SensA!$E$2* $AF$1*F15,PlotData!$CB$3)</f>
        <v>4.7523041999999993</v>
      </c>
      <c r="AG15" s="566">
        <f>IF(ISNUMBER(System!$C16),PlotData!G16+SensA!$E$2* $AF$1*G15,PlotData!$CB$3)</f>
        <v>4.8388794999999991</v>
      </c>
      <c r="AH15" s="566">
        <f>IF(ISNUMBER(System!$C16),PlotData!H16+SensA!$E$2* $AF$1*H15,PlotData!$CB$3)</f>
        <v>4.9254547999999989</v>
      </c>
      <c r="AI15" s="566">
        <f>IF(ISNUMBER(System!$C16),PlotData!I16+SensA!$E$2* $AF$1*I15,PlotData!$CB$3)</f>
        <v>5.0120300999999987</v>
      </c>
      <c r="AJ15" s="566">
        <f>IF(ISNUMBER(System!$C16),PlotData!J16+SensA!$E$2* $AF$1*J15,PlotData!$CB$3)</f>
        <v>5.0986053999999985</v>
      </c>
      <c r="AK15" s="566">
        <f>IF(ISNUMBER(System!$C16),PlotData!K16+SensA!$E$2* $AF$1*K15,PlotData!$CB$3)</f>
        <v>5.1851806999999983</v>
      </c>
      <c r="AL15" s="567">
        <f>IF(ISNUMBER(System!$C16),PlotData!L16+SensA!$E$2* $AF$1*L15,PlotData!$CB$3)</f>
        <v>5.2717559999999981</v>
      </c>
      <c r="AM15" s="607">
        <f>IF(ISNUMBER(System!$C16),PlotData!L16,PlotData!$CB$3)</f>
        <v>5.2717559999999981</v>
      </c>
      <c r="AN15" s="566">
        <f>IF(ISNUMBER(System!$C16),PlotData!B16,PlotData!$CB$3)</f>
        <v>4.4060030000000001</v>
      </c>
      <c r="AO15" s="447">
        <f>IF(ISNUMBER(System!$C16),AB15,PlotData!$CB$3)</f>
        <v>4.4060030000000001</v>
      </c>
      <c r="AQ15" s="569">
        <v>13</v>
      </c>
      <c r="AR15" s="565">
        <f>IF(ISNUMBER(System!$C16),PlotData!O16+ SensA!$E$2*$AF$1*O15,PlotData!$CB$4)</f>
        <v>2.7448269999999999</v>
      </c>
      <c r="AS15" s="566">
        <f>IF(ISNUMBER(System!$C16),PlotData!P16+ SensA!$E$2*$AF$1*P15,PlotData!$CB$4)</f>
        <v>2.5603278999999999</v>
      </c>
      <c r="AT15" s="566">
        <f>IF(ISNUMBER(System!$C16),PlotData!Q16+ SensA!$E$2*$AF$1*Q15,PlotData!$CB$4)</f>
        <v>2.3758287999999999</v>
      </c>
      <c r="AU15" s="566">
        <f>IF(ISNUMBER(System!$C16),PlotData!R16+ SensA!$E$2*$AF$1*R15,PlotData!$CB$4)</f>
        <v>2.1913296999999998</v>
      </c>
      <c r="AV15" s="566">
        <f>IF(ISNUMBER(System!$C16),PlotData!S16+ SensA!$E$2*$AF$1*S15,PlotData!$CB$4)</f>
        <v>2.0068305999999998</v>
      </c>
      <c r="AW15" s="566">
        <f>IF(ISNUMBER(System!$C16),PlotData!T16+ SensA!$E$2*$AF$1*T15,PlotData!$CB$4)</f>
        <v>1.8223314999999998</v>
      </c>
      <c r="AX15" s="566">
        <f>IF(ISNUMBER(System!$C16),PlotData!U16+ SensA!$E$2*$AF$1*U15,PlotData!$CB$4)</f>
        <v>1.6378323999999997</v>
      </c>
      <c r="AY15" s="566">
        <f>IF(ISNUMBER(System!$C16),PlotData!V16+ SensA!$E$2*$AF$1*V15,PlotData!$CB$4)</f>
        <v>1.4533332999999997</v>
      </c>
      <c r="AZ15" s="566">
        <f>IF(ISNUMBER(System!$C16),PlotData!W16+ SensA!$E$2*$AF$1*W15,PlotData!$CB$4)</f>
        <v>1.2688341999999997</v>
      </c>
      <c r="BA15" s="566">
        <f>IF(ISNUMBER(System!$C16),PlotData!X16+ SensA!$E$2*$AF$1*X15,PlotData!$CB$4)</f>
        <v>1.0843350999999997</v>
      </c>
      <c r="BB15" s="567">
        <f>IF(ISNUMBER(System!$C16),PlotData!Y16+ SensA!$E$2*$AF$1*Y15,PlotData!$CB$4)</f>
        <v>0.89983599999999964</v>
      </c>
      <c r="BC15" s="607">
        <f>IF(ISNUMBER(System!$C16),PlotData!Y16, PlotData!CB$4)</f>
        <v>0.89983599999999964</v>
      </c>
      <c r="BD15" s="566">
        <f>IF(ISNUMBER(System!$C16),PlotData!O16, PlotData!$CB$4)</f>
        <v>2.7448269999999999</v>
      </c>
      <c r="BE15" s="567">
        <f>IF(ISNUMBER(System!$C16), AR15,PlotData!$CB$4)</f>
        <v>2.7448269999999999</v>
      </c>
    </row>
    <row r="16" spans="1:61" x14ac:dyDescent="0.35">
      <c r="A16" s="568">
        <v>14</v>
      </c>
      <c r="B16" s="565"/>
      <c r="C16" s="566"/>
      <c r="D16" s="566"/>
      <c r="E16" s="566"/>
      <c r="F16" s="566"/>
      <c r="G16" s="566"/>
      <c r="H16" s="566"/>
      <c r="I16" s="566"/>
      <c r="J16" s="566"/>
      <c r="K16" s="566"/>
      <c r="L16" s="567"/>
      <c r="N16" s="568">
        <v>14</v>
      </c>
      <c r="O16" s="565"/>
      <c r="P16" s="566"/>
      <c r="Q16" s="566"/>
      <c r="R16" s="566"/>
      <c r="S16" s="566"/>
      <c r="T16" s="566"/>
      <c r="U16" s="566"/>
      <c r="V16" s="566"/>
      <c r="W16" s="566"/>
      <c r="X16" s="566"/>
      <c r="Y16" s="567"/>
      <c r="AA16" s="569">
        <v>14</v>
      </c>
      <c r="AB16" s="565">
        <f>IF(ISNUMBER(System!$C17),PlotData!B17+SensA!$E$2* $AF$1*B16,PlotData!$CB$3)</f>
        <v>-6.45</v>
      </c>
      <c r="AC16" s="566">
        <f>IF(ISNUMBER(System!$C17),PlotData!C17+SensA!$E$2* $AF$1*C16,PlotData!$CB$3)</f>
        <v>-6.3900000000000006</v>
      </c>
      <c r="AD16" s="566">
        <f>IF(ISNUMBER(System!$C17),PlotData!D17+SensA!$E$2* $AF$1*D16,PlotData!$CB$3)</f>
        <v>-6.33</v>
      </c>
      <c r="AE16" s="566">
        <f>IF(ISNUMBER(System!$C17),PlotData!E17+SensA!$E$2* $AF$1*E16,PlotData!$CB$3)</f>
        <v>-6.27</v>
      </c>
      <c r="AF16" s="566">
        <f>IF(ISNUMBER(System!$C17),PlotData!F17+SensA!$E$2* $AF$1*F16,PlotData!$CB$3)</f>
        <v>-6.2099999999999991</v>
      </c>
      <c r="AG16" s="566">
        <f>IF(ISNUMBER(System!$C17),PlotData!G17+SensA!$E$2* $AF$1*G16,PlotData!$CB$3)</f>
        <v>-6.1499999999999986</v>
      </c>
      <c r="AH16" s="566">
        <f>IF(ISNUMBER(System!$C17),PlotData!H17+SensA!$E$2* $AF$1*H16,PlotData!$CB$3)</f>
        <v>-6.0899999999999981</v>
      </c>
      <c r="AI16" s="566">
        <f>IF(ISNUMBER(System!$C17),PlotData!I17+SensA!$E$2* $AF$1*I16,PlotData!$CB$3)</f>
        <v>-6.0299999999999976</v>
      </c>
      <c r="AJ16" s="566">
        <f>IF(ISNUMBER(System!$C17),PlotData!J17+SensA!$E$2* $AF$1*J16,PlotData!$CB$3)</f>
        <v>-5.9699999999999971</v>
      </c>
      <c r="AK16" s="566">
        <f>IF(ISNUMBER(System!$C17),PlotData!K17+SensA!$E$2* $AF$1*K16,PlotData!$CB$3)</f>
        <v>-5.9099999999999966</v>
      </c>
      <c r="AL16" s="567">
        <f>IF(ISNUMBER(System!$C17),PlotData!L17+SensA!$E$2* $AF$1*L16,PlotData!$CB$3)</f>
        <v>-5.8499999999999961</v>
      </c>
      <c r="AM16" s="607">
        <f>IF(ISNUMBER(System!$C17),PlotData!L17,PlotData!$CB$3)</f>
        <v>-5.8499999999999961</v>
      </c>
      <c r="AN16" s="566">
        <f>IF(ISNUMBER(System!$C17),PlotData!B17,PlotData!$CB$3)</f>
        <v>-6.45</v>
      </c>
      <c r="AO16" s="447">
        <f>IF(ISNUMBER(System!$C17),AB16,PlotData!$CB$3)</f>
        <v>-6.45</v>
      </c>
      <c r="AQ16" s="569">
        <v>14</v>
      </c>
      <c r="AR16" s="565">
        <f>IF(ISNUMBER(System!$C17),PlotData!O17+ SensA!$E$2*$AF$1*O16,PlotData!$CB$4)</f>
        <v>0.9</v>
      </c>
      <c r="AS16" s="566">
        <f>IF(ISNUMBER(System!$C17),PlotData!P17+ SensA!$E$2*$AF$1*P16,PlotData!$CB$4)</f>
        <v>0.9</v>
      </c>
      <c r="AT16" s="566">
        <f>IF(ISNUMBER(System!$C17),PlotData!Q17+ SensA!$E$2*$AF$1*Q16,PlotData!$CB$4)</f>
        <v>0.9</v>
      </c>
      <c r="AU16" s="566">
        <f>IF(ISNUMBER(System!$C17),PlotData!R17+ SensA!$E$2*$AF$1*R16,PlotData!$CB$4)</f>
        <v>0.9</v>
      </c>
      <c r="AV16" s="566">
        <f>IF(ISNUMBER(System!$C17),PlotData!S17+ SensA!$E$2*$AF$1*S16,PlotData!$CB$4)</f>
        <v>0.9</v>
      </c>
      <c r="AW16" s="566">
        <f>IF(ISNUMBER(System!$C17),PlotData!T17+ SensA!$E$2*$AF$1*T16,PlotData!$CB$4)</f>
        <v>0.9</v>
      </c>
      <c r="AX16" s="566">
        <f>IF(ISNUMBER(System!$C17),PlotData!U17+ SensA!$E$2*$AF$1*U16,PlotData!$CB$4)</f>
        <v>0.9</v>
      </c>
      <c r="AY16" s="566">
        <f>IF(ISNUMBER(System!$C17),PlotData!V17+ SensA!$E$2*$AF$1*V16,PlotData!$CB$4)</f>
        <v>0.9</v>
      </c>
      <c r="AZ16" s="566">
        <f>IF(ISNUMBER(System!$C17),PlotData!W17+ SensA!$E$2*$AF$1*W16,PlotData!$CB$4)</f>
        <v>0.9</v>
      </c>
      <c r="BA16" s="566">
        <f>IF(ISNUMBER(System!$C17),PlotData!X17+ SensA!$E$2*$AF$1*X16,PlotData!$CB$4)</f>
        <v>0.9</v>
      </c>
      <c r="BB16" s="567">
        <f>IF(ISNUMBER(System!$C17),PlotData!Y17+ SensA!$E$2*$AF$1*Y16,PlotData!$CB$4)</f>
        <v>0.9</v>
      </c>
      <c r="BC16" s="607">
        <f>IF(ISNUMBER(System!$C17),PlotData!Y17, PlotData!CB$4)</f>
        <v>0.9</v>
      </c>
      <c r="BD16" s="566">
        <f>IF(ISNUMBER(System!$C17),PlotData!O17, PlotData!$CB$4)</f>
        <v>0.9</v>
      </c>
      <c r="BE16" s="567">
        <f>IF(ISNUMBER(System!$C17), AR16,PlotData!$CB$4)</f>
        <v>0.9</v>
      </c>
    </row>
    <row r="17" spans="1:57" x14ac:dyDescent="0.35">
      <c r="A17" s="568">
        <v>15</v>
      </c>
      <c r="B17" s="565"/>
      <c r="C17" s="566"/>
      <c r="D17" s="566"/>
      <c r="E17" s="566"/>
      <c r="F17" s="566"/>
      <c r="G17" s="566"/>
      <c r="H17" s="566"/>
      <c r="I17" s="566"/>
      <c r="J17" s="566"/>
      <c r="K17" s="566"/>
      <c r="L17" s="567"/>
      <c r="N17" s="568">
        <v>15</v>
      </c>
      <c r="O17" s="565"/>
      <c r="P17" s="566"/>
      <c r="Q17" s="566"/>
      <c r="R17" s="566"/>
      <c r="S17" s="566"/>
      <c r="T17" s="566"/>
      <c r="U17" s="566"/>
      <c r="V17" s="566"/>
      <c r="W17" s="566"/>
      <c r="X17" s="566"/>
      <c r="Y17" s="567"/>
      <c r="AA17" s="569">
        <v>15</v>
      </c>
      <c r="AB17" s="565">
        <f>IF(ISNUMBER(System!$C18),PlotData!B18+SensA!$E$2* $AF$1*B17,PlotData!$CB$3)</f>
        <v>-5.85</v>
      </c>
      <c r="AC17" s="566">
        <f>IF(ISNUMBER(System!$C18),PlotData!C18+SensA!$E$2* $AF$1*C17,PlotData!$CB$3)</f>
        <v>-5.6999999999999993</v>
      </c>
      <c r="AD17" s="566">
        <f>IF(ISNUMBER(System!$C18),PlotData!D18+SensA!$E$2* $AF$1*D17,PlotData!$CB$3)</f>
        <v>-5.5499999999999989</v>
      </c>
      <c r="AE17" s="566">
        <f>IF(ISNUMBER(System!$C18),PlotData!E18+SensA!$E$2* $AF$1*E17,PlotData!$CB$3)</f>
        <v>-5.3999999999999986</v>
      </c>
      <c r="AF17" s="566">
        <f>IF(ISNUMBER(System!$C18),PlotData!F18+SensA!$E$2* $AF$1*F17,PlotData!$CB$3)</f>
        <v>-5.2499999999999982</v>
      </c>
      <c r="AG17" s="566">
        <f>IF(ISNUMBER(System!$C18),PlotData!G18+SensA!$E$2* $AF$1*G17,PlotData!$CB$3)</f>
        <v>-5.0999999999999979</v>
      </c>
      <c r="AH17" s="566">
        <f>IF(ISNUMBER(System!$C18),PlotData!H18+SensA!$E$2* $AF$1*H17,PlotData!$CB$3)</f>
        <v>-4.9499999999999975</v>
      </c>
      <c r="AI17" s="566">
        <f>IF(ISNUMBER(System!$C18),PlotData!I18+SensA!$E$2* $AF$1*I17,PlotData!$CB$3)</f>
        <v>-4.7999999999999972</v>
      </c>
      <c r="AJ17" s="566">
        <f>IF(ISNUMBER(System!$C18),PlotData!J18+SensA!$E$2* $AF$1*J17,PlotData!$CB$3)</f>
        <v>-4.6499999999999968</v>
      </c>
      <c r="AK17" s="566">
        <f>IF(ISNUMBER(System!$C18),PlotData!K18+SensA!$E$2* $AF$1*K17,PlotData!$CB$3)</f>
        <v>-4.4999999999999964</v>
      </c>
      <c r="AL17" s="567">
        <f>IF(ISNUMBER(System!$C18),PlotData!L18+SensA!$E$2* $AF$1*L17,PlotData!$CB$3)</f>
        <v>-4.3499999999999961</v>
      </c>
      <c r="AM17" s="607">
        <f>IF(ISNUMBER(System!$C18),PlotData!L18,PlotData!$CB$3)</f>
        <v>-4.3499999999999961</v>
      </c>
      <c r="AN17" s="566">
        <f>IF(ISNUMBER(System!$C18),PlotData!B18,PlotData!$CB$3)</f>
        <v>-5.85</v>
      </c>
      <c r="AO17" s="447">
        <f>IF(ISNUMBER(System!$C18),AB17,PlotData!$CB$3)</f>
        <v>-5.85</v>
      </c>
      <c r="AQ17" s="569">
        <v>15</v>
      </c>
      <c r="AR17" s="565">
        <f>IF(ISNUMBER(System!$C18),PlotData!O18+ SensA!$E$2*$AF$1*O17,PlotData!$CB$4)</f>
        <v>0.9</v>
      </c>
      <c r="AS17" s="566">
        <f>IF(ISNUMBER(System!$C18),PlotData!P18+ SensA!$E$2*$AF$1*P17,PlotData!$CB$4)</f>
        <v>0.9</v>
      </c>
      <c r="AT17" s="566">
        <f>IF(ISNUMBER(System!$C18),PlotData!Q18+ SensA!$E$2*$AF$1*Q17,PlotData!$CB$4)</f>
        <v>0.9</v>
      </c>
      <c r="AU17" s="566">
        <f>IF(ISNUMBER(System!$C18),PlotData!R18+ SensA!$E$2*$AF$1*R17,PlotData!$CB$4)</f>
        <v>0.9</v>
      </c>
      <c r="AV17" s="566">
        <f>IF(ISNUMBER(System!$C18),PlotData!S18+ SensA!$E$2*$AF$1*S17,PlotData!$CB$4)</f>
        <v>0.9</v>
      </c>
      <c r="AW17" s="566">
        <f>IF(ISNUMBER(System!$C18),PlotData!T18+ SensA!$E$2*$AF$1*T17,PlotData!$CB$4)</f>
        <v>0.9</v>
      </c>
      <c r="AX17" s="566">
        <f>IF(ISNUMBER(System!$C18),PlotData!U18+ SensA!$E$2*$AF$1*U17,PlotData!$CB$4)</f>
        <v>0.9</v>
      </c>
      <c r="AY17" s="566">
        <f>IF(ISNUMBER(System!$C18),PlotData!V18+ SensA!$E$2*$AF$1*V17,PlotData!$CB$4)</f>
        <v>0.9</v>
      </c>
      <c r="AZ17" s="566">
        <f>IF(ISNUMBER(System!$C18),PlotData!W18+ SensA!$E$2*$AF$1*W17,PlotData!$CB$4)</f>
        <v>0.9</v>
      </c>
      <c r="BA17" s="566">
        <f>IF(ISNUMBER(System!$C18),PlotData!X18+ SensA!$E$2*$AF$1*X17,PlotData!$CB$4)</f>
        <v>0.9</v>
      </c>
      <c r="BB17" s="567">
        <f>IF(ISNUMBER(System!$C18),PlotData!Y18+ SensA!$E$2*$AF$1*Y17,PlotData!$CB$4)</f>
        <v>0.9</v>
      </c>
      <c r="BC17" s="607">
        <f>IF(ISNUMBER(System!$C18),PlotData!Y18, PlotData!CB$4)</f>
        <v>0.9</v>
      </c>
      <c r="BD17" s="566">
        <f>IF(ISNUMBER(System!$C18),PlotData!O18, PlotData!$CB$4)</f>
        <v>0.9</v>
      </c>
      <c r="BE17" s="567">
        <f>IF(ISNUMBER(System!$C18), AR17,PlotData!$CB$4)</f>
        <v>0.9</v>
      </c>
    </row>
    <row r="18" spans="1:57" x14ac:dyDescent="0.35">
      <c r="A18" s="568">
        <v>16</v>
      </c>
      <c r="B18" s="565"/>
      <c r="C18" s="566"/>
      <c r="D18" s="566"/>
      <c r="E18" s="566"/>
      <c r="F18" s="566"/>
      <c r="G18" s="566"/>
      <c r="H18" s="566"/>
      <c r="I18" s="566"/>
      <c r="J18" s="566"/>
      <c r="K18" s="566"/>
      <c r="L18" s="567"/>
      <c r="N18" s="568">
        <v>16</v>
      </c>
      <c r="O18" s="565"/>
      <c r="P18" s="566"/>
      <c r="Q18" s="566"/>
      <c r="R18" s="566"/>
      <c r="S18" s="566"/>
      <c r="T18" s="566"/>
      <c r="U18" s="566"/>
      <c r="V18" s="566"/>
      <c r="W18" s="566"/>
      <c r="X18" s="566"/>
      <c r="Y18" s="567"/>
      <c r="AA18" s="569">
        <v>16</v>
      </c>
      <c r="AB18" s="565">
        <f>IF(ISNUMBER(System!$C19),PlotData!B19+SensA!$E$2* $AF$1*B18,PlotData!$CB$3)</f>
        <v>-4.3499999999999996</v>
      </c>
      <c r="AC18" s="566">
        <f>IF(ISNUMBER(System!$C19),PlotData!C19+SensA!$E$2* $AF$1*C18,PlotData!$CB$3)</f>
        <v>-4.29</v>
      </c>
      <c r="AD18" s="566">
        <f>IF(ISNUMBER(System!$C19),PlotData!D19+SensA!$E$2* $AF$1*D18,PlotData!$CB$3)</f>
        <v>-4.2300000000000004</v>
      </c>
      <c r="AE18" s="566">
        <f>IF(ISNUMBER(System!$C19),PlotData!E19+SensA!$E$2* $AF$1*E18,PlotData!$CB$3)</f>
        <v>-4.1700000000000008</v>
      </c>
      <c r="AF18" s="566">
        <f>IF(ISNUMBER(System!$C19),PlotData!F19+SensA!$E$2* $AF$1*F18,PlotData!$CB$3)</f>
        <v>-4.1100000000000012</v>
      </c>
      <c r="AG18" s="566">
        <f>IF(ISNUMBER(System!$C19),PlotData!G19+SensA!$E$2* $AF$1*G18,PlotData!$CB$3)</f>
        <v>-4.0500000000000016</v>
      </c>
      <c r="AH18" s="566">
        <f>IF(ISNUMBER(System!$C19),PlotData!H19+SensA!$E$2* $AF$1*H18,PlotData!$CB$3)</f>
        <v>-3.9900000000000015</v>
      </c>
      <c r="AI18" s="566">
        <f>IF(ISNUMBER(System!$C19),PlotData!I19+SensA!$E$2* $AF$1*I18,PlotData!$CB$3)</f>
        <v>-3.9300000000000015</v>
      </c>
      <c r="AJ18" s="566">
        <f>IF(ISNUMBER(System!$C19),PlotData!J19+SensA!$E$2* $AF$1*J18,PlotData!$CB$3)</f>
        <v>-3.8700000000000014</v>
      </c>
      <c r="AK18" s="566">
        <f>IF(ISNUMBER(System!$C19),PlotData!K19+SensA!$E$2* $AF$1*K18,PlotData!$CB$3)</f>
        <v>-3.8100000000000014</v>
      </c>
      <c r="AL18" s="567">
        <f>IF(ISNUMBER(System!$C19),PlotData!L19+SensA!$E$2* $AF$1*L18,PlotData!$CB$3)</f>
        <v>-3.7500000000000013</v>
      </c>
      <c r="AM18" s="607">
        <f>IF(ISNUMBER(System!$C19),PlotData!L19,PlotData!$CB$3)</f>
        <v>-3.7500000000000013</v>
      </c>
      <c r="AN18" s="566">
        <f>IF(ISNUMBER(System!$C19),PlotData!B19,PlotData!$CB$3)</f>
        <v>-4.3499999999999996</v>
      </c>
      <c r="AO18" s="447">
        <f>IF(ISNUMBER(System!$C19),AB18,PlotData!$CB$3)</f>
        <v>-4.3499999999999996</v>
      </c>
      <c r="AQ18" s="569">
        <v>16</v>
      </c>
      <c r="AR18" s="565">
        <f>IF(ISNUMBER(System!$C19),PlotData!O19+ SensA!$E$2*$AF$1*O18,PlotData!$CB$4)</f>
        <v>0.9</v>
      </c>
      <c r="AS18" s="566">
        <f>IF(ISNUMBER(System!$C19),PlotData!P19+ SensA!$E$2*$AF$1*P18,PlotData!$CB$4)</f>
        <v>0.9</v>
      </c>
      <c r="AT18" s="566">
        <f>IF(ISNUMBER(System!$C19),PlotData!Q19+ SensA!$E$2*$AF$1*Q18,PlotData!$CB$4)</f>
        <v>0.9</v>
      </c>
      <c r="AU18" s="566">
        <f>IF(ISNUMBER(System!$C19),PlotData!R19+ SensA!$E$2*$AF$1*R18,PlotData!$CB$4)</f>
        <v>0.9</v>
      </c>
      <c r="AV18" s="566">
        <f>IF(ISNUMBER(System!$C19),PlotData!S19+ SensA!$E$2*$AF$1*S18,PlotData!$CB$4)</f>
        <v>0.9</v>
      </c>
      <c r="AW18" s="566">
        <f>IF(ISNUMBER(System!$C19),PlotData!T19+ SensA!$E$2*$AF$1*T18,PlotData!$CB$4)</f>
        <v>0.9</v>
      </c>
      <c r="AX18" s="566">
        <f>IF(ISNUMBER(System!$C19),PlotData!U19+ SensA!$E$2*$AF$1*U18,PlotData!$CB$4)</f>
        <v>0.9</v>
      </c>
      <c r="AY18" s="566">
        <f>IF(ISNUMBER(System!$C19),PlotData!V19+ SensA!$E$2*$AF$1*V18,PlotData!$CB$4)</f>
        <v>0.9</v>
      </c>
      <c r="AZ18" s="566">
        <f>IF(ISNUMBER(System!$C19),PlotData!W19+ SensA!$E$2*$AF$1*W18,PlotData!$CB$4)</f>
        <v>0.9</v>
      </c>
      <c r="BA18" s="566">
        <f>IF(ISNUMBER(System!$C19),PlotData!X19+ SensA!$E$2*$AF$1*X18,PlotData!$CB$4)</f>
        <v>0.9</v>
      </c>
      <c r="BB18" s="567">
        <f>IF(ISNUMBER(System!$C19),PlotData!Y19+ SensA!$E$2*$AF$1*Y18,PlotData!$CB$4)</f>
        <v>0.9</v>
      </c>
      <c r="BC18" s="607">
        <f>IF(ISNUMBER(System!$C19),PlotData!Y19, PlotData!CB$4)</f>
        <v>0.9</v>
      </c>
      <c r="BD18" s="566">
        <f>IF(ISNUMBER(System!$C19),PlotData!O19, PlotData!$CB$4)</f>
        <v>0.9</v>
      </c>
      <c r="BE18" s="567">
        <f>IF(ISNUMBER(System!$C19), AR18,PlotData!$CB$4)</f>
        <v>0.9</v>
      </c>
    </row>
    <row r="19" spans="1:57" x14ac:dyDescent="0.35">
      <c r="A19" s="568">
        <v>17</v>
      </c>
      <c r="B19" s="565"/>
      <c r="C19" s="566"/>
      <c r="D19" s="566"/>
      <c r="E19" s="566"/>
      <c r="F19" s="566"/>
      <c r="G19" s="566"/>
      <c r="H19" s="566"/>
      <c r="I19" s="566"/>
      <c r="J19" s="566"/>
      <c r="K19" s="566"/>
      <c r="L19" s="567"/>
      <c r="N19" s="568">
        <v>17</v>
      </c>
      <c r="O19" s="565"/>
      <c r="P19" s="566"/>
      <c r="Q19" s="566"/>
      <c r="R19" s="566"/>
      <c r="S19" s="566"/>
      <c r="T19" s="566"/>
      <c r="U19" s="566"/>
      <c r="V19" s="566"/>
      <c r="W19" s="566"/>
      <c r="X19" s="566"/>
      <c r="Y19" s="567"/>
      <c r="AA19" s="569">
        <v>17</v>
      </c>
      <c r="AB19" s="565">
        <f>IF(ISNUMBER(System!$C20),PlotData!B20+SensA!$E$2* $AF$1*B19,PlotData!$CB$3)</f>
        <v>-5.55</v>
      </c>
      <c r="AC19" s="566">
        <f>IF(ISNUMBER(System!$C20),PlotData!C20+SensA!$E$2* $AF$1*C19,PlotData!$CB$3)</f>
        <v>-5.58</v>
      </c>
      <c r="AD19" s="566">
        <f>IF(ISNUMBER(System!$C20),PlotData!D20+SensA!$E$2* $AF$1*D19,PlotData!$CB$3)</f>
        <v>-5.61</v>
      </c>
      <c r="AE19" s="566">
        <f>IF(ISNUMBER(System!$C20),PlotData!E20+SensA!$E$2* $AF$1*E19,PlotData!$CB$3)</f>
        <v>-5.6400000000000006</v>
      </c>
      <c r="AF19" s="566">
        <f>IF(ISNUMBER(System!$C20),PlotData!F20+SensA!$E$2* $AF$1*F19,PlotData!$CB$3)</f>
        <v>-5.6700000000000008</v>
      </c>
      <c r="AG19" s="566">
        <f>IF(ISNUMBER(System!$C20),PlotData!G20+SensA!$E$2* $AF$1*G19,PlotData!$CB$3)</f>
        <v>-5.7000000000000011</v>
      </c>
      <c r="AH19" s="566">
        <f>IF(ISNUMBER(System!$C20),PlotData!H20+SensA!$E$2* $AF$1*H19,PlotData!$CB$3)</f>
        <v>-5.7300000000000013</v>
      </c>
      <c r="AI19" s="566">
        <f>IF(ISNUMBER(System!$C20),PlotData!I20+SensA!$E$2* $AF$1*I19,PlotData!$CB$3)</f>
        <v>-5.7600000000000016</v>
      </c>
      <c r="AJ19" s="566">
        <f>IF(ISNUMBER(System!$C20),PlotData!J20+SensA!$E$2* $AF$1*J19,PlotData!$CB$3)</f>
        <v>-5.7900000000000018</v>
      </c>
      <c r="AK19" s="566">
        <f>IF(ISNUMBER(System!$C20),PlotData!K20+SensA!$E$2* $AF$1*K19,PlotData!$CB$3)</f>
        <v>-5.8200000000000021</v>
      </c>
      <c r="AL19" s="567">
        <f>IF(ISNUMBER(System!$C20),PlotData!L20+SensA!$E$2* $AF$1*L19,PlotData!$CB$3)</f>
        <v>-5.8500000000000023</v>
      </c>
      <c r="AM19" s="607">
        <f>IF(ISNUMBER(System!$C20),PlotData!L20,PlotData!$CB$3)</f>
        <v>-5.8500000000000023</v>
      </c>
      <c r="AN19" s="566">
        <f>IF(ISNUMBER(System!$C20),PlotData!B20,PlotData!$CB$3)</f>
        <v>-5.55</v>
      </c>
      <c r="AO19" s="447">
        <f>IF(ISNUMBER(System!$C20),AB19,PlotData!$CB$3)</f>
        <v>-5.55</v>
      </c>
      <c r="AQ19" s="569">
        <v>17</v>
      </c>
      <c r="AR19" s="565">
        <f>IF(ISNUMBER(System!$C20),PlotData!O20+ SensA!$E$2*$AF$1*O19,PlotData!$CB$4)</f>
        <v>2.85</v>
      </c>
      <c r="AS19" s="566">
        <f>IF(ISNUMBER(System!$C20),PlotData!P20+ SensA!$E$2*$AF$1*P19,PlotData!$CB$4)</f>
        <v>2.6550000000000002</v>
      </c>
      <c r="AT19" s="566">
        <f>IF(ISNUMBER(System!$C20),PlotData!Q20+ SensA!$E$2*$AF$1*Q19,PlotData!$CB$4)</f>
        <v>2.4600000000000004</v>
      </c>
      <c r="AU19" s="566">
        <f>IF(ISNUMBER(System!$C20),PlotData!R20+ SensA!$E$2*$AF$1*R19,PlotData!$CB$4)</f>
        <v>2.2650000000000006</v>
      </c>
      <c r="AV19" s="566">
        <f>IF(ISNUMBER(System!$C20),PlotData!S20+ SensA!$E$2*$AF$1*S19,PlotData!$CB$4)</f>
        <v>2.0700000000000007</v>
      </c>
      <c r="AW19" s="566">
        <f>IF(ISNUMBER(System!$C20),PlotData!T20+ SensA!$E$2*$AF$1*T19,PlotData!$CB$4)</f>
        <v>1.8750000000000007</v>
      </c>
      <c r="AX19" s="566">
        <f>IF(ISNUMBER(System!$C20),PlotData!U20+ SensA!$E$2*$AF$1*U19,PlotData!$CB$4)</f>
        <v>1.6800000000000006</v>
      </c>
      <c r="AY19" s="566">
        <f>IF(ISNUMBER(System!$C20),PlotData!V20+ SensA!$E$2*$AF$1*V19,PlotData!$CB$4)</f>
        <v>1.4850000000000005</v>
      </c>
      <c r="AZ19" s="566">
        <f>IF(ISNUMBER(System!$C20),PlotData!W20+ SensA!$E$2*$AF$1*W19,PlotData!$CB$4)</f>
        <v>1.2900000000000005</v>
      </c>
      <c r="BA19" s="566">
        <f>IF(ISNUMBER(System!$C20),PlotData!X20+ SensA!$E$2*$AF$1*X19,PlotData!$CB$4)</f>
        <v>1.0950000000000004</v>
      </c>
      <c r="BB19" s="567">
        <f>IF(ISNUMBER(System!$C20),PlotData!Y20+ SensA!$E$2*$AF$1*Y19,PlotData!$CB$4)</f>
        <v>0.90000000000000036</v>
      </c>
      <c r="BC19" s="607">
        <f>IF(ISNUMBER(System!$C20),PlotData!Y20, PlotData!CB$4)</f>
        <v>0.90000000000000036</v>
      </c>
      <c r="BD19" s="566">
        <f>IF(ISNUMBER(System!$C20),PlotData!O20, PlotData!$CB$4)</f>
        <v>2.85</v>
      </c>
      <c r="BE19" s="567">
        <f>IF(ISNUMBER(System!$C20), AR19,PlotData!$CB$4)</f>
        <v>2.85</v>
      </c>
    </row>
    <row r="20" spans="1:57" x14ac:dyDescent="0.35">
      <c r="A20" s="568">
        <v>18</v>
      </c>
      <c r="B20" s="565"/>
      <c r="C20" s="566"/>
      <c r="D20" s="566"/>
      <c r="E20" s="566"/>
      <c r="F20" s="566"/>
      <c r="G20" s="566"/>
      <c r="H20" s="566"/>
      <c r="I20" s="566"/>
      <c r="J20" s="566"/>
      <c r="K20" s="566"/>
      <c r="L20" s="567"/>
      <c r="N20" s="568">
        <v>18</v>
      </c>
      <c r="O20" s="565"/>
      <c r="P20" s="566"/>
      <c r="Q20" s="566"/>
      <c r="R20" s="566"/>
      <c r="S20" s="566"/>
      <c r="T20" s="566"/>
      <c r="U20" s="566"/>
      <c r="V20" s="566"/>
      <c r="W20" s="566"/>
      <c r="X20" s="566"/>
      <c r="Y20" s="567"/>
      <c r="AA20" s="569">
        <v>18</v>
      </c>
      <c r="AB20" s="565">
        <f>IF(ISNUMBER(System!$C21),PlotData!B21+SensA!$E$2* $AF$1*B20,PlotData!$CB$3)</f>
        <v>-4.6500000000000004</v>
      </c>
      <c r="AC20" s="566">
        <f>IF(ISNUMBER(System!$C21),PlotData!C21+SensA!$E$2* $AF$1*C20,PlotData!$CB$3)</f>
        <v>-4.62</v>
      </c>
      <c r="AD20" s="566">
        <f>IF(ISNUMBER(System!$C21),PlotData!D21+SensA!$E$2* $AF$1*D20,PlotData!$CB$3)</f>
        <v>-4.59</v>
      </c>
      <c r="AE20" s="566">
        <f>IF(ISNUMBER(System!$C21),PlotData!E21+SensA!$E$2* $AF$1*E20,PlotData!$CB$3)</f>
        <v>-4.5599999999999996</v>
      </c>
      <c r="AF20" s="566">
        <f>IF(ISNUMBER(System!$C21),PlotData!F21+SensA!$E$2* $AF$1*F20,PlotData!$CB$3)</f>
        <v>-4.5299999999999994</v>
      </c>
      <c r="AG20" s="566">
        <f>IF(ISNUMBER(System!$C21),PlotData!G21+SensA!$E$2* $AF$1*G20,PlotData!$CB$3)</f>
        <v>-4.4999999999999991</v>
      </c>
      <c r="AH20" s="566">
        <f>IF(ISNUMBER(System!$C21),PlotData!H21+SensA!$E$2* $AF$1*H20,PlotData!$CB$3)</f>
        <v>-4.4699999999999989</v>
      </c>
      <c r="AI20" s="566">
        <f>IF(ISNUMBER(System!$C21),PlotData!I21+SensA!$E$2* $AF$1*I20,PlotData!$CB$3)</f>
        <v>-4.4399999999999986</v>
      </c>
      <c r="AJ20" s="566">
        <f>IF(ISNUMBER(System!$C21),PlotData!J21+SensA!$E$2* $AF$1*J20,PlotData!$CB$3)</f>
        <v>-4.4099999999999984</v>
      </c>
      <c r="AK20" s="566">
        <f>IF(ISNUMBER(System!$C21),PlotData!K21+SensA!$E$2* $AF$1*K20,PlotData!$CB$3)</f>
        <v>-4.3799999999999981</v>
      </c>
      <c r="AL20" s="567">
        <f>IF(ISNUMBER(System!$C21),PlotData!L21+SensA!$E$2* $AF$1*L20,PlotData!$CB$3)</f>
        <v>-4.3499999999999979</v>
      </c>
      <c r="AM20" s="607">
        <f>IF(ISNUMBER(System!$C21),PlotData!L21,PlotData!$CB$3)</f>
        <v>-4.3499999999999979</v>
      </c>
      <c r="AN20" s="566">
        <f>IF(ISNUMBER(System!$C21),PlotData!B21,PlotData!$CB$3)</f>
        <v>-4.6500000000000004</v>
      </c>
      <c r="AO20" s="447">
        <f>IF(ISNUMBER(System!$C21),AB20,PlotData!$CB$3)</f>
        <v>-4.6500000000000004</v>
      </c>
      <c r="AQ20" s="569">
        <v>18</v>
      </c>
      <c r="AR20" s="565">
        <f>IF(ISNUMBER(System!$C21),PlotData!O21+ SensA!$E$2*$AF$1*O20,PlotData!$CB$4)</f>
        <v>2.85</v>
      </c>
      <c r="AS20" s="566">
        <f>IF(ISNUMBER(System!$C21),PlotData!P21+ SensA!$E$2*$AF$1*P20,PlotData!$CB$4)</f>
        <v>2.6550000000000002</v>
      </c>
      <c r="AT20" s="566">
        <f>IF(ISNUMBER(System!$C21),PlotData!Q21+ SensA!$E$2*$AF$1*Q20,PlotData!$CB$4)</f>
        <v>2.4600000000000004</v>
      </c>
      <c r="AU20" s="566">
        <f>IF(ISNUMBER(System!$C21),PlotData!R21+ SensA!$E$2*$AF$1*R20,PlotData!$CB$4)</f>
        <v>2.2650000000000006</v>
      </c>
      <c r="AV20" s="566">
        <f>IF(ISNUMBER(System!$C21),PlotData!S21+ SensA!$E$2*$AF$1*S20,PlotData!$CB$4)</f>
        <v>2.0700000000000007</v>
      </c>
      <c r="AW20" s="566">
        <f>IF(ISNUMBER(System!$C21),PlotData!T21+ SensA!$E$2*$AF$1*T20,PlotData!$CB$4)</f>
        <v>1.8750000000000007</v>
      </c>
      <c r="AX20" s="566">
        <f>IF(ISNUMBER(System!$C21),PlotData!U21+ SensA!$E$2*$AF$1*U20,PlotData!$CB$4)</f>
        <v>1.6800000000000006</v>
      </c>
      <c r="AY20" s="566">
        <f>IF(ISNUMBER(System!$C21),PlotData!V21+ SensA!$E$2*$AF$1*V20,PlotData!$CB$4)</f>
        <v>1.4850000000000005</v>
      </c>
      <c r="AZ20" s="566">
        <f>IF(ISNUMBER(System!$C21),PlotData!W21+ SensA!$E$2*$AF$1*W20,PlotData!$CB$4)</f>
        <v>1.2900000000000005</v>
      </c>
      <c r="BA20" s="566">
        <f>IF(ISNUMBER(System!$C21),PlotData!X21+ SensA!$E$2*$AF$1*X20,PlotData!$CB$4)</f>
        <v>1.0950000000000004</v>
      </c>
      <c r="BB20" s="567">
        <f>IF(ISNUMBER(System!$C21),PlotData!Y21+ SensA!$E$2*$AF$1*Y20,PlotData!$CB$4)</f>
        <v>0.90000000000000036</v>
      </c>
      <c r="BC20" s="607">
        <f>IF(ISNUMBER(System!$C21),PlotData!Y21, PlotData!CB$4)</f>
        <v>0.90000000000000036</v>
      </c>
      <c r="BD20" s="566">
        <f>IF(ISNUMBER(System!$C21),PlotData!O21, PlotData!$CB$4)</f>
        <v>2.85</v>
      </c>
      <c r="BE20" s="567">
        <f>IF(ISNUMBER(System!$C21), AR20,PlotData!$CB$4)</f>
        <v>2.85</v>
      </c>
    </row>
    <row r="21" spans="1:57" x14ac:dyDescent="0.35">
      <c r="A21" s="568">
        <v>19</v>
      </c>
      <c r="B21" s="565"/>
      <c r="C21" s="566"/>
      <c r="D21" s="566"/>
      <c r="E21" s="566"/>
      <c r="F21" s="566"/>
      <c r="G21" s="566"/>
      <c r="H21" s="566"/>
      <c r="I21" s="566"/>
      <c r="J21" s="566"/>
      <c r="K21" s="566"/>
      <c r="L21" s="567"/>
      <c r="N21" s="568">
        <v>19</v>
      </c>
      <c r="O21" s="565"/>
      <c r="P21" s="566"/>
      <c r="Q21" s="566"/>
      <c r="R21" s="566"/>
      <c r="S21" s="566"/>
      <c r="T21" s="566"/>
      <c r="U21" s="566"/>
      <c r="V21" s="566"/>
      <c r="W21" s="566"/>
      <c r="X21" s="566"/>
      <c r="Y21" s="567"/>
      <c r="AA21" s="569">
        <v>19</v>
      </c>
      <c r="AB21" s="565">
        <f>IF(ISNUMBER(System!$C22),PlotData!B22+SensA!$E$2* $AF$1*B21,PlotData!$CB$3)</f>
        <v>8.6999999999999993</v>
      </c>
      <c r="AC21" s="566">
        <f>IF(ISNUMBER(System!$C22),PlotData!C22+SensA!$E$2* $AF$1*C21,PlotData!$CB$3)</f>
        <v>9.0449999999999999</v>
      </c>
      <c r="AD21" s="566">
        <f>IF(ISNUMBER(System!$C22),PlotData!D22+SensA!$E$2* $AF$1*D21,PlotData!$CB$3)</f>
        <v>9.39</v>
      </c>
      <c r="AE21" s="566">
        <f>IF(ISNUMBER(System!$C22),PlotData!E22+SensA!$E$2* $AF$1*E21,PlotData!$CB$3)</f>
        <v>9.7350000000000012</v>
      </c>
      <c r="AF21" s="566">
        <f>IF(ISNUMBER(System!$C22),PlotData!F22+SensA!$E$2* $AF$1*F21,PlotData!$CB$3)</f>
        <v>10.080000000000002</v>
      </c>
      <c r="AG21" s="566">
        <f>IF(ISNUMBER(System!$C22),PlotData!G22+SensA!$E$2* $AF$1*G21,PlotData!$CB$3)</f>
        <v>10.425000000000002</v>
      </c>
      <c r="AH21" s="566">
        <f>IF(ISNUMBER(System!$C22),PlotData!H22+SensA!$E$2* $AF$1*H21,PlotData!$CB$3)</f>
        <v>10.770000000000003</v>
      </c>
      <c r="AI21" s="566">
        <f>IF(ISNUMBER(System!$C22),PlotData!I22+SensA!$E$2* $AF$1*I21,PlotData!$CB$3)</f>
        <v>11.115000000000004</v>
      </c>
      <c r="AJ21" s="566">
        <f>IF(ISNUMBER(System!$C22),PlotData!J22+SensA!$E$2* $AF$1*J21,PlotData!$CB$3)</f>
        <v>11.460000000000004</v>
      </c>
      <c r="AK21" s="566">
        <f>IF(ISNUMBER(System!$C22),PlotData!K22+SensA!$E$2* $AF$1*K21,PlotData!$CB$3)</f>
        <v>11.805000000000005</v>
      </c>
      <c r="AL21" s="567">
        <f>IF(ISNUMBER(System!$C22),PlotData!L22+SensA!$E$2* $AF$1*L21,PlotData!$CB$3)</f>
        <v>12.150000000000006</v>
      </c>
      <c r="AM21" s="607">
        <f>IF(ISNUMBER(System!$C22),PlotData!L22,PlotData!$CB$3)</f>
        <v>12.150000000000006</v>
      </c>
      <c r="AN21" s="566">
        <f>IF(ISNUMBER(System!$C22),PlotData!B22,PlotData!$CB$3)</f>
        <v>8.6999999999999993</v>
      </c>
      <c r="AO21" s="447">
        <f>IF(ISNUMBER(System!$C22),AB21,PlotData!$CB$3)</f>
        <v>8.6999999999999993</v>
      </c>
      <c r="AQ21" s="569">
        <v>19</v>
      </c>
      <c r="AR21" s="565">
        <f>IF(ISNUMBER(System!$C22),PlotData!O22+ SensA!$E$2*$AF$1*O21,PlotData!$CB$4)</f>
        <v>0.9</v>
      </c>
      <c r="AS21" s="566">
        <f>IF(ISNUMBER(System!$C22),PlotData!P22+ SensA!$E$2*$AF$1*P21,PlotData!$CB$4)</f>
        <v>0.9</v>
      </c>
      <c r="AT21" s="566">
        <f>IF(ISNUMBER(System!$C22),PlotData!Q22+ SensA!$E$2*$AF$1*Q21,PlotData!$CB$4)</f>
        <v>0.9</v>
      </c>
      <c r="AU21" s="566">
        <f>IF(ISNUMBER(System!$C22),PlotData!R22+ SensA!$E$2*$AF$1*R21,PlotData!$CB$4)</f>
        <v>0.9</v>
      </c>
      <c r="AV21" s="566">
        <f>IF(ISNUMBER(System!$C22),PlotData!S22+ SensA!$E$2*$AF$1*S21,PlotData!$CB$4)</f>
        <v>0.9</v>
      </c>
      <c r="AW21" s="566">
        <f>IF(ISNUMBER(System!$C22),PlotData!T22+ SensA!$E$2*$AF$1*T21,PlotData!$CB$4)</f>
        <v>0.9</v>
      </c>
      <c r="AX21" s="566">
        <f>IF(ISNUMBER(System!$C22),PlotData!U22+ SensA!$E$2*$AF$1*U21,PlotData!$CB$4)</f>
        <v>0.9</v>
      </c>
      <c r="AY21" s="566">
        <f>IF(ISNUMBER(System!$C22),PlotData!V22+ SensA!$E$2*$AF$1*V21,PlotData!$CB$4)</f>
        <v>0.9</v>
      </c>
      <c r="AZ21" s="566">
        <f>IF(ISNUMBER(System!$C22),PlotData!W22+ SensA!$E$2*$AF$1*W21,PlotData!$CB$4)</f>
        <v>0.9</v>
      </c>
      <c r="BA21" s="566">
        <f>IF(ISNUMBER(System!$C22),PlotData!X22+ SensA!$E$2*$AF$1*X21,PlotData!$CB$4)</f>
        <v>0.9</v>
      </c>
      <c r="BB21" s="567">
        <f>IF(ISNUMBER(System!$C22),PlotData!Y22+ SensA!$E$2*$AF$1*Y21,PlotData!$CB$4)</f>
        <v>0.9</v>
      </c>
      <c r="BC21" s="607">
        <f>IF(ISNUMBER(System!$C22),PlotData!Y22, PlotData!CB$4)</f>
        <v>0.9</v>
      </c>
      <c r="BD21" s="566">
        <f>IF(ISNUMBER(System!$C22),PlotData!O22, PlotData!$CB$4)</f>
        <v>0.9</v>
      </c>
      <c r="BE21" s="567">
        <f>IF(ISNUMBER(System!$C22), AR21,PlotData!$CB$4)</f>
        <v>0.9</v>
      </c>
    </row>
    <row r="22" spans="1:57" x14ac:dyDescent="0.35">
      <c r="A22" s="608">
        <v>20</v>
      </c>
      <c r="B22" s="576"/>
      <c r="C22" s="577"/>
      <c r="D22" s="577"/>
      <c r="E22" s="577"/>
      <c r="F22" s="577"/>
      <c r="G22" s="577"/>
      <c r="H22" s="577"/>
      <c r="I22" s="577"/>
      <c r="J22" s="577"/>
      <c r="K22" s="577"/>
      <c r="L22" s="578"/>
      <c r="N22" s="608">
        <v>20</v>
      </c>
      <c r="O22" s="576"/>
      <c r="P22" s="577"/>
      <c r="Q22" s="577"/>
      <c r="R22" s="577"/>
      <c r="S22" s="577"/>
      <c r="T22" s="577"/>
      <c r="U22" s="577"/>
      <c r="V22" s="577"/>
      <c r="W22" s="577"/>
      <c r="X22" s="577"/>
      <c r="Y22" s="578"/>
      <c r="AA22" s="579">
        <v>20</v>
      </c>
      <c r="AB22" s="565">
        <f>IF(ISNUMBER(System!$C23),PlotData!B23+SensA!$E$2* $AF$1*B22,PlotData!$CB$3)</f>
        <v>3.38565</v>
      </c>
      <c r="AC22" s="566">
        <f>IF(ISNUMBER(System!$C23),PlotData!C23+SensA!$E$2* $AF$1*C22,PlotData!$CB$3)</f>
        <v>3.4876852999999999</v>
      </c>
      <c r="AD22" s="566">
        <f>IF(ISNUMBER(System!$C23),PlotData!D23+SensA!$E$2* $AF$1*D22,PlotData!$CB$3)</f>
        <v>3.5897205999999997</v>
      </c>
      <c r="AE22" s="566">
        <f>IF(ISNUMBER(System!$C23),PlotData!E23+SensA!$E$2* $AF$1*E22,PlotData!$CB$3)</f>
        <v>3.6917558999999995</v>
      </c>
      <c r="AF22" s="566">
        <f>IF(ISNUMBER(System!$C23),PlotData!F23+SensA!$E$2* $AF$1*F22,PlotData!$CB$3)</f>
        <v>3.7937911999999994</v>
      </c>
      <c r="AG22" s="566">
        <f>IF(ISNUMBER(System!$C23),PlotData!G23+SensA!$E$2* $AF$1*G22,PlotData!$CB$3)</f>
        <v>3.8958264999999992</v>
      </c>
      <c r="AH22" s="566">
        <f>IF(ISNUMBER(System!$C23),PlotData!H23+SensA!$E$2* $AF$1*H22,PlotData!$CB$3)</f>
        <v>3.997861799999999</v>
      </c>
      <c r="AI22" s="566">
        <f>IF(ISNUMBER(System!$C23),PlotData!I23+SensA!$E$2* $AF$1*I22,PlotData!$CB$3)</f>
        <v>4.0998970999999989</v>
      </c>
      <c r="AJ22" s="566">
        <f>IF(ISNUMBER(System!$C23),PlotData!J23+SensA!$E$2* $AF$1*J22,PlotData!$CB$3)</f>
        <v>4.2019323999999987</v>
      </c>
      <c r="AK22" s="566">
        <f>IF(ISNUMBER(System!$C23),PlotData!K23+SensA!$E$2* $AF$1*K22,PlotData!$CB$3)</f>
        <v>4.3039676999999985</v>
      </c>
      <c r="AL22" s="567">
        <f>IF(ISNUMBER(System!$C23),PlotData!L23+SensA!$E$2* $AF$1*L22,PlotData!$CB$3)</f>
        <v>4.4060029999999983</v>
      </c>
      <c r="AM22" s="607">
        <f>IF(ISNUMBER(System!$C23),PlotData!L23,PlotData!$CB$3)</f>
        <v>4.4060029999999983</v>
      </c>
      <c r="AN22" s="566">
        <f>IF(ISNUMBER(System!$C23),PlotData!B23,PlotData!$CB$3)</f>
        <v>3.38565</v>
      </c>
      <c r="AO22" s="447">
        <f>IF(ISNUMBER(System!$C23),AB22,PlotData!$CB$3)</f>
        <v>3.38565</v>
      </c>
      <c r="AQ22" s="579">
        <v>20</v>
      </c>
      <c r="AR22" s="565">
        <f>IF(ISNUMBER(System!$C23),PlotData!O23+ SensA!$E$2*$AF$1*O22,PlotData!$CB$4)</f>
        <v>2.7293310000000002</v>
      </c>
      <c r="AS22" s="566">
        <f>IF(ISNUMBER(System!$C23),PlotData!P23+ SensA!$E$2*$AF$1*P22,PlotData!$CB$4)</f>
        <v>2.7308806000000003</v>
      </c>
      <c r="AT22" s="566">
        <f>IF(ISNUMBER(System!$C23),PlotData!Q23+ SensA!$E$2*$AF$1*Q22,PlotData!$CB$4)</f>
        <v>2.7324302000000005</v>
      </c>
      <c r="AU22" s="566">
        <f>IF(ISNUMBER(System!$C23),PlotData!R23+ SensA!$E$2*$AF$1*R22,PlotData!$CB$4)</f>
        <v>2.7339798000000006</v>
      </c>
      <c r="AV22" s="566">
        <f>IF(ISNUMBER(System!$C23),PlotData!S23+ SensA!$E$2*$AF$1*S22,PlotData!$CB$4)</f>
        <v>2.7355294000000008</v>
      </c>
      <c r="AW22" s="566">
        <f>IF(ISNUMBER(System!$C23),PlotData!T23+ SensA!$E$2*$AF$1*T22,PlotData!$CB$4)</f>
        <v>2.7370790000000009</v>
      </c>
      <c r="AX22" s="566">
        <f>IF(ISNUMBER(System!$C23),PlotData!U23+ SensA!$E$2*$AF$1*U22,PlotData!$CB$4)</f>
        <v>2.7386286000000011</v>
      </c>
      <c r="AY22" s="566">
        <f>IF(ISNUMBER(System!$C23),PlotData!V23+ SensA!$E$2*$AF$1*V22,PlotData!$CB$4)</f>
        <v>2.7401782000000012</v>
      </c>
      <c r="AZ22" s="566">
        <f>IF(ISNUMBER(System!$C23),PlotData!W23+ SensA!$E$2*$AF$1*W22,PlotData!$CB$4)</f>
        <v>2.7417278000000014</v>
      </c>
      <c r="BA22" s="566">
        <f>IF(ISNUMBER(System!$C23),PlotData!X23+ SensA!$E$2*$AF$1*X22,PlotData!$CB$4)</f>
        <v>2.7432774000000015</v>
      </c>
      <c r="BB22" s="567">
        <f>IF(ISNUMBER(System!$C23),PlotData!Y23+ SensA!$E$2*$AF$1*Y22,PlotData!$CB$4)</f>
        <v>2.7448270000000017</v>
      </c>
      <c r="BC22" s="607">
        <f>IF(ISNUMBER(System!$C23),PlotData!Y23, PlotData!CB$4)</f>
        <v>2.7448270000000017</v>
      </c>
      <c r="BD22" s="566">
        <f>IF(ISNUMBER(System!$C23),PlotData!O23, PlotData!$CB$4)</f>
        <v>2.7293310000000002</v>
      </c>
      <c r="BE22" s="567">
        <f>IF(ISNUMBER(System!$C23), AR22,PlotData!$CB$4)</f>
        <v>2.7293310000000002</v>
      </c>
    </row>
    <row r="23" spans="1:57" x14ac:dyDescent="0.35">
      <c r="A23" s="609">
        <v>21</v>
      </c>
      <c r="B23" s="565"/>
      <c r="C23" s="566"/>
      <c r="D23" s="566"/>
      <c r="E23" s="566"/>
      <c r="F23" s="566"/>
      <c r="G23" s="566"/>
      <c r="H23" s="566"/>
      <c r="I23" s="566"/>
      <c r="J23" s="566"/>
      <c r="K23" s="566"/>
      <c r="L23" s="567"/>
      <c r="N23" s="609">
        <v>21</v>
      </c>
      <c r="O23" s="565"/>
      <c r="P23" s="566"/>
      <c r="Q23" s="566"/>
      <c r="R23" s="566"/>
      <c r="S23" s="566"/>
      <c r="T23" s="566"/>
      <c r="U23" s="566"/>
      <c r="V23" s="566"/>
      <c r="W23" s="566"/>
      <c r="X23" s="566"/>
      <c r="Y23" s="567"/>
      <c r="AA23" s="580">
        <v>21</v>
      </c>
      <c r="AB23" s="565">
        <f>IF(ISNUMBER(System!$C24),PlotData!B24+SensA!$E$2* $AF$1*B23,PlotData!$CB$3)</f>
        <v>12.15</v>
      </c>
      <c r="AC23" s="566">
        <f>IF(ISNUMBER(System!$C24),PlotData!C24+SensA!$E$2* $AF$1*C23,PlotData!$CB$3)</f>
        <v>12.4950817</v>
      </c>
      <c r="AD23" s="566">
        <f>IF(ISNUMBER(System!$C24),PlotData!D24+SensA!$E$2* $AF$1*D23,PlotData!$CB$3)</f>
        <v>12.8401634</v>
      </c>
      <c r="AE23" s="566">
        <f>IF(ISNUMBER(System!$C24),PlotData!E24+SensA!$E$2* $AF$1*E23,PlotData!$CB$3)</f>
        <v>13.185245099999999</v>
      </c>
      <c r="AF23" s="566">
        <f>IF(ISNUMBER(System!$C24),PlotData!F24+SensA!$E$2* $AF$1*F23,PlotData!$CB$3)</f>
        <v>13.530326799999999</v>
      </c>
      <c r="AG23" s="566">
        <f>IF(ISNUMBER(System!$C24),PlotData!G24+SensA!$E$2* $AF$1*G23,PlotData!$CB$3)</f>
        <v>13.875408499999999</v>
      </c>
      <c r="AH23" s="566">
        <f>IF(ISNUMBER(System!$C24),PlotData!H24+SensA!$E$2* $AF$1*H23,PlotData!$CB$3)</f>
        <v>14.220490199999999</v>
      </c>
      <c r="AI23" s="566">
        <f>IF(ISNUMBER(System!$C24),PlotData!I24+SensA!$E$2* $AF$1*I23,PlotData!$CB$3)</f>
        <v>14.565571899999998</v>
      </c>
      <c r="AJ23" s="566">
        <f>IF(ISNUMBER(System!$C24),PlotData!J24+SensA!$E$2* $AF$1*J23,PlotData!$CB$3)</f>
        <v>14.910653599999998</v>
      </c>
      <c r="AK23" s="566">
        <f>IF(ISNUMBER(System!$C24),PlotData!K24+SensA!$E$2* $AF$1*K23,PlotData!$CB$3)</f>
        <v>15.255735299999998</v>
      </c>
      <c r="AL23" s="567">
        <f>IF(ISNUMBER(System!$C24),PlotData!L24+SensA!$E$2* $AF$1*L23,PlotData!$CB$3)</f>
        <v>15.600816999999997</v>
      </c>
      <c r="AM23" s="607">
        <f>IF(ISNUMBER(System!$C24),PlotData!L24,PlotData!$CB$3)</f>
        <v>15.600816999999997</v>
      </c>
      <c r="AN23" s="566">
        <f>IF(ISNUMBER(System!$C24),PlotData!B24,PlotData!$CB$3)</f>
        <v>12.15</v>
      </c>
      <c r="AO23" s="447">
        <f>IF(ISNUMBER(System!$C24),AB23,PlotData!$CB$3)</f>
        <v>12.15</v>
      </c>
      <c r="AQ23" s="580">
        <v>21</v>
      </c>
      <c r="AR23" s="565">
        <f>IF(ISNUMBER(System!$C24),PlotData!O24+ SensA!$E$2*$AF$1*O23,PlotData!$CB$4)</f>
        <v>0.9</v>
      </c>
      <c r="AS23" s="566">
        <f>IF(ISNUMBER(System!$C24),PlotData!P24+ SensA!$E$2*$AF$1*P23,PlotData!$CB$4)</f>
        <v>0.89998359999999999</v>
      </c>
      <c r="AT23" s="566">
        <f>IF(ISNUMBER(System!$C24),PlotData!Q24+ SensA!$E$2*$AF$1*Q23,PlotData!$CB$4)</f>
        <v>0.89996719999999997</v>
      </c>
      <c r="AU23" s="566">
        <f>IF(ISNUMBER(System!$C24),PlotData!R24+ SensA!$E$2*$AF$1*R23,PlotData!$CB$4)</f>
        <v>0.89995079999999994</v>
      </c>
      <c r="AV23" s="566">
        <f>IF(ISNUMBER(System!$C24),PlotData!S24+ SensA!$E$2*$AF$1*S23,PlotData!$CB$4)</f>
        <v>0.89993439999999991</v>
      </c>
      <c r="AW23" s="566">
        <f>IF(ISNUMBER(System!$C24),PlotData!T24+ SensA!$E$2*$AF$1*T23,PlotData!$CB$4)</f>
        <v>0.89991799999999988</v>
      </c>
      <c r="AX23" s="566">
        <f>IF(ISNUMBER(System!$C24),PlotData!U24+ SensA!$E$2*$AF$1*U23,PlotData!$CB$4)</f>
        <v>0.89990159999999986</v>
      </c>
      <c r="AY23" s="566">
        <f>IF(ISNUMBER(System!$C24),PlotData!V24+ SensA!$E$2*$AF$1*V23,PlotData!$CB$4)</f>
        <v>0.89988519999999983</v>
      </c>
      <c r="AZ23" s="566">
        <f>IF(ISNUMBER(System!$C24),PlotData!W24+ SensA!$E$2*$AF$1*W23,PlotData!$CB$4)</f>
        <v>0.8998687999999998</v>
      </c>
      <c r="BA23" s="566">
        <f>IF(ISNUMBER(System!$C24),PlotData!X24+ SensA!$E$2*$AF$1*X23,PlotData!$CB$4)</f>
        <v>0.89985239999999977</v>
      </c>
      <c r="BB23" s="567">
        <f>IF(ISNUMBER(System!$C24),PlotData!Y24+ SensA!$E$2*$AF$1*Y23,PlotData!$CB$4)</f>
        <v>0.89983599999999975</v>
      </c>
      <c r="BC23" s="607">
        <f>IF(ISNUMBER(System!$C24),PlotData!Y24, PlotData!CB$4)</f>
        <v>0.89983599999999975</v>
      </c>
      <c r="BD23" s="566">
        <f>IF(ISNUMBER(System!$C24),PlotData!O24, PlotData!$CB$4)</f>
        <v>0.9</v>
      </c>
      <c r="BE23" s="567">
        <f>IF(ISNUMBER(System!$C24), AR23,PlotData!$CB$4)</f>
        <v>0.9</v>
      </c>
    </row>
    <row r="24" spans="1:57" x14ac:dyDescent="0.35">
      <c r="A24" s="609">
        <v>22</v>
      </c>
      <c r="B24" s="565"/>
      <c r="C24" s="566"/>
      <c r="D24" s="566"/>
      <c r="E24" s="566"/>
      <c r="F24" s="566"/>
      <c r="G24" s="566"/>
      <c r="H24" s="566"/>
      <c r="I24" s="566"/>
      <c r="J24" s="566"/>
      <c r="K24" s="566"/>
      <c r="L24" s="567"/>
      <c r="N24" s="609">
        <v>22</v>
      </c>
      <c r="O24" s="565"/>
      <c r="P24" s="566"/>
      <c r="Q24" s="566"/>
      <c r="R24" s="566"/>
      <c r="S24" s="566"/>
      <c r="T24" s="566"/>
      <c r="U24" s="566"/>
      <c r="V24" s="566"/>
      <c r="W24" s="566"/>
      <c r="X24" s="566"/>
      <c r="Y24" s="567"/>
      <c r="AA24" s="580">
        <v>22</v>
      </c>
      <c r="AB24" s="565">
        <f>IF(ISNUMBER(System!$C25),PlotData!B25+SensA!$E$2* $AF$1*B24,PlotData!$CB$3)</f>
        <v>12.15</v>
      </c>
      <c r="AC24" s="566">
        <f>IF(ISNUMBER(System!$C25),PlotData!C25+SensA!$E$2* $AF$1*C24,PlotData!$CB$3)</f>
        <v>12.6300001</v>
      </c>
      <c r="AD24" s="566">
        <f>IF(ISNUMBER(System!$C25),PlotData!D25+SensA!$E$2* $AF$1*D24,PlotData!$CB$3)</f>
        <v>13.1100002</v>
      </c>
      <c r="AE24" s="566">
        <f>IF(ISNUMBER(System!$C25),PlotData!E25+SensA!$E$2* $AF$1*E24,PlotData!$CB$3)</f>
        <v>13.5900003</v>
      </c>
      <c r="AF24" s="566">
        <f>IF(ISNUMBER(System!$C25),PlotData!F25+SensA!$E$2* $AF$1*F24,PlotData!$CB$3)</f>
        <v>14.0700004</v>
      </c>
      <c r="AG24" s="566">
        <f>IF(ISNUMBER(System!$C25),PlotData!G25+SensA!$E$2* $AF$1*G24,PlotData!$CB$3)</f>
        <v>14.550000499999999</v>
      </c>
      <c r="AH24" s="566">
        <f>IF(ISNUMBER(System!$C25),PlotData!H25+SensA!$E$2* $AF$1*H24,PlotData!$CB$3)</f>
        <v>15.030000599999999</v>
      </c>
      <c r="AI24" s="566">
        <f>IF(ISNUMBER(System!$C25),PlotData!I25+SensA!$E$2* $AF$1*I24,PlotData!$CB$3)</f>
        <v>15.510000699999999</v>
      </c>
      <c r="AJ24" s="566">
        <f>IF(ISNUMBER(System!$C25),PlotData!J25+SensA!$E$2* $AF$1*J24,PlotData!$CB$3)</f>
        <v>15.990000799999999</v>
      </c>
      <c r="AK24" s="566">
        <f>IF(ISNUMBER(System!$C25),PlotData!K25+SensA!$E$2* $AF$1*K24,PlotData!$CB$3)</f>
        <v>16.470000899999999</v>
      </c>
      <c r="AL24" s="567">
        <f>IF(ISNUMBER(System!$C25),PlotData!L25+SensA!$E$2* $AF$1*L24,PlotData!$CB$3)</f>
        <v>16.950001</v>
      </c>
      <c r="AM24" s="607">
        <f>IF(ISNUMBER(System!$C25),PlotData!L25,PlotData!$CB$3)</f>
        <v>16.950001</v>
      </c>
      <c r="AN24" s="566">
        <f>IF(ISNUMBER(System!$C25),PlotData!B25,PlotData!$CB$3)</f>
        <v>12.15</v>
      </c>
      <c r="AO24" s="447">
        <f>IF(ISNUMBER(System!$C25),AB24,PlotData!$CB$3)</f>
        <v>12.15</v>
      </c>
      <c r="AQ24" s="580">
        <v>22</v>
      </c>
      <c r="AR24" s="565">
        <f>IF(ISNUMBER(System!$C25),PlotData!O25+ SensA!$E$2*$AF$1*O24,PlotData!$CB$4)</f>
        <v>0.9</v>
      </c>
      <c r="AS24" s="566">
        <f>IF(ISNUMBER(System!$C25),PlotData!P25+ SensA!$E$2*$AF$1*P24,PlotData!$CB$4)</f>
        <v>0.6</v>
      </c>
      <c r="AT24" s="566">
        <f>IF(ISNUMBER(System!$C25),PlotData!Q25+ SensA!$E$2*$AF$1*Q24,PlotData!$CB$4)</f>
        <v>0.29999999999999993</v>
      </c>
      <c r="AU24" s="566">
        <f>IF(ISNUMBER(System!$C25),PlotData!R25+ SensA!$E$2*$AF$1*R24,PlotData!$CB$4)</f>
        <v>-1.1102230246251565E-16</v>
      </c>
      <c r="AV24" s="566">
        <f>IF(ISNUMBER(System!$C25),PlotData!S25+ SensA!$E$2*$AF$1*S24,PlotData!$CB$4)</f>
        <v>-0.30000000000000016</v>
      </c>
      <c r="AW24" s="566">
        <f>IF(ISNUMBER(System!$C25),PlotData!T25+ SensA!$E$2*$AF$1*T24,PlotData!$CB$4)</f>
        <v>-0.6000000000000002</v>
      </c>
      <c r="AX24" s="566">
        <f>IF(ISNUMBER(System!$C25),PlotData!U25+ SensA!$E$2*$AF$1*U24,PlotData!$CB$4)</f>
        <v>-0.90000000000000024</v>
      </c>
      <c r="AY24" s="566">
        <f>IF(ISNUMBER(System!$C25),PlotData!V25+ SensA!$E$2*$AF$1*V24,PlotData!$CB$4)</f>
        <v>-1.2000000000000002</v>
      </c>
      <c r="AZ24" s="566">
        <f>IF(ISNUMBER(System!$C25),PlotData!W25+ SensA!$E$2*$AF$1*W24,PlotData!$CB$4)</f>
        <v>-1.5000000000000002</v>
      </c>
      <c r="BA24" s="566">
        <f>IF(ISNUMBER(System!$C25),PlotData!X25+ SensA!$E$2*$AF$1*X24,PlotData!$CB$4)</f>
        <v>-1.8000000000000003</v>
      </c>
      <c r="BB24" s="567">
        <f>IF(ISNUMBER(System!$C25),PlotData!Y25+ SensA!$E$2*$AF$1*Y24,PlotData!$CB$4)</f>
        <v>-2.1000000000000005</v>
      </c>
      <c r="BC24" s="607">
        <f>IF(ISNUMBER(System!$C25),PlotData!Y25, PlotData!CB$4)</f>
        <v>-2.1000000000000005</v>
      </c>
      <c r="BD24" s="566">
        <f>IF(ISNUMBER(System!$C25),PlotData!O25, PlotData!$CB$4)</f>
        <v>0.9</v>
      </c>
      <c r="BE24" s="567">
        <f>IF(ISNUMBER(System!$C25), AR24,PlotData!$CB$4)</f>
        <v>0.9</v>
      </c>
    </row>
    <row r="25" spans="1:57" x14ac:dyDescent="0.35">
      <c r="A25" s="609">
        <v>23</v>
      </c>
      <c r="B25" s="565"/>
      <c r="C25" s="566"/>
      <c r="D25" s="566"/>
      <c r="E25" s="566"/>
      <c r="F25" s="566"/>
      <c r="G25" s="566"/>
      <c r="H25" s="566"/>
      <c r="I25" s="566"/>
      <c r="J25" s="566"/>
      <c r="K25" s="566"/>
      <c r="L25" s="567"/>
      <c r="N25" s="609">
        <v>23</v>
      </c>
      <c r="O25" s="565"/>
      <c r="P25" s="566"/>
      <c r="Q25" s="566"/>
      <c r="R25" s="566"/>
      <c r="S25" s="566"/>
      <c r="T25" s="566"/>
      <c r="U25" s="566"/>
      <c r="V25" s="566"/>
      <c r="W25" s="566"/>
      <c r="X25" s="566"/>
      <c r="Y25" s="567"/>
      <c r="AA25" s="580">
        <v>23</v>
      </c>
      <c r="AB25" s="565">
        <f>IF(ISNUMBER(System!$C26),PlotData!B26+SensA!$E$2* $AF$1*B25,PlotData!$CB$3)</f>
        <v>21.75</v>
      </c>
      <c r="AC25" s="566">
        <f>IF(ISNUMBER(System!$C26),PlotData!C26+SensA!$E$2* $AF$1*C25,PlotData!$CB$3)</f>
        <v>21.270000100000001</v>
      </c>
      <c r="AD25" s="566">
        <f>IF(ISNUMBER(System!$C26),PlotData!D26+SensA!$E$2* $AF$1*D25,PlotData!$CB$3)</f>
        <v>20.790000200000001</v>
      </c>
      <c r="AE25" s="566">
        <f>IF(ISNUMBER(System!$C26),PlotData!E26+SensA!$E$2* $AF$1*E25,PlotData!$CB$3)</f>
        <v>20.310000300000002</v>
      </c>
      <c r="AF25" s="566">
        <f>IF(ISNUMBER(System!$C26),PlotData!F26+SensA!$E$2* $AF$1*F25,PlotData!$CB$3)</f>
        <v>19.830000400000003</v>
      </c>
      <c r="AG25" s="566">
        <f>IF(ISNUMBER(System!$C26),PlotData!G26+SensA!$E$2* $AF$1*G25,PlotData!$CB$3)</f>
        <v>19.350000500000004</v>
      </c>
      <c r="AH25" s="566">
        <f>IF(ISNUMBER(System!$C26),PlotData!H26+SensA!$E$2* $AF$1*H25,PlotData!$CB$3)</f>
        <v>18.870000600000004</v>
      </c>
      <c r="AI25" s="566">
        <f>IF(ISNUMBER(System!$C26),PlotData!I26+SensA!$E$2* $AF$1*I25,PlotData!$CB$3)</f>
        <v>18.390000700000005</v>
      </c>
      <c r="AJ25" s="566">
        <f>IF(ISNUMBER(System!$C26),PlotData!J26+SensA!$E$2* $AF$1*J25,PlotData!$CB$3)</f>
        <v>17.910000800000006</v>
      </c>
      <c r="AK25" s="566">
        <f>IF(ISNUMBER(System!$C26),PlotData!K26+SensA!$E$2* $AF$1*K25,PlotData!$CB$3)</f>
        <v>17.430000900000007</v>
      </c>
      <c r="AL25" s="567">
        <f>IF(ISNUMBER(System!$C26),PlotData!L26+SensA!$E$2* $AF$1*L25,PlotData!$CB$3)</f>
        <v>16.950001000000007</v>
      </c>
      <c r="AM25" s="607">
        <f>IF(ISNUMBER(System!$C26),PlotData!L26,PlotData!$CB$3)</f>
        <v>16.950001000000007</v>
      </c>
      <c r="AN25" s="566">
        <f>IF(ISNUMBER(System!$C26),PlotData!B26,PlotData!$CB$3)</f>
        <v>21.75</v>
      </c>
      <c r="AO25" s="447">
        <f>IF(ISNUMBER(System!$C26),AB25,PlotData!$CB$3)</f>
        <v>21.75</v>
      </c>
      <c r="AQ25" s="580">
        <v>23</v>
      </c>
      <c r="AR25" s="565">
        <f>IF(ISNUMBER(System!$C26),PlotData!O26+ SensA!$E$2*$AF$1*O25,PlotData!$CB$4)</f>
        <v>0.9</v>
      </c>
      <c r="AS25" s="566">
        <f>IF(ISNUMBER(System!$C26),PlotData!P26+ SensA!$E$2*$AF$1*P25,PlotData!$CB$4)</f>
        <v>0.6</v>
      </c>
      <c r="AT25" s="566">
        <f>IF(ISNUMBER(System!$C26),PlotData!Q26+ SensA!$E$2*$AF$1*Q25,PlotData!$CB$4)</f>
        <v>0.29999999999999993</v>
      </c>
      <c r="AU25" s="566">
        <f>IF(ISNUMBER(System!$C26),PlotData!R26+ SensA!$E$2*$AF$1*R25,PlotData!$CB$4)</f>
        <v>-1.1102230246251565E-16</v>
      </c>
      <c r="AV25" s="566">
        <f>IF(ISNUMBER(System!$C26),PlotData!S26+ SensA!$E$2*$AF$1*S25,PlotData!$CB$4)</f>
        <v>-0.30000000000000016</v>
      </c>
      <c r="AW25" s="566">
        <f>IF(ISNUMBER(System!$C26),PlotData!T26+ SensA!$E$2*$AF$1*T25,PlotData!$CB$4)</f>
        <v>-0.6000000000000002</v>
      </c>
      <c r="AX25" s="566">
        <f>IF(ISNUMBER(System!$C26),PlotData!U26+ SensA!$E$2*$AF$1*U25,PlotData!$CB$4)</f>
        <v>-0.90000000000000024</v>
      </c>
      <c r="AY25" s="566">
        <f>IF(ISNUMBER(System!$C26),PlotData!V26+ SensA!$E$2*$AF$1*V25,PlotData!$CB$4)</f>
        <v>-1.2000000000000002</v>
      </c>
      <c r="AZ25" s="566">
        <f>IF(ISNUMBER(System!$C26),PlotData!W26+ SensA!$E$2*$AF$1*W25,PlotData!$CB$4)</f>
        <v>-1.5000000000000002</v>
      </c>
      <c r="BA25" s="566">
        <f>IF(ISNUMBER(System!$C26),PlotData!X26+ SensA!$E$2*$AF$1*X25,PlotData!$CB$4)</f>
        <v>-1.8000000000000003</v>
      </c>
      <c r="BB25" s="567">
        <f>IF(ISNUMBER(System!$C26),PlotData!Y26+ SensA!$E$2*$AF$1*Y25,PlotData!$CB$4)</f>
        <v>-2.1000000000000005</v>
      </c>
      <c r="BC25" s="607">
        <f>IF(ISNUMBER(System!$C26),PlotData!Y26, PlotData!CB$4)</f>
        <v>-2.1000000000000005</v>
      </c>
      <c r="BD25" s="566">
        <f>IF(ISNUMBER(System!$C26),PlotData!O26, PlotData!$CB$4)</f>
        <v>0.9</v>
      </c>
      <c r="BE25" s="567">
        <f>IF(ISNUMBER(System!$C26), AR25,PlotData!$CB$4)</f>
        <v>0.9</v>
      </c>
    </row>
    <row r="26" spans="1:57" x14ac:dyDescent="0.35">
      <c r="A26" s="609">
        <v>24</v>
      </c>
      <c r="B26" s="565"/>
      <c r="C26" s="566"/>
      <c r="D26" s="566"/>
      <c r="E26" s="566"/>
      <c r="F26" s="566"/>
      <c r="G26" s="566"/>
      <c r="H26" s="566"/>
      <c r="I26" s="566"/>
      <c r="J26" s="566"/>
      <c r="K26" s="566"/>
      <c r="L26" s="567"/>
      <c r="N26" s="609">
        <v>24</v>
      </c>
      <c r="O26" s="565"/>
      <c r="P26" s="566"/>
      <c r="Q26" s="566"/>
      <c r="R26" s="566"/>
      <c r="S26" s="566"/>
      <c r="T26" s="566"/>
      <c r="U26" s="566"/>
      <c r="V26" s="566"/>
      <c r="W26" s="566"/>
      <c r="X26" s="566"/>
      <c r="Y26" s="567"/>
      <c r="AA26" s="580">
        <v>24</v>
      </c>
      <c r="AB26" s="565">
        <f>IF(ISNUMBER(System!$C27),PlotData!B27+SensA!$E$2* $AF$1*B26,PlotData!$CB$3)</f>
        <v>16.950001</v>
      </c>
      <c r="AC26" s="566">
        <f>IF(ISNUMBER(System!$C27),PlotData!C27+SensA!$E$2* $AF$1*C26,PlotData!$CB$3)</f>
        <v>17.087176500000002</v>
      </c>
      <c r="AD26" s="566">
        <f>IF(ISNUMBER(System!$C27),PlotData!D27+SensA!$E$2* $AF$1*D26,PlotData!$CB$3)</f>
        <v>17.224352000000003</v>
      </c>
      <c r="AE26" s="566">
        <f>IF(ISNUMBER(System!$C27),PlotData!E27+SensA!$E$2* $AF$1*E26,PlotData!$CB$3)</f>
        <v>17.361527500000005</v>
      </c>
      <c r="AF26" s="566">
        <f>IF(ISNUMBER(System!$C27),PlotData!F27+SensA!$E$2* $AF$1*F26,PlotData!$CB$3)</f>
        <v>17.498703000000006</v>
      </c>
      <c r="AG26" s="566">
        <f>IF(ISNUMBER(System!$C27),PlotData!G27+SensA!$E$2* $AF$1*G26,PlotData!$CB$3)</f>
        <v>17.635878500000008</v>
      </c>
      <c r="AH26" s="566">
        <f>IF(ISNUMBER(System!$C27),PlotData!H27+SensA!$E$2* $AF$1*H26,PlotData!$CB$3)</f>
        <v>17.773054000000009</v>
      </c>
      <c r="AI26" s="566">
        <f>IF(ISNUMBER(System!$C27),PlotData!I27+SensA!$E$2* $AF$1*I26,PlotData!$CB$3)</f>
        <v>17.91022950000001</v>
      </c>
      <c r="AJ26" s="566">
        <f>IF(ISNUMBER(System!$C27),PlotData!J27+SensA!$E$2* $AF$1*J26,PlotData!$CB$3)</f>
        <v>18.047405000000012</v>
      </c>
      <c r="AK26" s="566">
        <f>IF(ISNUMBER(System!$C27),PlotData!K27+SensA!$E$2* $AF$1*K26,PlotData!$CB$3)</f>
        <v>18.184580500000013</v>
      </c>
      <c r="AL26" s="567">
        <f>IF(ISNUMBER(System!$C27),PlotData!L27+SensA!$E$2* $AF$1*L26,PlotData!$CB$3)</f>
        <v>18.321756000000015</v>
      </c>
      <c r="AM26" s="607">
        <f>IF(ISNUMBER(System!$C27),PlotData!L27,PlotData!$CB$3)</f>
        <v>18.321756000000015</v>
      </c>
      <c r="AN26" s="566">
        <f>IF(ISNUMBER(System!$C27),PlotData!B27,PlotData!$CB$3)</f>
        <v>16.950001</v>
      </c>
      <c r="AO26" s="447">
        <f>IF(ISNUMBER(System!$C27),AB26,PlotData!$CB$3)</f>
        <v>16.950001</v>
      </c>
      <c r="AQ26" s="580">
        <v>24</v>
      </c>
      <c r="AR26" s="565">
        <f>IF(ISNUMBER(System!$C27),PlotData!O27+ SensA!$E$2*$AF$1*O26,PlotData!$CB$4)</f>
        <v>0.9</v>
      </c>
      <c r="AS26" s="566">
        <f>IF(ISNUMBER(System!$C27),PlotData!P27+ SensA!$E$2*$AF$1*P26,PlotData!$CB$4)</f>
        <v>0.89998359999999999</v>
      </c>
      <c r="AT26" s="566">
        <f>IF(ISNUMBER(System!$C27),PlotData!Q27+ SensA!$E$2*$AF$1*Q26,PlotData!$CB$4)</f>
        <v>0.89996719999999997</v>
      </c>
      <c r="AU26" s="566">
        <f>IF(ISNUMBER(System!$C27),PlotData!R27+ SensA!$E$2*$AF$1*R26,PlotData!$CB$4)</f>
        <v>0.89995079999999994</v>
      </c>
      <c r="AV26" s="566">
        <f>IF(ISNUMBER(System!$C27),PlotData!S27+ SensA!$E$2*$AF$1*S26,PlotData!$CB$4)</f>
        <v>0.89993439999999991</v>
      </c>
      <c r="AW26" s="566">
        <f>IF(ISNUMBER(System!$C27),PlotData!T27+ SensA!$E$2*$AF$1*T26,PlotData!$CB$4)</f>
        <v>0.89991799999999988</v>
      </c>
      <c r="AX26" s="566">
        <f>IF(ISNUMBER(System!$C27),PlotData!U27+ SensA!$E$2*$AF$1*U26,PlotData!$CB$4)</f>
        <v>0.89990159999999986</v>
      </c>
      <c r="AY26" s="566">
        <f>IF(ISNUMBER(System!$C27),PlotData!V27+ SensA!$E$2*$AF$1*V26,PlotData!$CB$4)</f>
        <v>0.89988519999999983</v>
      </c>
      <c r="AZ26" s="566">
        <f>IF(ISNUMBER(System!$C27),PlotData!W27+ SensA!$E$2*$AF$1*W26,PlotData!$CB$4)</f>
        <v>0.8998687999999998</v>
      </c>
      <c r="BA26" s="566">
        <f>IF(ISNUMBER(System!$C27),PlotData!X27+ SensA!$E$2*$AF$1*X26,PlotData!$CB$4)</f>
        <v>0.89985239999999977</v>
      </c>
      <c r="BB26" s="567">
        <f>IF(ISNUMBER(System!$C27),PlotData!Y27+ SensA!$E$2*$AF$1*Y26,PlotData!$CB$4)</f>
        <v>0.89983599999999975</v>
      </c>
      <c r="BC26" s="607">
        <f>IF(ISNUMBER(System!$C27),PlotData!Y27, PlotData!CB$4)</f>
        <v>0.89983599999999975</v>
      </c>
      <c r="BD26" s="566">
        <f>IF(ISNUMBER(System!$C27),PlotData!O27, PlotData!$CB$4)</f>
        <v>0.9</v>
      </c>
      <c r="BE26" s="567">
        <f>IF(ISNUMBER(System!$C27), AR26,PlotData!$CB$4)</f>
        <v>0.9</v>
      </c>
    </row>
    <row r="27" spans="1:57" x14ac:dyDescent="0.35">
      <c r="A27" s="609">
        <v>25</v>
      </c>
      <c r="B27" s="565"/>
      <c r="C27" s="566"/>
      <c r="D27" s="566"/>
      <c r="E27" s="566"/>
      <c r="F27" s="566"/>
      <c r="G27" s="566"/>
      <c r="H27" s="566"/>
      <c r="I27" s="566"/>
      <c r="J27" s="566"/>
      <c r="K27" s="566"/>
      <c r="L27" s="567"/>
      <c r="N27" s="609">
        <v>25</v>
      </c>
      <c r="O27" s="565"/>
      <c r="P27" s="566"/>
      <c r="Q27" s="566"/>
      <c r="R27" s="566"/>
      <c r="S27" s="566"/>
      <c r="T27" s="566"/>
      <c r="U27" s="566"/>
      <c r="V27" s="566"/>
      <c r="W27" s="566"/>
      <c r="X27" s="566"/>
      <c r="Y27" s="567"/>
      <c r="AA27" s="580">
        <v>25</v>
      </c>
      <c r="AB27" s="565">
        <f>IF(ISNUMBER(System!$C28),PlotData!B28+SensA!$E$2* $AF$1*B27,PlotData!$CB$3)</f>
        <v>16.350000000000001</v>
      </c>
      <c r="AC27" s="566">
        <f>IF(ISNUMBER(System!$C28),PlotData!C28+SensA!$E$2* $AF$1*C27,PlotData!$CB$3)</f>
        <v>16.358565000000002</v>
      </c>
      <c r="AD27" s="566">
        <f>IF(ISNUMBER(System!$C28),PlotData!D28+SensA!$E$2* $AF$1*D27,PlotData!$CB$3)</f>
        <v>16.367130000000003</v>
      </c>
      <c r="AE27" s="566">
        <f>IF(ISNUMBER(System!$C28),PlotData!E28+SensA!$E$2* $AF$1*E27,PlotData!$CB$3)</f>
        <v>16.375695000000004</v>
      </c>
      <c r="AF27" s="566">
        <f>IF(ISNUMBER(System!$C28),PlotData!F28+SensA!$E$2* $AF$1*F27,PlotData!$CB$3)</f>
        <v>16.384260000000005</v>
      </c>
      <c r="AG27" s="566">
        <f>IF(ISNUMBER(System!$C28),PlotData!G28+SensA!$E$2* $AF$1*G27,PlotData!$CB$3)</f>
        <v>16.392825000000006</v>
      </c>
      <c r="AH27" s="566">
        <f>IF(ISNUMBER(System!$C28),PlotData!H28+SensA!$E$2* $AF$1*H27,PlotData!$CB$3)</f>
        <v>16.401390000000006</v>
      </c>
      <c r="AI27" s="566">
        <f>IF(ISNUMBER(System!$C28),PlotData!I28+SensA!$E$2* $AF$1*I27,PlotData!$CB$3)</f>
        <v>16.409955000000007</v>
      </c>
      <c r="AJ27" s="566">
        <f>IF(ISNUMBER(System!$C28),PlotData!J28+SensA!$E$2* $AF$1*J27,PlotData!$CB$3)</f>
        <v>16.418520000000008</v>
      </c>
      <c r="AK27" s="566">
        <f>IF(ISNUMBER(System!$C28),PlotData!K28+SensA!$E$2* $AF$1*K27,PlotData!$CB$3)</f>
        <v>16.427085000000009</v>
      </c>
      <c r="AL27" s="567">
        <f>IF(ISNUMBER(System!$C28),PlotData!L28+SensA!$E$2* $AF$1*L27,PlotData!$CB$3)</f>
        <v>16.43565000000001</v>
      </c>
      <c r="AM27" s="607">
        <f>IF(ISNUMBER(System!$C28),PlotData!L28,PlotData!$CB$3)</f>
        <v>16.43565000000001</v>
      </c>
      <c r="AN27" s="566">
        <f>IF(ISNUMBER(System!$C28),PlotData!B28,PlotData!$CB$3)</f>
        <v>16.350000000000001</v>
      </c>
      <c r="AO27" s="447">
        <f>IF(ISNUMBER(System!$C28),AB27,PlotData!$CB$3)</f>
        <v>16.350000000000001</v>
      </c>
      <c r="AQ27" s="580">
        <v>25</v>
      </c>
      <c r="AR27" s="565">
        <f>IF(ISNUMBER(System!$C28),PlotData!O28+ SensA!$E$2*$AF$1*O27,PlotData!$CB$4)</f>
        <v>3.6</v>
      </c>
      <c r="AS27" s="566">
        <f>IF(ISNUMBER(System!$C28),PlotData!P28+ SensA!$E$2*$AF$1*P27,PlotData!$CB$4)</f>
        <v>3.5129331000000001</v>
      </c>
      <c r="AT27" s="566">
        <f>IF(ISNUMBER(System!$C28),PlotData!Q28+ SensA!$E$2*$AF$1*Q27,PlotData!$CB$4)</f>
        <v>3.4258662000000002</v>
      </c>
      <c r="AU27" s="566">
        <f>IF(ISNUMBER(System!$C28),PlotData!R28+ SensA!$E$2*$AF$1*R27,PlotData!$CB$4)</f>
        <v>3.3387993000000002</v>
      </c>
      <c r="AV27" s="566">
        <f>IF(ISNUMBER(System!$C28),PlotData!S28+ SensA!$E$2*$AF$1*S27,PlotData!$CB$4)</f>
        <v>3.2517324000000003</v>
      </c>
      <c r="AW27" s="566">
        <f>IF(ISNUMBER(System!$C28),PlotData!T28+ SensA!$E$2*$AF$1*T27,PlotData!$CB$4)</f>
        <v>3.1646655000000004</v>
      </c>
      <c r="AX27" s="566">
        <f>IF(ISNUMBER(System!$C28),PlotData!U28+ SensA!$E$2*$AF$1*U27,PlotData!$CB$4)</f>
        <v>3.0775986000000004</v>
      </c>
      <c r="AY27" s="566">
        <f>IF(ISNUMBER(System!$C28),PlotData!V28+ SensA!$E$2*$AF$1*V27,PlotData!$CB$4)</f>
        <v>2.9905317000000005</v>
      </c>
      <c r="AZ27" s="566">
        <f>IF(ISNUMBER(System!$C28),PlotData!W28+ SensA!$E$2*$AF$1*W27,PlotData!$CB$4)</f>
        <v>2.9034648000000005</v>
      </c>
      <c r="BA27" s="566">
        <f>IF(ISNUMBER(System!$C28),PlotData!X28+ SensA!$E$2*$AF$1*X27,PlotData!$CB$4)</f>
        <v>2.8163979000000006</v>
      </c>
      <c r="BB27" s="567">
        <f>IF(ISNUMBER(System!$C28),PlotData!Y28+ SensA!$E$2*$AF$1*Y27,PlotData!$CB$4)</f>
        <v>2.7293310000000006</v>
      </c>
      <c r="BC27" s="607">
        <f>IF(ISNUMBER(System!$C28),PlotData!Y28, PlotData!CB$4)</f>
        <v>2.7293310000000006</v>
      </c>
      <c r="BD27" s="566">
        <f>IF(ISNUMBER(System!$C28),PlotData!O28, PlotData!$CB$4)</f>
        <v>3.6</v>
      </c>
      <c r="BE27" s="567">
        <f>IF(ISNUMBER(System!$C28), AR27,PlotData!$CB$4)</f>
        <v>3.6</v>
      </c>
    </row>
    <row r="28" spans="1:57" x14ac:dyDescent="0.35">
      <c r="A28" s="609">
        <v>26</v>
      </c>
      <c r="B28" s="565"/>
      <c r="C28" s="566"/>
      <c r="D28" s="566"/>
      <c r="E28" s="566"/>
      <c r="F28" s="566"/>
      <c r="G28" s="566"/>
      <c r="H28" s="566"/>
      <c r="I28" s="566"/>
      <c r="J28" s="566"/>
      <c r="K28" s="566"/>
      <c r="L28" s="567"/>
      <c r="N28" s="609">
        <v>26</v>
      </c>
      <c r="O28" s="565"/>
      <c r="P28" s="566"/>
      <c r="Q28" s="566"/>
      <c r="R28" s="566"/>
      <c r="S28" s="566"/>
      <c r="T28" s="566"/>
      <c r="U28" s="566"/>
      <c r="V28" s="566"/>
      <c r="W28" s="566"/>
      <c r="X28" s="566"/>
      <c r="Y28" s="567"/>
      <c r="AA28" s="580">
        <v>26</v>
      </c>
      <c r="AB28" s="565">
        <f>IF(ISNUMBER(System!$C29),PlotData!B29+SensA!$E$2* $AF$1*B28,PlotData!$CB$3)</f>
        <v>17.549999</v>
      </c>
      <c r="AC28" s="566">
        <f>IF(ISNUMBER(System!$C29),PlotData!C29+SensA!$E$2* $AF$1*C28,PlotData!$CB$3)</f>
        <v>17.540599399999998</v>
      </c>
      <c r="AD28" s="566">
        <f>IF(ISNUMBER(System!$C29),PlotData!D29+SensA!$E$2* $AF$1*D28,PlotData!$CB$3)</f>
        <v>17.531199799999996</v>
      </c>
      <c r="AE28" s="566">
        <f>IF(ISNUMBER(System!$C29),PlotData!E29+SensA!$E$2* $AF$1*E28,PlotData!$CB$3)</f>
        <v>17.521800199999994</v>
      </c>
      <c r="AF28" s="566">
        <f>IF(ISNUMBER(System!$C29),PlotData!F29+SensA!$E$2* $AF$1*F28,PlotData!$CB$3)</f>
        <v>17.512400599999992</v>
      </c>
      <c r="AG28" s="566">
        <f>IF(ISNUMBER(System!$C29),PlotData!G29+SensA!$E$2* $AF$1*G28,PlotData!$CB$3)</f>
        <v>17.50300099999999</v>
      </c>
      <c r="AH28" s="566">
        <f>IF(ISNUMBER(System!$C29),PlotData!H29+SensA!$E$2* $AF$1*H28,PlotData!$CB$3)</f>
        <v>17.493601399999989</v>
      </c>
      <c r="AI28" s="566">
        <f>IF(ISNUMBER(System!$C29),PlotData!I29+SensA!$E$2* $AF$1*I28,PlotData!$CB$3)</f>
        <v>17.484201799999987</v>
      </c>
      <c r="AJ28" s="566">
        <f>IF(ISNUMBER(System!$C29),PlotData!J29+SensA!$E$2* $AF$1*J28,PlotData!$CB$3)</f>
        <v>17.474802199999985</v>
      </c>
      <c r="AK28" s="566">
        <f>IF(ISNUMBER(System!$C29),PlotData!K29+SensA!$E$2* $AF$1*K28,PlotData!$CB$3)</f>
        <v>17.465402599999983</v>
      </c>
      <c r="AL28" s="567">
        <f>IF(ISNUMBER(System!$C29),PlotData!L29+SensA!$E$2* $AF$1*L28,PlotData!$CB$3)</f>
        <v>17.456002999999981</v>
      </c>
      <c r="AM28" s="607">
        <f>IF(ISNUMBER(System!$C29),PlotData!L29,PlotData!$CB$3)</f>
        <v>17.456002999999981</v>
      </c>
      <c r="AN28" s="566">
        <f>IF(ISNUMBER(System!$C29),PlotData!B29,PlotData!$CB$3)</f>
        <v>17.549999</v>
      </c>
      <c r="AO28" s="447">
        <f>IF(ISNUMBER(System!$C29),AB28,PlotData!$CB$3)</f>
        <v>17.549999</v>
      </c>
      <c r="AQ28" s="580">
        <v>26</v>
      </c>
      <c r="AR28" s="565">
        <f>IF(ISNUMBER(System!$C29),PlotData!O29+ SensA!$E$2*$AF$1*O28,PlotData!$CB$4)</f>
        <v>3.6</v>
      </c>
      <c r="AS28" s="566">
        <f>IF(ISNUMBER(System!$C29),PlotData!P29+ SensA!$E$2*$AF$1*P28,PlotData!$CB$4)</f>
        <v>3.5144827000000003</v>
      </c>
      <c r="AT28" s="566">
        <f>IF(ISNUMBER(System!$C29),PlotData!Q29+ SensA!$E$2*$AF$1*Q28,PlotData!$CB$4)</f>
        <v>3.4289654000000001</v>
      </c>
      <c r="AU28" s="566">
        <f>IF(ISNUMBER(System!$C29),PlotData!R29+ SensA!$E$2*$AF$1*R28,PlotData!$CB$4)</f>
        <v>3.3434480999999998</v>
      </c>
      <c r="AV28" s="566">
        <f>IF(ISNUMBER(System!$C29),PlotData!S29+ SensA!$E$2*$AF$1*S28,PlotData!$CB$4)</f>
        <v>3.2579307999999996</v>
      </c>
      <c r="AW28" s="566">
        <f>IF(ISNUMBER(System!$C29),PlotData!T29+ SensA!$E$2*$AF$1*T28,PlotData!$CB$4)</f>
        <v>3.1724134999999993</v>
      </c>
      <c r="AX28" s="566">
        <f>IF(ISNUMBER(System!$C29),PlotData!U29+ SensA!$E$2*$AF$1*U28,PlotData!$CB$4)</f>
        <v>3.0868961999999991</v>
      </c>
      <c r="AY28" s="566">
        <f>IF(ISNUMBER(System!$C29),PlotData!V29+ SensA!$E$2*$AF$1*V28,PlotData!$CB$4)</f>
        <v>3.0013788999999989</v>
      </c>
      <c r="AZ28" s="566">
        <f>IF(ISNUMBER(System!$C29),PlotData!W29+ SensA!$E$2*$AF$1*W28,PlotData!$CB$4)</f>
        <v>2.9158615999999986</v>
      </c>
      <c r="BA28" s="566">
        <f>IF(ISNUMBER(System!$C29),PlotData!X29+ SensA!$E$2*$AF$1*X28,PlotData!$CB$4)</f>
        <v>2.8303442999999984</v>
      </c>
      <c r="BB28" s="567">
        <f>IF(ISNUMBER(System!$C29),PlotData!Y29+ SensA!$E$2*$AF$1*Y28,PlotData!$CB$4)</f>
        <v>2.7448269999999981</v>
      </c>
      <c r="BC28" s="607">
        <f>IF(ISNUMBER(System!$C29),PlotData!Y29, PlotData!CB$4)</f>
        <v>2.7448269999999981</v>
      </c>
      <c r="BD28" s="566">
        <f>IF(ISNUMBER(System!$C29),PlotData!O29, PlotData!$CB$4)</f>
        <v>3.6</v>
      </c>
      <c r="BE28" s="567">
        <f>IF(ISNUMBER(System!$C29), AR28,PlotData!$CB$4)</f>
        <v>3.6</v>
      </c>
    </row>
    <row r="29" spans="1:57" x14ac:dyDescent="0.35">
      <c r="A29" s="609">
        <v>27</v>
      </c>
      <c r="B29" s="565"/>
      <c r="C29" s="566"/>
      <c r="D29" s="566"/>
      <c r="E29" s="566"/>
      <c r="F29" s="566"/>
      <c r="G29" s="566"/>
      <c r="H29" s="566"/>
      <c r="I29" s="566"/>
      <c r="J29" s="566"/>
      <c r="K29" s="566"/>
      <c r="L29" s="567"/>
      <c r="N29" s="609">
        <v>27</v>
      </c>
      <c r="O29" s="565"/>
      <c r="P29" s="566"/>
      <c r="Q29" s="566"/>
      <c r="R29" s="566"/>
      <c r="S29" s="566"/>
      <c r="T29" s="566"/>
      <c r="U29" s="566"/>
      <c r="V29" s="566"/>
      <c r="W29" s="566"/>
      <c r="X29" s="566"/>
      <c r="Y29" s="567"/>
      <c r="AA29" s="580">
        <v>27</v>
      </c>
      <c r="AB29" s="565">
        <f>IF(ISNUMBER(System!$C30),PlotData!B30+SensA!$E$2* $AF$1*B29,PlotData!$CB$3)</f>
        <v>15.600816999999999</v>
      </c>
      <c r="AC29" s="566">
        <f>IF(ISNUMBER(System!$C30),PlotData!C30+SensA!$E$2* $AF$1*C29,PlotData!$CB$3)</f>
        <v>15.735735399999999</v>
      </c>
      <c r="AD29" s="566">
        <f>IF(ISNUMBER(System!$C30),PlotData!D30+SensA!$E$2* $AF$1*D29,PlotData!$CB$3)</f>
        <v>15.870653799999999</v>
      </c>
      <c r="AE29" s="566">
        <f>IF(ISNUMBER(System!$C30),PlotData!E30+SensA!$E$2* $AF$1*E29,PlotData!$CB$3)</f>
        <v>16.0055722</v>
      </c>
      <c r="AF29" s="566">
        <f>IF(ISNUMBER(System!$C30),PlotData!F30+SensA!$E$2* $AF$1*F29,PlotData!$CB$3)</f>
        <v>16.1404906</v>
      </c>
      <c r="AG29" s="566">
        <f>IF(ISNUMBER(System!$C30),PlotData!G30+SensA!$E$2* $AF$1*G29,PlotData!$CB$3)</f>
        <v>16.275409</v>
      </c>
      <c r="AH29" s="566">
        <f>IF(ISNUMBER(System!$C30),PlotData!H30+SensA!$E$2* $AF$1*H29,PlotData!$CB$3)</f>
        <v>16.4103274</v>
      </c>
      <c r="AI29" s="566">
        <f>IF(ISNUMBER(System!$C30),PlotData!I30+SensA!$E$2* $AF$1*I29,PlotData!$CB$3)</f>
        <v>16.5452458</v>
      </c>
      <c r="AJ29" s="566">
        <f>IF(ISNUMBER(System!$C30),PlotData!J30+SensA!$E$2* $AF$1*J29,PlotData!$CB$3)</f>
        <v>16.6801642</v>
      </c>
      <c r="AK29" s="566">
        <f>IF(ISNUMBER(System!$C30),PlotData!K30+SensA!$E$2* $AF$1*K29,PlotData!$CB$3)</f>
        <v>16.8150826</v>
      </c>
      <c r="AL29" s="567">
        <f>IF(ISNUMBER(System!$C30),PlotData!L30+SensA!$E$2* $AF$1*L29,PlotData!$CB$3)</f>
        <v>16.950001</v>
      </c>
      <c r="AM29" s="607">
        <f>IF(ISNUMBER(System!$C30),PlotData!L30,PlotData!$CB$3)</f>
        <v>16.950001</v>
      </c>
      <c r="AN29" s="566">
        <f>IF(ISNUMBER(System!$C30),PlotData!B30,PlotData!$CB$3)</f>
        <v>15.600816999999999</v>
      </c>
      <c r="AO29" s="447">
        <f>IF(ISNUMBER(System!$C30),AB29,PlotData!$CB$3)</f>
        <v>15.600816999999999</v>
      </c>
      <c r="AQ29" s="580">
        <v>27</v>
      </c>
      <c r="AR29" s="565">
        <f>IF(ISNUMBER(System!$C30),PlotData!O30+ SensA!$E$2*$AF$1*O29,PlotData!$CB$4)</f>
        <v>0.89983599999999997</v>
      </c>
      <c r="AS29" s="566">
        <f>IF(ISNUMBER(System!$C30),PlotData!P30+ SensA!$E$2*$AF$1*P29,PlotData!$CB$4)</f>
        <v>0.8998524</v>
      </c>
      <c r="AT29" s="566">
        <f>IF(ISNUMBER(System!$C30),PlotData!Q30+ SensA!$E$2*$AF$1*Q29,PlotData!$CB$4)</f>
        <v>0.89986880000000002</v>
      </c>
      <c r="AU29" s="566">
        <f>IF(ISNUMBER(System!$C30),PlotData!R30+ SensA!$E$2*$AF$1*R29,PlotData!$CB$4)</f>
        <v>0.89988520000000005</v>
      </c>
      <c r="AV29" s="566">
        <f>IF(ISNUMBER(System!$C30),PlotData!S30+ SensA!$E$2*$AF$1*S29,PlotData!$CB$4)</f>
        <v>0.89990160000000008</v>
      </c>
      <c r="AW29" s="566">
        <f>IF(ISNUMBER(System!$C30),PlotData!T30+ SensA!$E$2*$AF$1*T29,PlotData!$CB$4)</f>
        <v>0.89991800000000011</v>
      </c>
      <c r="AX29" s="566">
        <f>IF(ISNUMBER(System!$C30),PlotData!U30+ SensA!$E$2*$AF$1*U29,PlotData!$CB$4)</f>
        <v>0.89993440000000013</v>
      </c>
      <c r="AY29" s="566">
        <f>IF(ISNUMBER(System!$C30),PlotData!V30+ SensA!$E$2*$AF$1*V29,PlotData!$CB$4)</f>
        <v>0.89995080000000016</v>
      </c>
      <c r="AZ29" s="566">
        <f>IF(ISNUMBER(System!$C30),PlotData!W30+ SensA!$E$2*$AF$1*W29,PlotData!$CB$4)</f>
        <v>0.89996720000000019</v>
      </c>
      <c r="BA29" s="566">
        <f>IF(ISNUMBER(System!$C30),PlotData!X30+ SensA!$E$2*$AF$1*X29,PlotData!$CB$4)</f>
        <v>0.89998360000000022</v>
      </c>
      <c r="BB29" s="567">
        <f>IF(ISNUMBER(System!$C30),PlotData!Y30+ SensA!$E$2*$AF$1*Y29,PlotData!$CB$4)</f>
        <v>0.90000000000000024</v>
      </c>
      <c r="BC29" s="607">
        <f>IF(ISNUMBER(System!$C30),PlotData!Y30, PlotData!CB$4)</f>
        <v>0.90000000000000024</v>
      </c>
      <c r="BD29" s="566">
        <f>IF(ISNUMBER(System!$C30),PlotData!O30, PlotData!$CB$4)</f>
        <v>0.89983599999999997</v>
      </c>
      <c r="BE29" s="567">
        <f>IF(ISNUMBER(System!$C30), AR29,PlotData!$CB$4)</f>
        <v>0.89983599999999997</v>
      </c>
    </row>
    <row r="30" spans="1:57" x14ac:dyDescent="0.35">
      <c r="A30" s="609">
        <v>28</v>
      </c>
      <c r="B30" s="565"/>
      <c r="C30" s="566"/>
      <c r="D30" s="566"/>
      <c r="E30" s="566"/>
      <c r="F30" s="566"/>
      <c r="G30" s="566"/>
      <c r="H30" s="566"/>
      <c r="I30" s="566"/>
      <c r="J30" s="566"/>
      <c r="K30" s="566"/>
      <c r="L30" s="567"/>
      <c r="N30" s="609">
        <v>28</v>
      </c>
      <c r="O30" s="565"/>
      <c r="P30" s="566"/>
      <c r="Q30" s="566"/>
      <c r="R30" s="566"/>
      <c r="S30" s="566"/>
      <c r="T30" s="566"/>
      <c r="U30" s="566"/>
      <c r="V30" s="566"/>
      <c r="W30" s="566"/>
      <c r="X30" s="566"/>
      <c r="Y30" s="567"/>
      <c r="AA30" s="580">
        <v>28</v>
      </c>
      <c r="AB30" s="565">
        <f>IF(ISNUMBER(System!$C31),PlotData!B31+SensA!$E$2* $AF$1*B30,PlotData!$CB$3)</f>
        <v>18.321756000000001</v>
      </c>
      <c r="AC30" s="566">
        <f>IF(ISNUMBER(System!$C31),PlotData!C31+SensA!$E$2* $AF$1*C30,PlotData!$CB$3)</f>
        <v>18.664580400000002</v>
      </c>
      <c r="AD30" s="566">
        <f>IF(ISNUMBER(System!$C31),PlotData!D31+SensA!$E$2* $AF$1*D30,PlotData!$CB$3)</f>
        <v>19.007404800000003</v>
      </c>
      <c r="AE30" s="566">
        <f>IF(ISNUMBER(System!$C31),PlotData!E31+SensA!$E$2* $AF$1*E30,PlotData!$CB$3)</f>
        <v>19.350229200000005</v>
      </c>
      <c r="AF30" s="566">
        <f>IF(ISNUMBER(System!$C31),PlotData!F31+SensA!$E$2* $AF$1*F30,PlotData!$CB$3)</f>
        <v>19.693053600000006</v>
      </c>
      <c r="AG30" s="566">
        <f>IF(ISNUMBER(System!$C31),PlotData!G31+SensA!$E$2* $AF$1*G30,PlotData!$CB$3)</f>
        <v>20.035878000000007</v>
      </c>
      <c r="AH30" s="566">
        <f>IF(ISNUMBER(System!$C31),PlotData!H31+SensA!$E$2* $AF$1*H30,PlotData!$CB$3)</f>
        <v>20.378702400000009</v>
      </c>
      <c r="AI30" s="566">
        <f>IF(ISNUMBER(System!$C31),PlotData!I31+SensA!$E$2* $AF$1*I30,PlotData!$CB$3)</f>
        <v>20.72152680000001</v>
      </c>
      <c r="AJ30" s="566">
        <f>IF(ISNUMBER(System!$C31),PlotData!J31+SensA!$E$2* $AF$1*J30,PlotData!$CB$3)</f>
        <v>21.064351200000011</v>
      </c>
      <c r="AK30" s="566">
        <f>IF(ISNUMBER(System!$C31),PlotData!K31+SensA!$E$2* $AF$1*K30,PlotData!$CB$3)</f>
        <v>21.407175600000013</v>
      </c>
      <c r="AL30" s="567">
        <f>IF(ISNUMBER(System!$C31),PlotData!L31+SensA!$E$2* $AF$1*L30,PlotData!$CB$3)</f>
        <v>21.750000000000014</v>
      </c>
      <c r="AM30" s="607">
        <f>IF(ISNUMBER(System!$C31),PlotData!L31,PlotData!$CB$3)</f>
        <v>21.750000000000014</v>
      </c>
      <c r="AN30" s="566">
        <f>IF(ISNUMBER(System!$C31),PlotData!B31,PlotData!$CB$3)</f>
        <v>18.321756000000001</v>
      </c>
      <c r="AO30" s="447">
        <f>IF(ISNUMBER(System!$C31),AB30,PlotData!$CB$3)</f>
        <v>18.321756000000001</v>
      </c>
      <c r="AQ30" s="580">
        <v>28</v>
      </c>
      <c r="AR30" s="565">
        <f>IF(ISNUMBER(System!$C31),PlotData!O31+ SensA!$E$2*$AF$1*O30,PlotData!$CB$4)</f>
        <v>0.89983599999999997</v>
      </c>
      <c r="AS30" s="566">
        <f>IF(ISNUMBER(System!$C31),PlotData!P31+ SensA!$E$2*$AF$1*P30,PlotData!$CB$4)</f>
        <v>0.8998524</v>
      </c>
      <c r="AT30" s="566">
        <f>IF(ISNUMBER(System!$C31),PlotData!Q31+ SensA!$E$2*$AF$1*Q30,PlotData!$CB$4)</f>
        <v>0.89986880000000002</v>
      </c>
      <c r="AU30" s="566">
        <f>IF(ISNUMBER(System!$C31),PlotData!R31+ SensA!$E$2*$AF$1*R30,PlotData!$CB$4)</f>
        <v>0.89988520000000005</v>
      </c>
      <c r="AV30" s="566">
        <f>IF(ISNUMBER(System!$C31),PlotData!S31+ SensA!$E$2*$AF$1*S30,PlotData!$CB$4)</f>
        <v>0.89990160000000008</v>
      </c>
      <c r="AW30" s="566">
        <f>IF(ISNUMBER(System!$C31),PlotData!T31+ SensA!$E$2*$AF$1*T30,PlotData!$CB$4)</f>
        <v>0.89991800000000011</v>
      </c>
      <c r="AX30" s="566">
        <f>IF(ISNUMBER(System!$C31),PlotData!U31+ SensA!$E$2*$AF$1*U30,PlotData!$CB$4)</f>
        <v>0.89993440000000013</v>
      </c>
      <c r="AY30" s="566">
        <f>IF(ISNUMBER(System!$C31),PlotData!V31+ SensA!$E$2*$AF$1*V30,PlotData!$CB$4)</f>
        <v>0.89995080000000016</v>
      </c>
      <c r="AZ30" s="566">
        <f>IF(ISNUMBER(System!$C31),PlotData!W31+ SensA!$E$2*$AF$1*W30,PlotData!$CB$4)</f>
        <v>0.89996720000000019</v>
      </c>
      <c r="BA30" s="566">
        <f>IF(ISNUMBER(System!$C31),PlotData!X31+ SensA!$E$2*$AF$1*X30,PlotData!$CB$4)</f>
        <v>0.89998360000000022</v>
      </c>
      <c r="BB30" s="567">
        <f>IF(ISNUMBER(System!$C31),PlotData!Y31+ SensA!$E$2*$AF$1*Y30,PlotData!$CB$4)</f>
        <v>0.90000000000000024</v>
      </c>
      <c r="BC30" s="607">
        <f>IF(ISNUMBER(System!$C31),PlotData!Y31, PlotData!CB$4)</f>
        <v>0.90000000000000024</v>
      </c>
      <c r="BD30" s="566">
        <f>IF(ISNUMBER(System!$C31),PlotData!O31, PlotData!$CB$4)</f>
        <v>0.89983599999999997</v>
      </c>
      <c r="BE30" s="567">
        <f>IF(ISNUMBER(System!$C31), AR30,PlotData!$CB$4)</f>
        <v>0.89983599999999997</v>
      </c>
    </row>
    <row r="31" spans="1:57" x14ac:dyDescent="0.35">
      <c r="A31" s="609">
        <v>29</v>
      </c>
      <c r="B31" s="565"/>
      <c r="C31" s="566"/>
      <c r="D31" s="566"/>
      <c r="E31" s="566"/>
      <c r="F31" s="566"/>
      <c r="G31" s="566"/>
      <c r="H31" s="566"/>
      <c r="I31" s="566"/>
      <c r="J31" s="566"/>
      <c r="K31" s="566"/>
      <c r="L31" s="567"/>
      <c r="N31" s="609">
        <v>29</v>
      </c>
      <c r="O31" s="565"/>
      <c r="P31" s="566"/>
      <c r="Q31" s="566"/>
      <c r="R31" s="566"/>
      <c r="S31" s="566"/>
      <c r="T31" s="566"/>
      <c r="U31" s="566"/>
      <c r="V31" s="566"/>
      <c r="W31" s="566"/>
      <c r="X31" s="566"/>
      <c r="Y31" s="567"/>
      <c r="AA31" s="580">
        <v>29</v>
      </c>
      <c r="AB31" s="565">
        <f>IF(ISNUMBER(System!$C32),PlotData!B32+SensA!$E$2* $AF$1*B31,PlotData!$CB$3)</f>
        <v>16.435649999999999</v>
      </c>
      <c r="AC31" s="566">
        <f>IF(ISNUMBER(System!$C32),PlotData!C32+SensA!$E$2* $AF$1*C31,PlotData!$CB$3)</f>
        <v>16.487085099999998</v>
      </c>
      <c r="AD31" s="566">
        <f>IF(ISNUMBER(System!$C32),PlotData!D32+SensA!$E$2* $AF$1*D31,PlotData!$CB$3)</f>
        <v>16.538520199999997</v>
      </c>
      <c r="AE31" s="566">
        <f>IF(ISNUMBER(System!$C32),PlotData!E32+SensA!$E$2* $AF$1*E31,PlotData!$CB$3)</f>
        <v>16.589955299999996</v>
      </c>
      <c r="AF31" s="566">
        <f>IF(ISNUMBER(System!$C32),PlotData!F32+SensA!$E$2* $AF$1*F31,PlotData!$CB$3)</f>
        <v>16.641390399999995</v>
      </c>
      <c r="AG31" s="566">
        <f>IF(ISNUMBER(System!$C32),PlotData!G32+SensA!$E$2* $AF$1*G31,PlotData!$CB$3)</f>
        <v>16.692825499999994</v>
      </c>
      <c r="AH31" s="566">
        <f>IF(ISNUMBER(System!$C32),PlotData!H32+SensA!$E$2* $AF$1*H31,PlotData!$CB$3)</f>
        <v>16.744260599999993</v>
      </c>
      <c r="AI31" s="566">
        <f>IF(ISNUMBER(System!$C32),PlotData!I32+SensA!$E$2* $AF$1*I31,PlotData!$CB$3)</f>
        <v>16.795695699999992</v>
      </c>
      <c r="AJ31" s="566">
        <f>IF(ISNUMBER(System!$C32),PlotData!J32+SensA!$E$2* $AF$1*J31,PlotData!$CB$3)</f>
        <v>16.847130799999992</v>
      </c>
      <c r="AK31" s="566">
        <f>IF(ISNUMBER(System!$C32),PlotData!K32+SensA!$E$2* $AF$1*K31,PlotData!$CB$3)</f>
        <v>16.898565899999991</v>
      </c>
      <c r="AL31" s="567">
        <f>IF(ISNUMBER(System!$C32),PlotData!L32+SensA!$E$2* $AF$1*L31,PlotData!$CB$3)</f>
        <v>16.95000099999999</v>
      </c>
      <c r="AM31" s="607">
        <f>IF(ISNUMBER(System!$C32),PlotData!L32,PlotData!$CB$3)</f>
        <v>16.95000099999999</v>
      </c>
      <c r="AN31" s="566">
        <f>IF(ISNUMBER(System!$C32),PlotData!B32,PlotData!$CB$3)</f>
        <v>16.435649999999999</v>
      </c>
      <c r="AO31" s="447">
        <f>IF(ISNUMBER(System!$C32),AB31,PlotData!$CB$3)</f>
        <v>16.435649999999999</v>
      </c>
      <c r="AQ31" s="580">
        <v>29</v>
      </c>
      <c r="AR31" s="565">
        <f>IF(ISNUMBER(System!$C32),PlotData!O32+ SensA!$E$2*$AF$1*O31,PlotData!$CB$4)</f>
        <v>2.7293310000000002</v>
      </c>
      <c r="AS31" s="566">
        <f>IF(ISNUMBER(System!$C32),PlotData!P32+ SensA!$E$2*$AF$1*P31,PlotData!$CB$4)</f>
        <v>2.2463979000000003</v>
      </c>
      <c r="AT31" s="566">
        <f>IF(ISNUMBER(System!$C32),PlotData!Q32+ SensA!$E$2*$AF$1*Q31,PlotData!$CB$4)</f>
        <v>1.7634648000000002</v>
      </c>
      <c r="AU31" s="566">
        <f>IF(ISNUMBER(System!$C32),PlotData!R32+ SensA!$E$2*$AF$1*R31,PlotData!$CB$4)</f>
        <v>1.2805317000000001</v>
      </c>
      <c r="AV31" s="566">
        <f>IF(ISNUMBER(System!$C32),PlotData!S32+ SensA!$E$2*$AF$1*S31,PlotData!$CB$4)</f>
        <v>0.79759859999999994</v>
      </c>
      <c r="AW31" s="566">
        <f>IF(ISNUMBER(System!$C32),PlotData!T32+ SensA!$E$2*$AF$1*T31,PlotData!$CB$4)</f>
        <v>0.31466549999999988</v>
      </c>
      <c r="AX31" s="566">
        <f>IF(ISNUMBER(System!$C32),PlotData!U32+ SensA!$E$2*$AF$1*U31,PlotData!$CB$4)</f>
        <v>-0.16826760000000018</v>
      </c>
      <c r="AY31" s="566">
        <f>IF(ISNUMBER(System!$C32),PlotData!V32+ SensA!$E$2*$AF$1*V31,PlotData!$CB$4)</f>
        <v>-0.65120070000000019</v>
      </c>
      <c r="AZ31" s="566">
        <f>IF(ISNUMBER(System!$C32),PlotData!W32+ SensA!$E$2*$AF$1*W31,PlotData!$CB$4)</f>
        <v>-1.1341338000000003</v>
      </c>
      <c r="BA31" s="566">
        <f>IF(ISNUMBER(System!$C32),PlotData!X32+ SensA!$E$2*$AF$1*X31,PlotData!$CB$4)</f>
        <v>-1.6170669000000004</v>
      </c>
      <c r="BB31" s="567">
        <f>IF(ISNUMBER(System!$C32),PlotData!Y32+ SensA!$E$2*$AF$1*Y31,PlotData!$CB$4)</f>
        <v>-2.1000000000000005</v>
      </c>
      <c r="BC31" s="607">
        <f>IF(ISNUMBER(System!$C32),PlotData!Y32, PlotData!CB$4)</f>
        <v>-2.1000000000000005</v>
      </c>
      <c r="BD31" s="566">
        <f>IF(ISNUMBER(System!$C32),PlotData!O32, PlotData!$CB$4)</f>
        <v>2.7293310000000002</v>
      </c>
      <c r="BE31" s="567">
        <f>IF(ISNUMBER(System!$C32), AR31,PlotData!$CB$4)</f>
        <v>2.7293310000000002</v>
      </c>
    </row>
    <row r="32" spans="1:57" x14ac:dyDescent="0.35">
      <c r="A32" s="609">
        <v>30</v>
      </c>
      <c r="B32" s="565"/>
      <c r="C32" s="566"/>
      <c r="D32" s="566"/>
      <c r="E32" s="566"/>
      <c r="F32" s="566"/>
      <c r="G32" s="566"/>
      <c r="H32" s="566"/>
      <c r="I32" s="566"/>
      <c r="J32" s="566"/>
      <c r="K32" s="566"/>
      <c r="L32" s="567"/>
      <c r="N32" s="609">
        <v>30</v>
      </c>
      <c r="O32" s="565"/>
      <c r="P32" s="566"/>
      <c r="Q32" s="566"/>
      <c r="R32" s="566"/>
      <c r="S32" s="566"/>
      <c r="T32" s="566"/>
      <c r="U32" s="566"/>
      <c r="V32" s="566"/>
      <c r="W32" s="566"/>
      <c r="X32" s="566"/>
      <c r="Y32" s="567"/>
      <c r="AA32" s="580">
        <v>30</v>
      </c>
      <c r="AB32" s="565">
        <f>IF(ISNUMBER(System!$C33),PlotData!B33+SensA!$E$2* $AF$1*B32,PlotData!$CB$3)</f>
        <v>17.456002999999999</v>
      </c>
      <c r="AC32" s="566">
        <f>IF(ISNUMBER(System!$C33),PlotData!C33+SensA!$E$2* $AF$1*C32,PlotData!$CB$3)</f>
        <v>17.405402799999997</v>
      </c>
      <c r="AD32" s="566">
        <f>IF(ISNUMBER(System!$C33),PlotData!D33+SensA!$E$2* $AF$1*D32,PlotData!$CB$3)</f>
        <v>17.354802599999999</v>
      </c>
      <c r="AE32" s="566">
        <f>IF(ISNUMBER(System!$C33),PlotData!E33+SensA!$E$2* $AF$1*E32,PlotData!$CB$3)</f>
        <v>17.304202400000001</v>
      </c>
      <c r="AF32" s="566">
        <f>IF(ISNUMBER(System!$C33),PlotData!F33+SensA!$E$2* $AF$1*F32,PlotData!$CB$3)</f>
        <v>17.253602200000003</v>
      </c>
      <c r="AG32" s="566">
        <f>IF(ISNUMBER(System!$C33),PlotData!G33+SensA!$E$2* $AF$1*G32,PlotData!$CB$3)</f>
        <v>17.203002000000005</v>
      </c>
      <c r="AH32" s="566">
        <f>IF(ISNUMBER(System!$C33),PlotData!H33+SensA!$E$2* $AF$1*H32,PlotData!$CB$3)</f>
        <v>17.152401800000007</v>
      </c>
      <c r="AI32" s="566">
        <f>IF(ISNUMBER(System!$C33),PlotData!I33+SensA!$E$2* $AF$1*I32,PlotData!$CB$3)</f>
        <v>17.101801600000009</v>
      </c>
      <c r="AJ32" s="566">
        <f>IF(ISNUMBER(System!$C33),PlotData!J33+SensA!$E$2* $AF$1*J32,PlotData!$CB$3)</f>
        <v>17.051201400000011</v>
      </c>
      <c r="AK32" s="566">
        <f>IF(ISNUMBER(System!$C33),PlotData!K33+SensA!$E$2* $AF$1*K32,PlotData!$CB$3)</f>
        <v>17.000601200000013</v>
      </c>
      <c r="AL32" s="567">
        <f>IF(ISNUMBER(System!$C33),PlotData!L33+SensA!$E$2* $AF$1*L32,PlotData!$CB$3)</f>
        <v>16.950001000000015</v>
      </c>
      <c r="AM32" s="607">
        <f>IF(ISNUMBER(System!$C33),PlotData!L33,PlotData!$CB$3)</f>
        <v>16.950001000000015</v>
      </c>
      <c r="AN32" s="566">
        <f>IF(ISNUMBER(System!$C33),PlotData!B33,PlotData!$CB$3)</f>
        <v>17.456002999999999</v>
      </c>
      <c r="AO32" s="447">
        <f>IF(ISNUMBER(System!$C33),AB32,PlotData!$CB$3)</f>
        <v>17.456002999999999</v>
      </c>
      <c r="AQ32" s="580">
        <v>30</v>
      </c>
      <c r="AR32" s="565">
        <f>IF(ISNUMBER(System!$C33),PlotData!O33+ SensA!$E$2*$AF$1*O32,PlotData!$CB$4)</f>
        <v>2.7448269999999999</v>
      </c>
      <c r="AS32" s="566">
        <f>IF(ISNUMBER(System!$C33),PlotData!P33+ SensA!$E$2*$AF$1*P32,PlotData!$CB$4)</f>
        <v>2.2603442999999999</v>
      </c>
      <c r="AT32" s="566">
        <f>IF(ISNUMBER(System!$C33),PlotData!Q33+ SensA!$E$2*$AF$1*Q32,PlotData!$CB$4)</f>
        <v>1.7758615999999998</v>
      </c>
      <c r="AU32" s="566">
        <f>IF(ISNUMBER(System!$C33),PlotData!R33+ SensA!$E$2*$AF$1*R32,PlotData!$CB$4)</f>
        <v>1.2913788999999998</v>
      </c>
      <c r="AV32" s="566">
        <f>IF(ISNUMBER(System!$C33),PlotData!S33+ SensA!$E$2*$AF$1*S32,PlotData!$CB$4)</f>
        <v>0.80689619999999973</v>
      </c>
      <c r="AW32" s="566">
        <f>IF(ISNUMBER(System!$C33),PlotData!T33+ SensA!$E$2*$AF$1*T32,PlotData!$CB$4)</f>
        <v>0.32241349999999969</v>
      </c>
      <c r="AX32" s="566">
        <f>IF(ISNUMBER(System!$C33),PlotData!U33+ SensA!$E$2*$AF$1*U32,PlotData!$CB$4)</f>
        <v>-0.16206920000000036</v>
      </c>
      <c r="AY32" s="566">
        <f>IF(ISNUMBER(System!$C33),PlotData!V33+ SensA!$E$2*$AF$1*V32,PlotData!$CB$4)</f>
        <v>-0.6465519000000004</v>
      </c>
      <c r="AZ32" s="566">
        <f>IF(ISNUMBER(System!$C33),PlotData!W33+ SensA!$E$2*$AF$1*W32,PlotData!$CB$4)</f>
        <v>-1.1310346000000004</v>
      </c>
      <c r="BA32" s="566">
        <f>IF(ISNUMBER(System!$C33),PlotData!X33+ SensA!$E$2*$AF$1*X32,PlotData!$CB$4)</f>
        <v>-1.6155173000000005</v>
      </c>
      <c r="BB32" s="567">
        <f>IF(ISNUMBER(System!$C33),PlotData!Y33+ SensA!$E$2*$AF$1*Y32,PlotData!$CB$4)</f>
        <v>-2.1000000000000005</v>
      </c>
      <c r="BC32" s="607">
        <f>IF(ISNUMBER(System!$C33),PlotData!Y33, PlotData!CB$4)</f>
        <v>-2.1000000000000005</v>
      </c>
      <c r="BD32" s="566">
        <f>IF(ISNUMBER(System!$C33),PlotData!O33, PlotData!$CB$4)</f>
        <v>2.7448269999999999</v>
      </c>
      <c r="BE32" s="567">
        <f>IF(ISNUMBER(System!$C33), AR32,PlotData!$CB$4)</f>
        <v>2.7448269999999999</v>
      </c>
    </row>
    <row r="33" spans="1:57" x14ac:dyDescent="0.35">
      <c r="A33" s="609">
        <v>31</v>
      </c>
      <c r="B33" s="565"/>
      <c r="C33" s="566"/>
      <c r="D33" s="566"/>
      <c r="E33" s="566"/>
      <c r="F33" s="566"/>
      <c r="G33" s="566"/>
      <c r="H33" s="566"/>
      <c r="I33" s="566"/>
      <c r="J33" s="566"/>
      <c r="K33" s="566"/>
      <c r="L33" s="567"/>
      <c r="N33" s="609">
        <v>31</v>
      </c>
      <c r="O33" s="565"/>
      <c r="P33" s="566"/>
      <c r="Q33" s="566"/>
      <c r="R33" s="566"/>
      <c r="S33" s="566"/>
      <c r="T33" s="566"/>
      <c r="U33" s="566"/>
      <c r="V33" s="566"/>
      <c r="W33" s="566"/>
      <c r="X33" s="566"/>
      <c r="Y33" s="567"/>
      <c r="AA33" s="580">
        <v>31</v>
      </c>
      <c r="AB33" s="565">
        <f>IF(ISNUMBER(System!$C34),PlotData!B34+SensA!$E$2* $AF$1*B33,PlotData!$CB$3)</f>
        <v>16.435649999999999</v>
      </c>
      <c r="AC33" s="566">
        <f>IF(ISNUMBER(System!$C34),PlotData!C34+SensA!$E$2* $AF$1*C33,PlotData!$CB$3)</f>
        <v>16.352166699999998</v>
      </c>
      <c r="AD33" s="566">
        <f>IF(ISNUMBER(System!$C34),PlotData!D34+SensA!$E$2* $AF$1*D33,PlotData!$CB$3)</f>
        <v>16.268683399999997</v>
      </c>
      <c r="AE33" s="566">
        <f>IF(ISNUMBER(System!$C34),PlotData!E34+SensA!$E$2* $AF$1*E33,PlotData!$CB$3)</f>
        <v>16.185200099999996</v>
      </c>
      <c r="AF33" s="566">
        <f>IF(ISNUMBER(System!$C34),PlotData!F34+SensA!$E$2* $AF$1*F33,PlotData!$CB$3)</f>
        <v>16.101716799999995</v>
      </c>
      <c r="AG33" s="566">
        <f>IF(ISNUMBER(System!$C34),PlotData!G34+SensA!$E$2* $AF$1*G33,PlotData!$CB$3)</f>
        <v>16.018233499999994</v>
      </c>
      <c r="AH33" s="566">
        <f>IF(ISNUMBER(System!$C34),PlotData!H34+SensA!$E$2* $AF$1*H33,PlotData!$CB$3)</f>
        <v>15.934750199999995</v>
      </c>
      <c r="AI33" s="566">
        <f>IF(ISNUMBER(System!$C34),PlotData!I34+SensA!$E$2* $AF$1*I33,PlotData!$CB$3)</f>
        <v>15.851266899999995</v>
      </c>
      <c r="AJ33" s="566">
        <f>IF(ISNUMBER(System!$C34),PlotData!J34+SensA!$E$2* $AF$1*J33,PlotData!$CB$3)</f>
        <v>15.767783599999996</v>
      </c>
      <c r="AK33" s="566">
        <f>IF(ISNUMBER(System!$C34),PlotData!K34+SensA!$E$2* $AF$1*K33,PlotData!$CB$3)</f>
        <v>15.684300299999997</v>
      </c>
      <c r="AL33" s="567">
        <f>IF(ISNUMBER(System!$C34),PlotData!L34+SensA!$E$2* $AF$1*L33,PlotData!$CB$3)</f>
        <v>15.600816999999997</v>
      </c>
      <c r="AM33" s="607">
        <f>IF(ISNUMBER(System!$C34),PlotData!L34,PlotData!$CB$3)</f>
        <v>15.600816999999997</v>
      </c>
      <c r="AN33" s="566">
        <f>IF(ISNUMBER(System!$C34),PlotData!B34,PlotData!$CB$3)</f>
        <v>16.435649999999999</v>
      </c>
      <c r="AO33" s="447">
        <f>IF(ISNUMBER(System!$C34),AB33,PlotData!$CB$3)</f>
        <v>16.435649999999999</v>
      </c>
      <c r="AQ33" s="580">
        <v>31</v>
      </c>
      <c r="AR33" s="565">
        <f>IF(ISNUMBER(System!$C34),PlotData!O34+ SensA!$E$2*$AF$1*O33,PlotData!$CB$4)</f>
        <v>2.7293310000000002</v>
      </c>
      <c r="AS33" s="566">
        <f>IF(ISNUMBER(System!$C34),PlotData!P34+ SensA!$E$2*$AF$1*P33,PlotData!$CB$4)</f>
        <v>2.5463815000000003</v>
      </c>
      <c r="AT33" s="566">
        <f>IF(ISNUMBER(System!$C34),PlotData!Q34+ SensA!$E$2*$AF$1*Q33,PlotData!$CB$4)</f>
        <v>2.3634320000000004</v>
      </c>
      <c r="AU33" s="566">
        <f>IF(ISNUMBER(System!$C34),PlotData!R34+ SensA!$E$2*$AF$1*R33,PlotData!$CB$4)</f>
        <v>2.1804825000000005</v>
      </c>
      <c r="AV33" s="566">
        <f>IF(ISNUMBER(System!$C34),PlotData!S34+ SensA!$E$2*$AF$1*S33,PlotData!$CB$4)</f>
        <v>1.9975330000000004</v>
      </c>
      <c r="AW33" s="566">
        <f>IF(ISNUMBER(System!$C34),PlotData!T34+ SensA!$E$2*$AF$1*T33,PlotData!$CB$4)</f>
        <v>1.8145835000000003</v>
      </c>
      <c r="AX33" s="566">
        <f>IF(ISNUMBER(System!$C34),PlotData!U34+ SensA!$E$2*$AF$1*U33,PlotData!$CB$4)</f>
        <v>1.6316340000000003</v>
      </c>
      <c r="AY33" s="566">
        <f>IF(ISNUMBER(System!$C34),PlotData!V34+ SensA!$E$2*$AF$1*V33,PlotData!$CB$4)</f>
        <v>1.4486845000000002</v>
      </c>
      <c r="AZ33" s="566">
        <f>IF(ISNUMBER(System!$C34),PlotData!W34+ SensA!$E$2*$AF$1*W33,PlotData!$CB$4)</f>
        <v>1.2657350000000001</v>
      </c>
      <c r="BA33" s="566">
        <f>IF(ISNUMBER(System!$C34),PlotData!X34+ SensA!$E$2*$AF$1*X33,PlotData!$CB$4)</f>
        <v>1.0827855</v>
      </c>
      <c r="BB33" s="567">
        <f>IF(ISNUMBER(System!$C34),PlotData!Y34+ SensA!$E$2*$AF$1*Y33,PlotData!$CB$4)</f>
        <v>0.89983599999999986</v>
      </c>
      <c r="BC33" s="607">
        <f>IF(ISNUMBER(System!$C34),PlotData!Y34, PlotData!CB$4)</f>
        <v>0.89983599999999986</v>
      </c>
      <c r="BD33" s="566">
        <f>IF(ISNUMBER(System!$C34),PlotData!O34, PlotData!$CB$4)</f>
        <v>2.7293310000000002</v>
      </c>
      <c r="BE33" s="567">
        <f>IF(ISNUMBER(System!$C34), AR33,PlotData!$CB$4)</f>
        <v>2.7293310000000002</v>
      </c>
    </row>
    <row r="34" spans="1:57" x14ac:dyDescent="0.35">
      <c r="A34" s="609">
        <v>32</v>
      </c>
      <c r="B34" s="565"/>
      <c r="C34" s="566"/>
      <c r="D34" s="566"/>
      <c r="E34" s="566"/>
      <c r="F34" s="566"/>
      <c r="G34" s="566"/>
      <c r="H34" s="566"/>
      <c r="I34" s="566"/>
      <c r="J34" s="566"/>
      <c r="K34" s="566"/>
      <c r="L34" s="567"/>
      <c r="N34" s="609">
        <v>32</v>
      </c>
      <c r="O34" s="565"/>
      <c r="P34" s="566"/>
      <c r="Q34" s="566"/>
      <c r="R34" s="566"/>
      <c r="S34" s="566"/>
      <c r="T34" s="566"/>
      <c r="U34" s="566"/>
      <c r="V34" s="566"/>
      <c r="W34" s="566"/>
      <c r="X34" s="566"/>
      <c r="Y34" s="567"/>
      <c r="AA34" s="580">
        <v>32</v>
      </c>
      <c r="AB34" s="565">
        <f>IF(ISNUMBER(System!$C35),PlotData!B35+SensA!$E$2* $AF$1*B34,PlotData!$CB$3)</f>
        <v>17.456002999999999</v>
      </c>
      <c r="AC34" s="566">
        <f>IF(ISNUMBER(System!$C35),PlotData!C35+SensA!$E$2* $AF$1*C34,PlotData!$CB$3)</f>
        <v>17.542578299999999</v>
      </c>
      <c r="AD34" s="566">
        <f>IF(ISNUMBER(System!$C35),PlotData!D35+SensA!$E$2* $AF$1*D34,PlotData!$CB$3)</f>
        <v>17.629153599999999</v>
      </c>
      <c r="AE34" s="566">
        <f>IF(ISNUMBER(System!$C35),PlotData!E35+SensA!$E$2* $AF$1*E34,PlotData!$CB$3)</f>
        <v>17.715728899999998</v>
      </c>
      <c r="AF34" s="566">
        <f>IF(ISNUMBER(System!$C35),PlotData!F35+SensA!$E$2* $AF$1*F34,PlotData!$CB$3)</f>
        <v>17.802304199999998</v>
      </c>
      <c r="AG34" s="566">
        <f>IF(ISNUMBER(System!$C35),PlotData!G35+SensA!$E$2* $AF$1*G34,PlotData!$CB$3)</f>
        <v>17.888879499999998</v>
      </c>
      <c r="AH34" s="566">
        <f>IF(ISNUMBER(System!$C35),PlotData!H35+SensA!$E$2* $AF$1*H34,PlotData!$CB$3)</f>
        <v>17.975454799999998</v>
      </c>
      <c r="AI34" s="566">
        <f>IF(ISNUMBER(System!$C35),PlotData!I35+SensA!$E$2* $AF$1*I34,PlotData!$CB$3)</f>
        <v>18.062030099999998</v>
      </c>
      <c r="AJ34" s="566">
        <f>IF(ISNUMBER(System!$C35),PlotData!J35+SensA!$E$2* $AF$1*J34,PlotData!$CB$3)</f>
        <v>18.148605399999997</v>
      </c>
      <c r="AK34" s="566">
        <f>IF(ISNUMBER(System!$C35),PlotData!K35+SensA!$E$2* $AF$1*K34,PlotData!$CB$3)</f>
        <v>18.235180699999997</v>
      </c>
      <c r="AL34" s="567">
        <f>IF(ISNUMBER(System!$C35),PlotData!L35+SensA!$E$2* $AF$1*L34,PlotData!$CB$3)</f>
        <v>18.321755999999997</v>
      </c>
      <c r="AM34" s="607">
        <f>IF(ISNUMBER(System!$C35),PlotData!L35,PlotData!$CB$3)</f>
        <v>18.321755999999997</v>
      </c>
      <c r="AN34" s="566">
        <f>IF(ISNUMBER(System!$C35),PlotData!B35,PlotData!$CB$3)</f>
        <v>17.456002999999999</v>
      </c>
      <c r="AO34" s="447">
        <f>IF(ISNUMBER(System!$C35),AB34,PlotData!$CB$3)</f>
        <v>17.456002999999999</v>
      </c>
      <c r="AQ34" s="580">
        <v>32</v>
      </c>
      <c r="AR34" s="565">
        <f>IF(ISNUMBER(System!$C35),PlotData!O35+ SensA!$E$2*$AF$1*O34,PlotData!$CB$4)</f>
        <v>2.7448269999999999</v>
      </c>
      <c r="AS34" s="566">
        <f>IF(ISNUMBER(System!$C35),PlotData!P35+ SensA!$E$2*$AF$1*P34,PlotData!$CB$4)</f>
        <v>2.5603278999999999</v>
      </c>
      <c r="AT34" s="566">
        <f>IF(ISNUMBER(System!$C35),PlotData!Q35+ SensA!$E$2*$AF$1*Q34,PlotData!$CB$4)</f>
        <v>2.3758287999999999</v>
      </c>
      <c r="AU34" s="566">
        <f>IF(ISNUMBER(System!$C35),PlotData!R35+ SensA!$E$2*$AF$1*R34,PlotData!$CB$4)</f>
        <v>2.1913296999999998</v>
      </c>
      <c r="AV34" s="566">
        <f>IF(ISNUMBER(System!$C35),PlotData!S35+ SensA!$E$2*$AF$1*S34,PlotData!$CB$4)</f>
        <v>2.0068305999999998</v>
      </c>
      <c r="AW34" s="566">
        <f>IF(ISNUMBER(System!$C35),PlotData!T35+ SensA!$E$2*$AF$1*T34,PlotData!$CB$4)</f>
        <v>1.8223314999999998</v>
      </c>
      <c r="AX34" s="566">
        <f>IF(ISNUMBER(System!$C35),PlotData!U35+ SensA!$E$2*$AF$1*U34,PlotData!$CB$4)</f>
        <v>1.6378323999999997</v>
      </c>
      <c r="AY34" s="566">
        <f>IF(ISNUMBER(System!$C35),PlotData!V35+ SensA!$E$2*$AF$1*V34,PlotData!$CB$4)</f>
        <v>1.4533332999999997</v>
      </c>
      <c r="AZ34" s="566">
        <f>IF(ISNUMBER(System!$C35),PlotData!W35+ SensA!$E$2*$AF$1*W34,PlotData!$CB$4)</f>
        <v>1.2688341999999997</v>
      </c>
      <c r="BA34" s="566">
        <f>IF(ISNUMBER(System!$C35),PlotData!X35+ SensA!$E$2*$AF$1*X34,PlotData!$CB$4)</f>
        <v>1.0843350999999997</v>
      </c>
      <c r="BB34" s="567">
        <f>IF(ISNUMBER(System!$C35),PlotData!Y35+ SensA!$E$2*$AF$1*Y34,PlotData!$CB$4)</f>
        <v>0.89983599999999964</v>
      </c>
      <c r="BC34" s="607">
        <f>IF(ISNUMBER(System!$C35),PlotData!Y35, PlotData!CB$4)</f>
        <v>0.89983599999999964</v>
      </c>
      <c r="BD34" s="566">
        <f>IF(ISNUMBER(System!$C35),PlotData!O35, PlotData!$CB$4)</f>
        <v>2.7448269999999999</v>
      </c>
      <c r="BE34" s="567">
        <f>IF(ISNUMBER(System!$C35), AR34,PlotData!$CB$4)</f>
        <v>2.7448269999999999</v>
      </c>
    </row>
    <row r="35" spans="1:57" x14ac:dyDescent="0.35">
      <c r="A35" s="609">
        <v>33</v>
      </c>
      <c r="B35" s="565"/>
      <c r="C35" s="566"/>
      <c r="D35" s="566"/>
      <c r="E35" s="566"/>
      <c r="F35" s="566"/>
      <c r="G35" s="566"/>
      <c r="H35" s="566"/>
      <c r="I35" s="566"/>
      <c r="J35" s="566"/>
      <c r="K35" s="566"/>
      <c r="L35" s="567"/>
      <c r="N35" s="609">
        <v>33</v>
      </c>
      <c r="O35" s="565"/>
      <c r="P35" s="566"/>
      <c r="Q35" s="566"/>
      <c r="R35" s="566"/>
      <c r="S35" s="566"/>
      <c r="T35" s="566"/>
      <c r="U35" s="566"/>
      <c r="V35" s="566"/>
      <c r="W35" s="566"/>
      <c r="X35" s="566"/>
      <c r="Y35" s="567"/>
      <c r="AA35" s="580">
        <v>33</v>
      </c>
      <c r="AB35" s="565">
        <f>IF(ISNUMBER(System!$C36),PlotData!B36+SensA!$E$2* $AF$1*B35,PlotData!$CB$3)</f>
        <v>16.435649999999999</v>
      </c>
      <c r="AC35" s="566">
        <f>IF(ISNUMBER(System!$C36),PlotData!C36+SensA!$E$2* $AF$1*C35,PlotData!$CB$3)</f>
        <v>16.5376853</v>
      </c>
      <c r="AD35" s="566">
        <f>IF(ISNUMBER(System!$C36),PlotData!D36+SensA!$E$2* $AF$1*D35,PlotData!$CB$3)</f>
        <v>16.6397206</v>
      </c>
      <c r="AE35" s="566">
        <f>IF(ISNUMBER(System!$C36),PlotData!E36+SensA!$E$2* $AF$1*E35,PlotData!$CB$3)</f>
        <v>16.741755900000001</v>
      </c>
      <c r="AF35" s="566">
        <f>IF(ISNUMBER(System!$C36),PlotData!F36+SensA!$E$2* $AF$1*F35,PlotData!$CB$3)</f>
        <v>16.843791200000002</v>
      </c>
      <c r="AG35" s="566">
        <f>IF(ISNUMBER(System!$C36),PlotData!G36+SensA!$E$2* $AF$1*G35,PlotData!$CB$3)</f>
        <v>16.945826500000003</v>
      </c>
      <c r="AH35" s="566">
        <f>IF(ISNUMBER(System!$C36),PlotData!H36+SensA!$E$2* $AF$1*H35,PlotData!$CB$3)</f>
        <v>17.047861800000003</v>
      </c>
      <c r="AI35" s="566">
        <f>IF(ISNUMBER(System!$C36),PlotData!I36+SensA!$E$2* $AF$1*I35,PlotData!$CB$3)</f>
        <v>17.149897100000004</v>
      </c>
      <c r="AJ35" s="566">
        <f>IF(ISNUMBER(System!$C36),PlotData!J36+SensA!$E$2* $AF$1*J35,PlotData!$CB$3)</f>
        <v>17.251932400000005</v>
      </c>
      <c r="AK35" s="566">
        <f>IF(ISNUMBER(System!$C36),PlotData!K36+SensA!$E$2* $AF$1*K35,PlotData!$CB$3)</f>
        <v>17.353967700000005</v>
      </c>
      <c r="AL35" s="567">
        <f>IF(ISNUMBER(System!$C36),PlotData!L36+SensA!$E$2* $AF$1*L35,PlotData!$CB$3)</f>
        <v>17.456003000000006</v>
      </c>
      <c r="AM35" s="607">
        <f>IF(ISNUMBER(System!$C36),PlotData!L36,PlotData!$CB$3)</f>
        <v>17.456003000000006</v>
      </c>
      <c r="AN35" s="566">
        <f>IF(ISNUMBER(System!$C36),PlotData!B36,PlotData!$CB$3)</f>
        <v>16.435649999999999</v>
      </c>
      <c r="AO35" s="447">
        <f>IF(ISNUMBER(System!$C36),AB35,PlotData!$CB$3)</f>
        <v>16.435649999999999</v>
      </c>
      <c r="AQ35" s="580">
        <v>33</v>
      </c>
      <c r="AR35" s="565">
        <f>IF(ISNUMBER(System!$C36),PlotData!O36+ SensA!$E$2*$AF$1*O35,PlotData!$CB$4)</f>
        <v>2.7293310000000002</v>
      </c>
      <c r="AS35" s="566">
        <f>IF(ISNUMBER(System!$C36),PlotData!P36+ SensA!$E$2*$AF$1*P35,PlotData!$CB$4)</f>
        <v>2.7308806000000003</v>
      </c>
      <c r="AT35" s="566">
        <f>IF(ISNUMBER(System!$C36),PlotData!Q36+ SensA!$E$2*$AF$1*Q35,PlotData!$CB$4)</f>
        <v>2.7324302000000005</v>
      </c>
      <c r="AU35" s="566">
        <f>IF(ISNUMBER(System!$C36),PlotData!R36+ SensA!$E$2*$AF$1*R35,PlotData!$CB$4)</f>
        <v>2.7339798000000006</v>
      </c>
      <c r="AV35" s="566">
        <f>IF(ISNUMBER(System!$C36),PlotData!S36+ SensA!$E$2*$AF$1*S35,PlotData!$CB$4)</f>
        <v>2.7355294000000008</v>
      </c>
      <c r="AW35" s="566">
        <f>IF(ISNUMBER(System!$C36),PlotData!T36+ SensA!$E$2*$AF$1*T35,PlotData!$CB$4)</f>
        <v>2.7370790000000009</v>
      </c>
      <c r="AX35" s="566">
        <f>IF(ISNUMBER(System!$C36),PlotData!U36+ SensA!$E$2*$AF$1*U35,PlotData!$CB$4)</f>
        <v>2.7386286000000011</v>
      </c>
      <c r="AY35" s="566">
        <f>IF(ISNUMBER(System!$C36),PlotData!V36+ SensA!$E$2*$AF$1*V35,PlotData!$CB$4)</f>
        <v>2.7401782000000012</v>
      </c>
      <c r="AZ35" s="566">
        <f>IF(ISNUMBER(System!$C36),PlotData!W36+ SensA!$E$2*$AF$1*W35,PlotData!$CB$4)</f>
        <v>2.7417278000000014</v>
      </c>
      <c r="BA35" s="566">
        <f>IF(ISNUMBER(System!$C36),PlotData!X36+ SensA!$E$2*$AF$1*X35,PlotData!$CB$4)</f>
        <v>2.7432774000000015</v>
      </c>
      <c r="BB35" s="567">
        <f>IF(ISNUMBER(System!$C36),PlotData!Y36+ SensA!$E$2*$AF$1*Y35,PlotData!$CB$4)</f>
        <v>2.7448270000000017</v>
      </c>
      <c r="BC35" s="607">
        <f>IF(ISNUMBER(System!$C36),PlotData!Y36, PlotData!CB$4)</f>
        <v>2.7448270000000017</v>
      </c>
      <c r="BD35" s="566">
        <f>IF(ISNUMBER(System!$C36),PlotData!O36, PlotData!$CB$4)</f>
        <v>2.7293310000000002</v>
      </c>
      <c r="BE35" s="567">
        <f>IF(ISNUMBER(System!$C36), AR35,PlotData!$CB$4)</f>
        <v>2.7293310000000002</v>
      </c>
    </row>
    <row r="36" spans="1:57" x14ac:dyDescent="0.35">
      <c r="A36" s="609">
        <v>34</v>
      </c>
      <c r="B36" s="565"/>
      <c r="C36" s="566"/>
      <c r="D36" s="566"/>
      <c r="E36" s="566"/>
      <c r="F36" s="566"/>
      <c r="G36" s="566"/>
      <c r="H36" s="566"/>
      <c r="I36" s="566"/>
      <c r="J36" s="566"/>
      <c r="K36" s="566"/>
      <c r="L36" s="567"/>
      <c r="N36" s="609">
        <v>34</v>
      </c>
      <c r="O36" s="565"/>
      <c r="P36" s="566"/>
      <c r="Q36" s="566"/>
      <c r="R36" s="566"/>
      <c r="S36" s="566"/>
      <c r="T36" s="566"/>
      <c r="U36" s="566"/>
      <c r="V36" s="566"/>
      <c r="W36" s="566"/>
      <c r="X36" s="566"/>
      <c r="Y36" s="567"/>
      <c r="AA36" s="580">
        <v>34</v>
      </c>
      <c r="AB36" s="565">
        <f>IF(ISNUMBER(System!$C37),PlotData!B37+SensA!$E$2* $AF$1*B36,PlotData!$CB$3)</f>
        <v>7.6500000953674316</v>
      </c>
      <c r="AC36" s="566">
        <f>IF(ISNUMBER(System!$C37),PlotData!C37+SensA!$E$2* $AF$1*C36,PlotData!$CB$3)</f>
        <v>7.6500000953674316</v>
      </c>
      <c r="AD36" s="566">
        <f>IF(ISNUMBER(System!$C37),PlotData!D37+SensA!$E$2* $AF$1*D36,PlotData!$CB$3)</f>
        <v>7.6500000953674316</v>
      </c>
      <c r="AE36" s="566">
        <f>IF(ISNUMBER(System!$C37),PlotData!E37+SensA!$E$2* $AF$1*E36,PlotData!$CB$3)</f>
        <v>7.6500000953674316</v>
      </c>
      <c r="AF36" s="566">
        <f>IF(ISNUMBER(System!$C37),PlotData!F37+SensA!$E$2* $AF$1*F36,PlotData!$CB$3)</f>
        <v>7.6500000953674316</v>
      </c>
      <c r="AG36" s="566">
        <f>IF(ISNUMBER(System!$C37),PlotData!G37+SensA!$E$2* $AF$1*G36,PlotData!$CB$3)</f>
        <v>7.6500000953674316</v>
      </c>
      <c r="AH36" s="566">
        <f>IF(ISNUMBER(System!$C37),PlotData!H37+SensA!$E$2* $AF$1*H36,PlotData!$CB$3)</f>
        <v>7.6500000953674316</v>
      </c>
      <c r="AI36" s="566">
        <f>IF(ISNUMBER(System!$C37),PlotData!I37+SensA!$E$2* $AF$1*I36,PlotData!$CB$3)</f>
        <v>7.6500000953674316</v>
      </c>
      <c r="AJ36" s="566">
        <f>IF(ISNUMBER(System!$C37),PlotData!J37+SensA!$E$2* $AF$1*J36,PlotData!$CB$3)</f>
        <v>7.6500000953674316</v>
      </c>
      <c r="AK36" s="566">
        <f>IF(ISNUMBER(System!$C37),PlotData!K37+SensA!$E$2* $AF$1*K36,PlotData!$CB$3)</f>
        <v>7.6500000953674316</v>
      </c>
      <c r="AL36" s="567">
        <f>IF(ISNUMBER(System!$C37),PlotData!L37+SensA!$E$2* $AF$1*L36,PlotData!$CB$3)</f>
        <v>7.6500000953674316</v>
      </c>
      <c r="AM36" s="607">
        <f>IF(ISNUMBER(System!$C37),PlotData!L37,PlotData!$CB$3)</f>
        <v>7.6500000953674316</v>
      </c>
      <c r="AN36" s="566">
        <f>IF(ISNUMBER(System!$C37),PlotData!B37,PlotData!$CB$3)</f>
        <v>7.6500000953674316</v>
      </c>
      <c r="AO36" s="447">
        <f>IF(ISNUMBER(System!$C37),AB36,PlotData!$CB$3)</f>
        <v>7.6500000953674316</v>
      </c>
      <c r="AQ36" s="580">
        <v>34</v>
      </c>
      <c r="AR36" s="565">
        <f>IF(ISNUMBER(System!$C37),PlotData!O37+ SensA!$E$2*$AF$1*O36,PlotData!$CB$4)</f>
        <v>0.75</v>
      </c>
      <c r="AS36" s="566">
        <f>IF(ISNUMBER(System!$C37),PlotData!P37+ SensA!$E$2*$AF$1*P36,PlotData!$CB$4)</f>
        <v>0.75</v>
      </c>
      <c r="AT36" s="566">
        <f>IF(ISNUMBER(System!$C37),PlotData!Q37+ SensA!$E$2*$AF$1*Q36,PlotData!$CB$4)</f>
        <v>0.75</v>
      </c>
      <c r="AU36" s="566">
        <f>IF(ISNUMBER(System!$C37),PlotData!R37+ SensA!$E$2*$AF$1*R36,PlotData!$CB$4)</f>
        <v>0.75</v>
      </c>
      <c r="AV36" s="566">
        <f>IF(ISNUMBER(System!$C37),PlotData!S37+ SensA!$E$2*$AF$1*S36,PlotData!$CB$4)</f>
        <v>0.75</v>
      </c>
      <c r="AW36" s="566">
        <f>IF(ISNUMBER(System!$C37),PlotData!T37+ SensA!$E$2*$AF$1*T36,PlotData!$CB$4)</f>
        <v>0.75</v>
      </c>
      <c r="AX36" s="566">
        <f>IF(ISNUMBER(System!$C37),PlotData!U37+ SensA!$E$2*$AF$1*U36,PlotData!$CB$4)</f>
        <v>0.75</v>
      </c>
      <c r="AY36" s="566">
        <f>IF(ISNUMBER(System!$C37),PlotData!V37+ SensA!$E$2*$AF$1*V36,PlotData!$CB$4)</f>
        <v>0.75</v>
      </c>
      <c r="AZ36" s="566">
        <f>IF(ISNUMBER(System!$C37),PlotData!W37+ SensA!$E$2*$AF$1*W36,PlotData!$CB$4)</f>
        <v>0.75</v>
      </c>
      <c r="BA36" s="566">
        <f>IF(ISNUMBER(System!$C37),PlotData!X37+ SensA!$E$2*$AF$1*X36,PlotData!$CB$4)</f>
        <v>0.75</v>
      </c>
      <c r="BB36" s="567">
        <f>IF(ISNUMBER(System!$C37),PlotData!Y37+ SensA!$E$2*$AF$1*Y36,PlotData!$CB$4)</f>
        <v>0.75</v>
      </c>
      <c r="BC36" s="607">
        <f>IF(ISNUMBER(System!$C37),PlotData!Y37, PlotData!CB$4)</f>
        <v>0.75</v>
      </c>
      <c r="BD36" s="566">
        <f>IF(ISNUMBER(System!$C37),PlotData!O37, PlotData!$CB$4)</f>
        <v>0.75</v>
      </c>
      <c r="BE36" s="567">
        <f>IF(ISNUMBER(System!$C37), AR36,PlotData!$CB$4)</f>
        <v>0.75</v>
      </c>
    </row>
    <row r="37" spans="1:57" x14ac:dyDescent="0.35">
      <c r="A37" s="609">
        <v>35</v>
      </c>
      <c r="B37" s="565"/>
      <c r="C37" s="566"/>
      <c r="D37" s="566"/>
      <c r="E37" s="566"/>
      <c r="F37" s="566"/>
      <c r="G37" s="566"/>
      <c r="H37" s="566"/>
      <c r="I37" s="566"/>
      <c r="J37" s="566"/>
      <c r="K37" s="566"/>
      <c r="L37" s="567"/>
      <c r="N37" s="609">
        <v>35</v>
      </c>
      <c r="O37" s="565"/>
      <c r="P37" s="566"/>
      <c r="Q37" s="566"/>
      <c r="R37" s="566"/>
      <c r="S37" s="566"/>
      <c r="T37" s="566"/>
      <c r="U37" s="566"/>
      <c r="V37" s="566"/>
      <c r="W37" s="566"/>
      <c r="X37" s="566"/>
      <c r="Y37" s="567"/>
      <c r="AA37" s="580">
        <v>35</v>
      </c>
      <c r="AB37" s="565">
        <f>IF(ISNUMBER(System!$C38),PlotData!B38+SensA!$E$2* $AF$1*B37,PlotData!$CB$3)</f>
        <v>7.6500000953674316</v>
      </c>
      <c r="AC37" s="566">
        <f>IF(ISNUMBER(System!$C38),PlotData!C38+SensA!$E$2* $AF$1*C37,PlotData!$CB$3)</f>
        <v>7.6500000953674316</v>
      </c>
      <c r="AD37" s="566">
        <f>IF(ISNUMBER(System!$C38),PlotData!D38+SensA!$E$2* $AF$1*D37,PlotData!$CB$3)</f>
        <v>7.6500000953674316</v>
      </c>
      <c r="AE37" s="566">
        <f>IF(ISNUMBER(System!$C38),PlotData!E38+SensA!$E$2* $AF$1*E37,PlotData!$CB$3)</f>
        <v>7.6500000953674316</v>
      </c>
      <c r="AF37" s="566">
        <f>IF(ISNUMBER(System!$C38),PlotData!F38+SensA!$E$2* $AF$1*F37,PlotData!$CB$3)</f>
        <v>7.6500000953674316</v>
      </c>
      <c r="AG37" s="566">
        <f>IF(ISNUMBER(System!$C38),PlotData!G38+SensA!$E$2* $AF$1*G37,PlotData!$CB$3)</f>
        <v>7.6500000953674316</v>
      </c>
      <c r="AH37" s="566">
        <f>IF(ISNUMBER(System!$C38),PlotData!H38+SensA!$E$2* $AF$1*H37,PlotData!$CB$3)</f>
        <v>7.6500000953674316</v>
      </c>
      <c r="AI37" s="566">
        <f>IF(ISNUMBER(System!$C38),PlotData!I38+SensA!$E$2* $AF$1*I37,PlotData!$CB$3)</f>
        <v>7.6500000953674316</v>
      </c>
      <c r="AJ37" s="566">
        <f>IF(ISNUMBER(System!$C38),PlotData!J38+SensA!$E$2* $AF$1*J37,PlotData!$CB$3)</f>
        <v>7.6500000953674316</v>
      </c>
      <c r="AK37" s="566">
        <f>IF(ISNUMBER(System!$C38),PlotData!K38+SensA!$E$2* $AF$1*K37,PlotData!$CB$3)</f>
        <v>7.6500000953674316</v>
      </c>
      <c r="AL37" s="567">
        <f>IF(ISNUMBER(System!$C38),PlotData!L38+SensA!$E$2* $AF$1*L37,PlotData!$CB$3)</f>
        <v>7.6500000953674316</v>
      </c>
      <c r="AM37" s="607">
        <f>IF(ISNUMBER(System!$C38),PlotData!L38,PlotData!$CB$3)</f>
        <v>7.6500000953674316</v>
      </c>
      <c r="AN37" s="566">
        <f>IF(ISNUMBER(System!$C38),PlotData!B38,PlotData!$CB$3)</f>
        <v>7.6500000953674316</v>
      </c>
      <c r="AO37" s="447">
        <f>IF(ISNUMBER(System!$C38),AB37,PlotData!$CB$3)</f>
        <v>7.6500000953674316</v>
      </c>
      <c r="AQ37" s="580">
        <v>35</v>
      </c>
      <c r="AR37" s="565">
        <f>IF(ISNUMBER(System!$C38),PlotData!O38+ SensA!$E$2*$AF$1*O37,PlotData!$CB$4)</f>
        <v>0.75</v>
      </c>
      <c r="AS37" s="566">
        <f>IF(ISNUMBER(System!$C38),PlotData!P38+ SensA!$E$2*$AF$1*P37,PlotData!$CB$4)</f>
        <v>0.75</v>
      </c>
      <c r="AT37" s="566">
        <f>IF(ISNUMBER(System!$C38),PlotData!Q38+ SensA!$E$2*$AF$1*Q37,PlotData!$CB$4)</f>
        <v>0.75</v>
      </c>
      <c r="AU37" s="566">
        <f>IF(ISNUMBER(System!$C38),PlotData!R38+ SensA!$E$2*$AF$1*R37,PlotData!$CB$4)</f>
        <v>0.75</v>
      </c>
      <c r="AV37" s="566">
        <f>IF(ISNUMBER(System!$C38),PlotData!S38+ SensA!$E$2*$AF$1*S37,PlotData!$CB$4)</f>
        <v>0.75</v>
      </c>
      <c r="AW37" s="566">
        <f>IF(ISNUMBER(System!$C38),PlotData!T38+ SensA!$E$2*$AF$1*T37,PlotData!$CB$4)</f>
        <v>0.75</v>
      </c>
      <c r="AX37" s="566">
        <f>IF(ISNUMBER(System!$C38),PlotData!U38+ SensA!$E$2*$AF$1*U37,PlotData!$CB$4)</f>
        <v>0.75</v>
      </c>
      <c r="AY37" s="566">
        <f>IF(ISNUMBER(System!$C38),PlotData!V38+ SensA!$E$2*$AF$1*V37,PlotData!$CB$4)</f>
        <v>0.75</v>
      </c>
      <c r="AZ37" s="566">
        <f>IF(ISNUMBER(System!$C38),PlotData!W38+ SensA!$E$2*$AF$1*W37,PlotData!$CB$4)</f>
        <v>0.75</v>
      </c>
      <c r="BA37" s="566">
        <f>IF(ISNUMBER(System!$C38),PlotData!X38+ SensA!$E$2*$AF$1*X37,PlotData!$CB$4)</f>
        <v>0.75</v>
      </c>
      <c r="BB37" s="567">
        <f>IF(ISNUMBER(System!$C38),PlotData!Y38+ SensA!$E$2*$AF$1*Y37,PlotData!$CB$4)</f>
        <v>0.75</v>
      </c>
      <c r="BC37" s="607">
        <f>IF(ISNUMBER(System!$C38),PlotData!Y38, PlotData!CB$4)</f>
        <v>0.75</v>
      </c>
      <c r="BD37" s="566">
        <f>IF(ISNUMBER(System!$C38),PlotData!O38, PlotData!$CB$4)</f>
        <v>0.75</v>
      </c>
      <c r="BE37" s="567">
        <f>IF(ISNUMBER(System!$C38), AR37,PlotData!$CB$4)</f>
        <v>0.75</v>
      </c>
    </row>
    <row r="38" spans="1:57" x14ac:dyDescent="0.35">
      <c r="A38" s="609">
        <v>36</v>
      </c>
      <c r="B38" s="565"/>
      <c r="C38" s="566"/>
      <c r="D38" s="566"/>
      <c r="E38" s="566"/>
      <c r="F38" s="566"/>
      <c r="G38" s="566"/>
      <c r="H38" s="566"/>
      <c r="I38" s="566"/>
      <c r="J38" s="566"/>
      <c r="K38" s="566"/>
      <c r="L38" s="567"/>
      <c r="N38" s="609">
        <v>36</v>
      </c>
      <c r="O38" s="565"/>
      <c r="P38" s="566"/>
      <c r="Q38" s="566"/>
      <c r="R38" s="566"/>
      <c r="S38" s="566"/>
      <c r="T38" s="566"/>
      <c r="U38" s="566"/>
      <c r="V38" s="566"/>
      <c r="W38" s="566"/>
      <c r="X38" s="566"/>
      <c r="Y38" s="567"/>
      <c r="AA38" s="580">
        <v>36</v>
      </c>
      <c r="AB38" s="565">
        <f>IF(ISNUMBER(System!$C39),PlotData!B39+SensA!$E$2* $AF$1*B38,PlotData!$CB$3)</f>
        <v>7.6500000953674316</v>
      </c>
      <c r="AC38" s="566">
        <f>IF(ISNUMBER(System!$C39),PlotData!C39+SensA!$E$2* $AF$1*C38,PlotData!$CB$3)</f>
        <v>7.6500000953674316</v>
      </c>
      <c r="AD38" s="566">
        <f>IF(ISNUMBER(System!$C39),PlotData!D39+SensA!$E$2* $AF$1*D38,PlotData!$CB$3)</f>
        <v>7.6500000953674316</v>
      </c>
      <c r="AE38" s="566">
        <f>IF(ISNUMBER(System!$C39),PlotData!E39+SensA!$E$2* $AF$1*E38,PlotData!$CB$3)</f>
        <v>7.6500000953674316</v>
      </c>
      <c r="AF38" s="566">
        <f>IF(ISNUMBER(System!$C39),PlotData!F39+SensA!$E$2* $AF$1*F38,PlotData!$CB$3)</f>
        <v>7.6500000953674316</v>
      </c>
      <c r="AG38" s="566">
        <f>IF(ISNUMBER(System!$C39),PlotData!G39+SensA!$E$2* $AF$1*G38,PlotData!$CB$3)</f>
        <v>7.6500000953674316</v>
      </c>
      <c r="AH38" s="566">
        <f>IF(ISNUMBER(System!$C39),PlotData!H39+SensA!$E$2* $AF$1*H38,PlotData!$CB$3)</f>
        <v>7.6500000953674316</v>
      </c>
      <c r="AI38" s="566">
        <f>IF(ISNUMBER(System!$C39),PlotData!I39+SensA!$E$2* $AF$1*I38,PlotData!$CB$3)</f>
        <v>7.6500000953674316</v>
      </c>
      <c r="AJ38" s="566">
        <f>IF(ISNUMBER(System!$C39),PlotData!J39+SensA!$E$2* $AF$1*J38,PlotData!$CB$3)</f>
        <v>7.6500000953674316</v>
      </c>
      <c r="AK38" s="566">
        <f>IF(ISNUMBER(System!$C39),PlotData!K39+SensA!$E$2* $AF$1*K38,PlotData!$CB$3)</f>
        <v>7.6500000953674316</v>
      </c>
      <c r="AL38" s="567">
        <f>IF(ISNUMBER(System!$C39),PlotData!L39+SensA!$E$2* $AF$1*L38,PlotData!$CB$3)</f>
        <v>7.6500000953674316</v>
      </c>
      <c r="AM38" s="607">
        <f>IF(ISNUMBER(System!$C39),PlotData!L39,PlotData!$CB$3)</f>
        <v>7.6500000953674316</v>
      </c>
      <c r="AN38" s="566">
        <f>IF(ISNUMBER(System!$C39),PlotData!B39,PlotData!$CB$3)</f>
        <v>7.6500000953674316</v>
      </c>
      <c r="AO38" s="447">
        <f>IF(ISNUMBER(System!$C39),AB38,PlotData!$CB$3)</f>
        <v>7.6500000953674316</v>
      </c>
      <c r="AQ38" s="580">
        <v>36</v>
      </c>
      <c r="AR38" s="565">
        <f>IF(ISNUMBER(System!$C39),PlotData!O39+ SensA!$E$2*$AF$1*O38,PlotData!$CB$4)</f>
        <v>0.75</v>
      </c>
      <c r="AS38" s="566">
        <f>IF(ISNUMBER(System!$C39),PlotData!P39+ SensA!$E$2*$AF$1*P38,PlotData!$CB$4)</f>
        <v>0.75</v>
      </c>
      <c r="AT38" s="566">
        <f>IF(ISNUMBER(System!$C39),PlotData!Q39+ SensA!$E$2*$AF$1*Q38,PlotData!$CB$4)</f>
        <v>0.75</v>
      </c>
      <c r="AU38" s="566">
        <f>IF(ISNUMBER(System!$C39),PlotData!R39+ SensA!$E$2*$AF$1*R38,PlotData!$CB$4)</f>
        <v>0.75</v>
      </c>
      <c r="AV38" s="566">
        <f>IF(ISNUMBER(System!$C39),PlotData!S39+ SensA!$E$2*$AF$1*S38,PlotData!$CB$4)</f>
        <v>0.75</v>
      </c>
      <c r="AW38" s="566">
        <f>IF(ISNUMBER(System!$C39),PlotData!T39+ SensA!$E$2*$AF$1*T38,PlotData!$CB$4)</f>
        <v>0.75</v>
      </c>
      <c r="AX38" s="566">
        <f>IF(ISNUMBER(System!$C39),PlotData!U39+ SensA!$E$2*$AF$1*U38,PlotData!$CB$4)</f>
        <v>0.75</v>
      </c>
      <c r="AY38" s="566">
        <f>IF(ISNUMBER(System!$C39),PlotData!V39+ SensA!$E$2*$AF$1*V38,PlotData!$CB$4)</f>
        <v>0.75</v>
      </c>
      <c r="AZ38" s="566">
        <f>IF(ISNUMBER(System!$C39),PlotData!W39+ SensA!$E$2*$AF$1*W38,PlotData!$CB$4)</f>
        <v>0.75</v>
      </c>
      <c r="BA38" s="566">
        <f>IF(ISNUMBER(System!$C39),PlotData!X39+ SensA!$E$2*$AF$1*X38,PlotData!$CB$4)</f>
        <v>0.75</v>
      </c>
      <c r="BB38" s="567">
        <f>IF(ISNUMBER(System!$C39),PlotData!Y39+ SensA!$E$2*$AF$1*Y38,PlotData!$CB$4)</f>
        <v>0.75</v>
      </c>
      <c r="BC38" s="607">
        <f>IF(ISNUMBER(System!$C39),PlotData!Y39, PlotData!CB$4)</f>
        <v>0.75</v>
      </c>
      <c r="BD38" s="566">
        <f>IF(ISNUMBER(System!$C39),PlotData!O39, PlotData!$CB$4)</f>
        <v>0.75</v>
      </c>
      <c r="BE38" s="567">
        <f>IF(ISNUMBER(System!$C39), AR38,PlotData!$CB$4)</f>
        <v>0.75</v>
      </c>
    </row>
    <row r="39" spans="1:57" x14ac:dyDescent="0.35">
      <c r="A39" s="609">
        <v>37</v>
      </c>
      <c r="B39" s="565"/>
      <c r="C39" s="566"/>
      <c r="D39" s="566"/>
      <c r="E39" s="566"/>
      <c r="F39" s="566"/>
      <c r="G39" s="566"/>
      <c r="H39" s="566"/>
      <c r="I39" s="566"/>
      <c r="J39" s="566"/>
      <c r="K39" s="566"/>
      <c r="L39" s="567"/>
      <c r="N39" s="609">
        <v>37</v>
      </c>
      <c r="O39" s="565"/>
      <c r="P39" s="566"/>
      <c r="Q39" s="566"/>
      <c r="R39" s="566"/>
      <c r="S39" s="566"/>
      <c r="T39" s="566"/>
      <c r="U39" s="566"/>
      <c r="V39" s="566"/>
      <c r="W39" s="566"/>
      <c r="X39" s="566"/>
      <c r="Y39" s="567"/>
      <c r="AA39" s="580">
        <v>37</v>
      </c>
      <c r="AB39" s="565">
        <f>IF(ISNUMBER(System!$C40),PlotData!B40+SensA!$E$2* $AF$1*B39,PlotData!$CB$3)</f>
        <v>7.6500000953674316</v>
      </c>
      <c r="AC39" s="566">
        <f>IF(ISNUMBER(System!$C40),PlotData!C40+SensA!$E$2* $AF$1*C39,PlotData!$CB$3)</f>
        <v>7.6500000953674316</v>
      </c>
      <c r="AD39" s="566">
        <f>IF(ISNUMBER(System!$C40),PlotData!D40+SensA!$E$2* $AF$1*D39,PlotData!$CB$3)</f>
        <v>7.6500000953674316</v>
      </c>
      <c r="AE39" s="566">
        <f>IF(ISNUMBER(System!$C40),PlotData!E40+SensA!$E$2* $AF$1*E39,PlotData!$CB$3)</f>
        <v>7.6500000953674316</v>
      </c>
      <c r="AF39" s="566">
        <f>IF(ISNUMBER(System!$C40),PlotData!F40+SensA!$E$2* $AF$1*F39,PlotData!$CB$3)</f>
        <v>7.6500000953674316</v>
      </c>
      <c r="AG39" s="566">
        <f>IF(ISNUMBER(System!$C40),PlotData!G40+SensA!$E$2* $AF$1*G39,PlotData!$CB$3)</f>
        <v>7.6500000953674316</v>
      </c>
      <c r="AH39" s="566">
        <f>IF(ISNUMBER(System!$C40),PlotData!H40+SensA!$E$2* $AF$1*H39,PlotData!$CB$3)</f>
        <v>7.6500000953674316</v>
      </c>
      <c r="AI39" s="566">
        <f>IF(ISNUMBER(System!$C40),PlotData!I40+SensA!$E$2* $AF$1*I39,PlotData!$CB$3)</f>
        <v>7.6500000953674316</v>
      </c>
      <c r="AJ39" s="566">
        <f>IF(ISNUMBER(System!$C40),PlotData!J40+SensA!$E$2* $AF$1*J39,PlotData!$CB$3)</f>
        <v>7.6500000953674316</v>
      </c>
      <c r="AK39" s="566">
        <f>IF(ISNUMBER(System!$C40),PlotData!K40+SensA!$E$2* $AF$1*K39,PlotData!$CB$3)</f>
        <v>7.6500000953674316</v>
      </c>
      <c r="AL39" s="567">
        <f>IF(ISNUMBER(System!$C40),PlotData!L40+SensA!$E$2* $AF$1*L39,PlotData!$CB$3)</f>
        <v>7.6500000953674316</v>
      </c>
      <c r="AM39" s="607">
        <f>IF(ISNUMBER(System!$C40),PlotData!L40,PlotData!$CB$3)</f>
        <v>7.6500000953674316</v>
      </c>
      <c r="AN39" s="566">
        <f>IF(ISNUMBER(System!$C40),PlotData!B40,PlotData!$CB$3)</f>
        <v>7.6500000953674316</v>
      </c>
      <c r="AO39" s="447">
        <f>IF(ISNUMBER(System!$C40),AB39,PlotData!$CB$3)</f>
        <v>7.6500000953674316</v>
      </c>
      <c r="AQ39" s="580">
        <v>37</v>
      </c>
      <c r="AR39" s="565">
        <f>IF(ISNUMBER(System!$C40),PlotData!O40+ SensA!$E$2*$AF$1*O39,PlotData!$CB$4)</f>
        <v>0.75</v>
      </c>
      <c r="AS39" s="566">
        <f>IF(ISNUMBER(System!$C40),PlotData!P40+ SensA!$E$2*$AF$1*P39,PlotData!$CB$4)</f>
        <v>0.75</v>
      </c>
      <c r="AT39" s="566">
        <f>IF(ISNUMBER(System!$C40),PlotData!Q40+ SensA!$E$2*$AF$1*Q39,PlotData!$CB$4)</f>
        <v>0.75</v>
      </c>
      <c r="AU39" s="566">
        <f>IF(ISNUMBER(System!$C40),PlotData!R40+ SensA!$E$2*$AF$1*R39,PlotData!$CB$4)</f>
        <v>0.75</v>
      </c>
      <c r="AV39" s="566">
        <f>IF(ISNUMBER(System!$C40),PlotData!S40+ SensA!$E$2*$AF$1*S39,PlotData!$CB$4)</f>
        <v>0.75</v>
      </c>
      <c r="AW39" s="566">
        <f>IF(ISNUMBER(System!$C40),PlotData!T40+ SensA!$E$2*$AF$1*T39,PlotData!$CB$4)</f>
        <v>0.75</v>
      </c>
      <c r="AX39" s="566">
        <f>IF(ISNUMBER(System!$C40),PlotData!U40+ SensA!$E$2*$AF$1*U39,PlotData!$CB$4)</f>
        <v>0.75</v>
      </c>
      <c r="AY39" s="566">
        <f>IF(ISNUMBER(System!$C40),PlotData!V40+ SensA!$E$2*$AF$1*V39,PlotData!$CB$4)</f>
        <v>0.75</v>
      </c>
      <c r="AZ39" s="566">
        <f>IF(ISNUMBER(System!$C40),PlotData!W40+ SensA!$E$2*$AF$1*W39,PlotData!$CB$4)</f>
        <v>0.75</v>
      </c>
      <c r="BA39" s="566">
        <f>IF(ISNUMBER(System!$C40),PlotData!X40+ SensA!$E$2*$AF$1*X39,PlotData!$CB$4)</f>
        <v>0.75</v>
      </c>
      <c r="BB39" s="567">
        <f>IF(ISNUMBER(System!$C40),PlotData!Y40+ SensA!$E$2*$AF$1*Y39,PlotData!$CB$4)</f>
        <v>0.75</v>
      </c>
      <c r="BC39" s="607">
        <f>IF(ISNUMBER(System!$C40),PlotData!Y40, PlotData!CB$4)</f>
        <v>0.75</v>
      </c>
      <c r="BD39" s="566">
        <f>IF(ISNUMBER(System!$C40),PlotData!O40, PlotData!$CB$4)</f>
        <v>0.75</v>
      </c>
      <c r="BE39" s="567">
        <f>IF(ISNUMBER(System!$C40), AR39,PlotData!$CB$4)</f>
        <v>0.75</v>
      </c>
    </row>
    <row r="40" spans="1:57" x14ac:dyDescent="0.35">
      <c r="A40" s="609">
        <v>38</v>
      </c>
      <c r="B40" s="565"/>
      <c r="C40" s="566"/>
      <c r="D40" s="566"/>
      <c r="E40" s="566"/>
      <c r="F40" s="566"/>
      <c r="G40" s="566"/>
      <c r="H40" s="566"/>
      <c r="I40" s="566"/>
      <c r="J40" s="566"/>
      <c r="K40" s="566"/>
      <c r="L40" s="567"/>
      <c r="N40" s="609">
        <v>38</v>
      </c>
      <c r="O40" s="565"/>
      <c r="P40" s="566"/>
      <c r="Q40" s="566"/>
      <c r="R40" s="566"/>
      <c r="S40" s="566"/>
      <c r="T40" s="566"/>
      <c r="U40" s="566"/>
      <c r="V40" s="566"/>
      <c r="W40" s="566"/>
      <c r="X40" s="566"/>
      <c r="Y40" s="567"/>
      <c r="AA40" s="580">
        <v>38</v>
      </c>
      <c r="AB40" s="565">
        <f>IF(ISNUMBER(System!$C41),PlotData!B41+SensA!$E$2* $AF$1*B40,PlotData!$CB$3)</f>
        <v>7.6500000953674316</v>
      </c>
      <c r="AC40" s="566">
        <f>IF(ISNUMBER(System!$C41),PlotData!C41+SensA!$E$2* $AF$1*C40,PlotData!$CB$3)</f>
        <v>7.6500000953674316</v>
      </c>
      <c r="AD40" s="566">
        <f>IF(ISNUMBER(System!$C41),PlotData!D41+SensA!$E$2* $AF$1*D40,PlotData!$CB$3)</f>
        <v>7.6500000953674316</v>
      </c>
      <c r="AE40" s="566">
        <f>IF(ISNUMBER(System!$C41),PlotData!E41+SensA!$E$2* $AF$1*E40,PlotData!$CB$3)</f>
        <v>7.6500000953674316</v>
      </c>
      <c r="AF40" s="566">
        <f>IF(ISNUMBER(System!$C41),PlotData!F41+SensA!$E$2* $AF$1*F40,PlotData!$CB$3)</f>
        <v>7.6500000953674316</v>
      </c>
      <c r="AG40" s="566">
        <f>IF(ISNUMBER(System!$C41),PlotData!G41+SensA!$E$2* $AF$1*G40,PlotData!$CB$3)</f>
        <v>7.6500000953674316</v>
      </c>
      <c r="AH40" s="566">
        <f>IF(ISNUMBER(System!$C41),PlotData!H41+SensA!$E$2* $AF$1*H40,PlotData!$CB$3)</f>
        <v>7.6500000953674316</v>
      </c>
      <c r="AI40" s="566">
        <f>IF(ISNUMBER(System!$C41),PlotData!I41+SensA!$E$2* $AF$1*I40,PlotData!$CB$3)</f>
        <v>7.6500000953674316</v>
      </c>
      <c r="AJ40" s="566">
        <f>IF(ISNUMBER(System!$C41),PlotData!J41+SensA!$E$2* $AF$1*J40,PlotData!$CB$3)</f>
        <v>7.6500000953674316</v>
      </c>
      <c r="AK40" s="566">
        <f>IF(ISNUMBER(System!$C41),PlotData!K41+SensA!$E$2* $AF$1*K40,PlotData!$CB$3)</f>
        <v>7.6500000953674316</v>
      </c>
      <c r="AL40" s="567">
        <f>IF(ISNUMBER(System!$C41),PlotData!L41+SensA!$E$2* $AF$1*L40,PlotData!$CB$3)</f>
        <v>7.6500000953674316</v>
      </c>
      <c r="AM40" s="607">
        <f>IF(ISNUMBER(System!$C41),PlotData!L41,PlotData!$CB$3)</f>
        <v>7.6500000953674316</v>
      </c>
      <c r="AN40" s="566">
        <f>IF(ISNUMBER(System!$C41),PlotData!B41,PlotData!$CB$3)</f>
        <v>7.6500000953674316</v>
      </c>
      <c r="AO40" s="447">
        <f>IF(ISNUMBER(System!$C41),AB40,PlotData!$CB$3)</f>
        <v>7.6500000953674316</v>
      </c>
      <c r="AQ40" s="580">
        <v>38</v>
      </c>
      <c r="AR40" s="565">
        <f>IF(ISNUMBER(System!$C41),PlotData!O41+ SensA!$E$2*$AF$1*O40,PlotData!$CB$4)</f>
        <v>0.75</v>
      </c>
      <c r="AS40" s="566">
        <f>IF(ISNUMBER(System!$C41),PlotData!P41+ SensA!$E$2*$AF$1*P40,PlotData!$CB$4)</f>
        <v>0.75</v>
      </c>
      <c r="AT40" s="566">
        <f>IF(ISNUMBER(System!$C41),PlotData!Q41+ SensA!$E$2*$AF$1*Q40,PlotData!$CB$4)</f>
        <v>0.75</v>
      </c>
      <c r="AU40" s="566">
        <f>IF(ISNUMBER(System!$C41),PlotData!R41+ SensA!$E$2*$AF$1*R40,PlotData!$CB$4)</f>
        <v>0.75</v>
      </c>
      <c r="AV40" s="566">
        <f>IF(ISNUMBER(System!$C41),PlotData!S41+ SensA!$E$2*$AF$1*S40,PlotData!$CB$4)</f>
        <v>0.75</v>
      </c>
      <c r="AW40" s="566">
        <f>IF(ISNUMBER(System!$C41),PlotData!T41+ SensA!$E$2*$AF$1*T40,PlotData!$CB$4)</f>
        <v>0.75</v>
      </c>
      <c r="AX40" s="566">
        <f>IF(ISNUMBER(System!$C41),PlotData!U41+ SensA!$E$2*$AF$1*U40,PlotData!$CB$4)</f>
        <v>0.75</v>
      </c>
      <c r="AY40" s="566">
        <f>IF(ISNUMBER(System!$C41),PlotData!V41+ SensA!$E$2*$AF$1*V40,PlotData!$CB$4)</f>
        <v>0.75</v>
      </c>
      <c r="AZ40" s="566">
        <f>IF(ISNUMBER(System!$C41),PlotData!W41+ SensA!$E$2*$AF$1*W40,PlotData!$CB$4)</f>
        <v>0.75</v>
      </c>
      <c r="BA40" s="566">
        <f>IF(ISNUMBER(System!$C41),PlotData!X41+ SensA!$E$2*$AF$1*X40,PlotData!$CB$4)</f>
        <v>0.75</v>
      </c>
      <c r="BB40" s="567">
        <f>IF(ISNUMBER(System!$C41),PlotData!Y41+ SensA!$E$2*$AF$1*Y40,PlotData!$CB$4)</f>
        <v>0.75</v>
      </c>
      <c r="BC40" s="607">
        <f>IF(ISNUMBER(System!$C41),PlotData!Y41, PlotData!CB$4)</f>
        <v>0.75</v>
      </c>
      <c r="BD40" s="566">
        <f>IF(ISNUMBER(System!$C41),PlotData!O41, PlotData!$CB$4)</f>
        <v>0.75</v>
      </c>
      <c r="BE40" s="567">
        <f>IF(ISNUMBER(System!$C41), AR40,PlotData!$CB$4)</f>
        <v>0.75</v>
      </c>
    </row>
    <row r="41" spans="1:57" x14ac:dyDescent="0.35">
      <c r="A41" s="609">
        <v>39</v>
      </c>
      <c r="B41" s="565"/>
      <c r="C41" s="566"/>
      <c r="D41" s="566"/>
      <c r="E41" s="566"/>
      <c r="F41" s="566"/>
      <c r="G41" s="566"/>
      <c r="H41" s="566"/>
      <c r="I41" s="566"/>
      <c r="J41" s="566"/>
      <c r="K41" s="566"/>
      <c r="L41" s="567"/>
      <c r="N41" s="609">
        <v>39</v>
      </c>
      <c r="O41" s="565"/>
      <c r="P41" s="566"/>
      <c r="Q41" s="566"/>
      <c r="R41" s="566"/>
      <c r="S41" s="566"/>
      <c r="T41" s="566"/>
      <c r="U41" s="566"/>
      <c r="V41" s="566"/>
      <c r="W41" s="566"/>
      <c r="X41" s="566"/>
      <c r="Y41" s="567"/>
      <c r="AA41" s="580">
        <v>39</v>
      </c>
      <c r="AB41" s="565">
        <f>IF(ISNUMBER(System!$C42),PlotData!B42+SensA!$E$2* $AF$1*B41,PlotData!$CB$3)</f>
        <v>7.6500000953674316</v>
      </c>
      <c r="AC41" s="566">
        <f>IF(ISNUMBER(System!$C42),PlotData!C42+SensA!$E$2* $AF$1*C41,PlotData!$CB$3)</f>
        <v>7.6500000953674316</v>
      </c>
      <c r="AD41" s="566">
        <f>IF(ISNUMBER(System!$C42),PlotData!D42+SensA!$E$2* $AF$1*D41,PlotData!$CB$3)</f>
        <v>7.6500000953674316</v>
      </c>
      <c r="AE41" s="566">
        <f>IF(ISNUMBER(System!$C42),PlotData!E42+SensA!$E$2* $AF$1*E41,PlotData!$CB$3)</f>
        <v>7.6500000953674316</v>
      </c>
      <c r="AF41" s="566">
        <f>IF(ISNUMBER(System!$C42),PlotData!F42+SensA!$E$2* $AF$1*F41,PlotData!$CB$3)</f>
        <v>7.6500000953674316</v>
      </c>
      <c r="AG41" s="566">
        <f>IF(ISNUMBER(System!$C42),PlotData!G42+SensA!$E$2* $AF$1*G41,PlotData!$CB$3)</f>
        <v>7.6500000953674316</v>
      </c>
      <c r="AH41" s="566">
        <f>IF(ISNUMBER(System!$C42),PlotData!H42+SensA!$E$2* $AF$1*H41,PlotData!$CB$3)</f>
        <v>7.6500000953674316</v>
      </c>
      <c r="AI41" s="566">
        <f>IF(ISNUMBER(System!$C42),PlotData!I42+SensA!$E$2* $AF$1*I41,PlotData!$CB$3)</f>
        <v>7.6500000953674316</v>
      </c>
      <c r="AJ41" s="566">
        <f>IF(ISNUMBER(System!$C42),PlotData!J42+SensA!$E$2* $AF$1*J41,PlotData!$CB$3)</f>
        <v>7.6500000953674316</v>
      </c>
      <c r="AK41" s="566">
        <f>IF(ISNUMBER(System!$C42),PlotData!K42+SensA!$E$2* $AF$1*K41,PlotData!$CB$3)</f>
        <v>7.6500000953674316</v>
      </c>
      <c r="AL41" s="567">
        <f>IF(ISNUMBER(System!$C42),PlotData!L42+SensA!$E$2* $AF$1*L41,PlotData!$CB$3)</f>
        <v>7.6500000953674316</v>
      </c>
      <c r="AM41" s="607">
        <f>IF(ISNUMBER(System!$C42),PlotData!L42,PlotData!$CB$3)</f>
        <v>7.6500000953674316</v>
      </c>
      <c r="AN41" s="566">
        <f>IF(ISNUMBER(System!$C42),PlotData!B42,PlotData!$CB$3)</f>
        <v>7.6500000953674316</v>
      </c>
      <c r="AO41" s="447">
        <f>IF(ISNUMBER(System!$C42),AB41,PlotData!$CB$3)</f>
        <v>7.6500000953674316</v>
      </c>
      <c r="AQ41" s="580">
        <v>39</v>
      </c>
      <c r="AR41" s="565">
        <f>IF(ISNUMBER(System!$C42),PlotData!O42+ SensA!$E$2*$AF$1*O41,PlotData!$CB$4)</f>
        <v>0.75</v>
      </c>
      <c r="AS41" s="566">
        <f>IF(ISNUMBER(System!$C42),PlotData!P42+ SensA!$E$2*$AF$1*P41,PlotData!$CB$4)</f>
        <v>0.75</v>
      </c>
      <c r="AT41" s="566">
        <f>IF(ISNUMBER(System!$C42),PlotData!Q42+ SensA!$E$2*$AF$1*Q41,PlotData!$CB$4)</f>
        <v>0.75</v>
      </c>
      <c r="AU41" s="566">
        <f>IF(ISNUMBER(System!$C42),PlotData!R42+ SensA!$E$2*$AF$1*R41,PlotData!$CB$4)</f>
        <v>0.75</v>
      </c>
      <c r="AV41" s="566">
        <f>IF(ISNUMBER(System!$C42),PlotData!S42+ SensA!$E$2*$AF$1*S41,PlotData!$CB$4)</f>
        <v>0.75</v>
      </c>
      <c r="AW41" s="566">
        <f>IF(ISNUMBER(System!$C42),PlotData!T42+ SensA!$E$2*$AF$1*T41,PlotData!$CB$4)</f>
        <v>0.75</v>
      </c>
      <c r="AX41" s="566">
        <f>IF(ISNUMBER(System!$C42),PlotData!U42+ SensA!$E$2*$AF$1*U41,PlotData!$CB$4)</f>
        <v>0.75</v>
      </c>
      <c r="AY41" s="566">
        <f>IF(ISNUMBER(System!$C42),PlotData!V42+ SensA!$E$2*$AF$1*V41,PlotData!$CB$4)</f>
        <v>0.75</v>
      </c>
      <c r="AZ41" s="566">
        <f>IF(ISNUMBER(System!$C42),PlotData!W42+ SensA!$E$2*$AF$1*W41,PlotData!$CB$4)</f>
        <v>0.75</v>
      </c>
      <c r="BA41" s="566">
        <f>IF(ISNUMBER(System!$C42),PlotData!X42+ SensA!$E$2*$AF$1*X41,PlotData!$CB$4)</f>
        <v>0.75</v>
      </c>
      <c r="BB41" s="567">
        <f>IF(ISNUMBER(System!$C42),PlotData!Y42+ SensA!$E$2*$AF$1*Y41,PlotData!$CB$4)</f>
        <v>0.75</v>
      </c>
      <c r="BC41" s="607">
        <f>IF(ISNUMBER(System!$C42),PlotData!Y42, PlotData!CB$4)</f>
        <v>0.75</v>
      </c>
      <c r="BD41" s="566">
        <f>IF(ISNUMBER(System!$C42),PlotData!O42, PlotData!$CB$4)</f>
        <v>0.75</v>
      </c>
      <c r="BE41" s="567">
        <f>IF(ISNUMBER(System!$C42), AR41,PlotData!$CB$4)</f>
        <v>0.75</v>
      </c>
    </row>
    <row r="42" spans="1:57" ht="13.15" thickBot="1" x14ac:dyDescent="0.4">
      <c r="A42" s="610">
        <v>40</v>
      </c>
      <c r="B42" s="507"/>
      <c r="C42" s="503"/>
      <c r="D42" s="503"/>
      <c r="E42" s="503"/>
      <c r="F42" s="503"/>
      <c r="G42" s="503"/>
      <c r="H42" s="503"/>
      <c r="I42" s="503"/>
      <c r="J42" s="503"/>
      <c r="K42" s="503"/>
      <c r="L42" s="504"/>
      <c r="N42" s="610">
        <v>40</v>
      </c>
      <c r="O42" s="507"/>
      <c r="P42" s="503"/>
      <c r="Q42" s="503"/>
      <c r="R42" s="503"/>
      <c r="S42" s="503"/>
      <c r="T42" s="503"/>
      <c r="U42" s="503"/>
      <c r="V42" s="503"/>
      <c r="W42" s="503"/>
      <c r="X42" s="503"/>
      <c r="Y42" s="504"/>
      <c r="AA42" s="592">
        <v>40</v>
      </c>
      <c r="AB42" s="507">
        <f>IF(ISNUMBER(System!$C43),PlotData!B43+SensA!$E$2* $AF$1*B42,PlotData!$CB$3)</f>
        <v>7.6500000953674316</v>
      </c>
      <c r="AC42" s="503">
        <f>IF(ISNUMBER(System!$C43),PlotData!C43+SensA!$E$2* $AF$1*C42,PlotData!$CB$3)</f>
        <v>7.6500000953674316</v>
      </c>
      <c r="AD42" s="503">
        <f>IF(ISNUMBER(System!$C43),PlotData!D43+SensA!$E$2* $AF$1*D42,PlotData!$CB$3)</f>
        <v>7.6500000953674316</v>
      </c>
      <c r="AE42" s="503">
        <f>IF(ISNUMBER(System!$C43),PlotData!E43+SensA!$E$2* $AF$1*E42,PlotData!$CB$3)</f>
        <v>7.6500000953674316</v>
      </c>
      <c r="AF42" s="503">
        <f>IF(ISNUMBER(System!$C43),PlotData!F43+SensA!$E$2* $AF$1*F42,PlotData!$CB$3)</f>
        <v>7.6500000953674316</v>
      </c>
      <c r="AG42" s="503">
        <f>IF(ISNUMBER(System!$C43),PlotData!G43+SensA!$E$2* $AF$1*G42,PlotData!$CB$3)</f>
        <v>7.6500000953674316</v>
      </c>
      <c r="AH42" s="503">
        <f>IF(ISNUMBER(System!$C43),PlotData!H43+SensA!$E$2* $AF$1*H42,PlotData!$CB$3)</f>
        <v>7.6500000953674316</v>
      </c>
      <c r="AI42" s="503">
        <f>IF(ISNUMBER(System!$C43),PlotData!I43+SensA!$E$2* $AF$1*I42,PlotData!$CB$3)</f>
        <v>7.6500000953674316</v>
      </c>
      <c r="AJ42" s="503">
        <f>IF(ISNUMBER(System!$C43),PlotData!J43+SensA!$E$2* $AF$1*J42,PlotData!$CB$3)</f>
        <v>7.6500000953674316</v>
      </c>
      <c r="AK42" s="503">
        <f>IF(ISNUMBER(System!$C43),PlotData!K43+SensA!$E$2* $AF$1*K42,PlotData!$CB$3)</f>
        <v>7.6500000953674316</v>
      </c>
      <c r="AL42" s="504">
        <f>IF(ISNUMBER(System!$C43),PlotData!L43+SensA!$E$2* $AF$1*L42,PlotData!$CB$3)</f>
        <v>7.6500000953674316</v>
      </c>
      <c r="AM42" s="611">
        <f>IF(ISNUMBER(System!$C43),PlotData!L43,PlotData!$CB$3)</f>
        <v>7.6500000953674316</v>
      </c>
      <c r="AN42" s="503">
        <f>IF(ISNUMBER(System!$C43),PlotData!B43,PlotData!$CB$3)</f>
        <v>7.6500000953674316</v>
      </c>
      <c r="AO42" s="454">
        <f>IF(ISNUMBER(System!$C43),AB42,PlotData!$CB$3)</f>
        <v>7.6500000953674316</v>
      </c>
      <c r="AQ42" s="592">
        <v>40</v>
      </c>
      <c r="AR42" s="507">
        <f>IF(ISNUMBER(System!$C43),PlotData!O43+ SensA!$E$2*$AF$1*O42,PlotData!$CB$4)</f>
        <v>0.75</v>
      </c>
      <c r="AS42" s="503">
        <f>IF(ISNUMBER(System!$C43),PlotData!P43+ SensA!$E$2*$AF$1*P42,PlotData!$CB$4)</f>
        <v>0.75</v>
      </c>
      <c r="AT42" s="503">
        <f>IF(ISNUMBER(System!$C43),PlotData!Q43+ SensA!$E$2*$AF$1*Q42,PlotData!$CB$4)</f>
        <v>0.75</v>
      </c>
      <c r="AU42" s="503">
        <f>IF(ISNUMBER(System!$C43),PlotData!R43+ SensA!$E$2*$AF$1*R42,PlotData!$CB$4)</f>
        <v>0.75</v>
      </c>
      <c r="AV42" s="503">
        <f>IF(ISNUMBER(System!$C43),PlotData!S43+ SensA!$E$2*$AF$1*S42,PlotData!$CB$4)</f>
        <v>0.75</v>
      </c>
      <c r="AW42" s="503">
        <f>IF(ISNUMBER(System!$C43),PlotData!T43+ SensA!$E$2*$AF$1*T42,PlotData!$CB$4)</f>
        <v>0.75</v>
      </c>
      <c r="AX42" s="503">
        <f>IF(ISNUMBER(System!$C43),PlotData!U43+ SensA!$E$2*$AF$1*U42,PlotData!$CB$4)</f>
        <v>0.75</v>
      </c>
      <c r="AY42" s="503">
        <f>IF(ISNUMBER(System!$C43),PlotData!V43+ SensA!$E$2*$AF$1*V42,PlotData!$CB$4)</f>
        <v>0.75</v>
      </c>
      <c r="AZ42" s="503">
        <f>IF(ISNUMBER(System!$C43),PlotData!W43+ SensA!$E$2*$AF$1*W42,PlotData!$CB$4)</f>
        <v>0.75</v>
      </c>
      <c r="BA42" s="503">
        <f>IF(ISNUMBER(System!$C43),PlotData!X43+ SensA!$E$2*$AF$1*X42,PlotData!$CB$4)</f>
        <v>0.75</v>
      </c>
      <c r="BB42" s="504">
        <f>IF(ISNUMBER(System!$C43),PlotData!Y43+ SensA!$E$2*$AF$1*Y42,PlotData!$CB$4)</f>
        <v>0.75</v>
      </c>
      <c r="BC42" s="611">
        <f>IF(ISNUMBER(System!$C43),PlotData!Y43, PlotData!CB$4)</f>
        <v>0.75</v>
      </c>
      <c r="BD42" s="503">
        <f>IF(ISNUMBER(System!$C43),PlotData!O43, PlotData!$CB$4)</f>
        <v>0.75</v>
      </c>
      <c r="BE42" s="504">
        <f>IF(ISNUMBER(System!$C43), AR42,PlotData!$CB$4)</f>
        <v>0.75</v>
      </c>
    </row>
    <row r="43" spans="1:57" x14ac:dyDescent="0.35">
      <c r="AR43" s="424"/>
    </row>
    <row r="68" spans="1:36" x14ac:dyDescent="0.35">
      <c r="A68" s="455"/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612"/>
      <c r="AA68" s="455"/>
      <c r="AB68" s="455"/>
      <c r="AC68" s="455"/>
      <c r="AD68" s="455"/>
      <c r="AE68" s="455"/>
      <c r="AF68" s="455"/>
      <c r="AG68" s="455"/>
      <c r="AH68" s="455"/>
      <c r="AI68" s="455"/>
      <c r="AJ68" s="455"/>
    </row>
    <row r="69" spans="1:36" x14ac:dyDescent="0.35">
      <c r="A69" s="455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612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</row>
    <row r="70" spans="1:36" x14ac:dyDescent="0.35">
      <c r="A70" s="455"/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612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</row>
    <row r="71" spans="1:36" x14ac:dyDescent="0.35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612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</row>
    <row r="72" spans="1:36" x14ac:dyDescent="0.35">
      <c r="A72" s="455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612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</row>
    <row r="73" spans="1:36" x14ac:dyDescent="0.35">
      <c r="A73" s="455"/>
      <c r="B73" s="59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612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</row>
    <row r="74" spans="1:36" x14ac:dyDescent="0.35">
      <c r="A74" s="59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595"/>
      <c r="R74" s="455"/>
      <c r="S74" s="455"/>
      <c r="T74" s="455"/>
      <c r="U74" s="455"/>
      <c r="V74" s="455"/>
      <c r="W74" s="455"/>
      <c r="X74" s="455"/>
      <c r="Y74" s="455"/>
      <c r="Z74" s="612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</row>
    <row r="75" spans="1:36" x14ac:dyDescent="0.35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612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</row>
    <row r="76" spans="1:36" x14ac:dyDescent="0.35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612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</row>
    <row r="77" spans="1:36" x14ac:dyDescent="0.35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612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</row>
    <row r="78" spans="1:36" x14ac:dyDescent="0.35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612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</row>
    <row r="79" spans="1:36" x14ac:dyDescent="0.3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612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</row>
    <row r="80" spans="1:36" x14ac:dyDescent="0.35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612"/>
      <c r="AA80" s="455"/>
      <c r="AB80" s="455"/>
      <c r="AC80" s="455"/>
      <c r="AD80" s="455"/>
      <c r="AE80" s="455"/>
      <c r="AF80" s="455"/>
      <c r="AG80" s="455"/>
      <c r="AH80" s="455"/>
      <c r="AI80" s="455"/>
      <c r="AJ80" s="455"/>
    </row>
    <row r="81" spans="1:36" x14ac:dyDescent="0.35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612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</row>
    <row r="82" spans="1:36" x14ac:dyDescent="0.35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612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</row>
    <row r="83" spans="1:36" x14ac:dyDescent="0.3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612"/>
      <c r="AA83" s="455"/>
      <c r="AB83" s="455"/>
      <c r="AC83" s="455"/>
      <c r="AD83" s="455"/>
      <c r="AE83" s="455"/>
      <c r="AF83" s="455"/>
      <c r="AG83" s="455"/>
      <c r="AH83" s="455"/>
      <c r="AI83" s="455"/>
      <c r="AJ83" s="455"/>
    </row>
    <row r="84" spans="1:36" x14ac:dyDescent="0.35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612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</row>
    <row r="85" spans="1:36" x14ac:dyDescent="0.3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612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</row>
    <row r="86" spans="1:36" x14ac:dyDescent="0.35">
      <c r="A86" s="455"/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612"/>
      <c r="AA86" s="455"/>
      <c r="AB86" s="455"/>
      <c r="AC86" s="455"/>
      <c r="AD86" s="455"/>
      <c r="AE86" s="455"/>
      <c r="AF86" s="455"/>
      <c r="AG86" s="455"/>
      <c r="AH86" s="455"/>
      <c r="AI86" s="455"/>
      <c r="AJ86" s="455"/>
    </row>
    <row r="87" spans="1:36" x14ac:dyDescent="0.35">
      <c r="A87" s="455"/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612"/>
      <c r="AA87" s="455"/>
      <c r="AB87" s="455"/>
      <c r="AC87" s="455"/>
      <c r="AD87" s="455"/>
      <c r="AE87" s="455"/>
      <c r="AF87" s="455"/>
      <c r="AG87" s="455"/>
      <c r="AH87" s="455"/>
      <c r="AI87" s="455"/>
      <c r="AJ87" s="455"/>
    </row>
    <row r="88" spans="1:36" x14ac:dyDescent="0.35">
      <c r="A88" s="455"/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612"/>
      <c r="AA88" s="455"/>
      <c r="AB88" s="455"/>
      <c r="AC88" s="455"/>
      <c r="AD88" s="455"/>
      <c r="AE88" s="455"/>
      <c r="AF88" s="455"/>
      <c r="AG88" s="455"/>
      <c r="AH88" s="455"/>
      <c r="AI88" s="455"/>
      <c r="AJ88" s="455"/>
    </row>
    <row r="89" spans="1:36" x14ac:dyDescent="0.35">
      <c r="A89" s="455"/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612"/>
      <c r="AA89" s="455"/>
      <c r="AB89" s="455"/>
      <c r="AC89" s="455"/>
      <c r="AD89" s="455"/>
      <c r="AE89" s="455"/>
      <c r="AF89" s="455"/>
      <c r="AG89" s="455"/>
      <c r="AH89" s="455"/>
      <c r="AI89" s="455"/>
      <c r="AJ89" s="455"/>
    </row>
    <row r="90" spans="1:36" x14ac:dyDescent="0.35">
      <c r="A90" s="455"/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612"/>
      <c r="AA90" s="455"/>
      <c r="AB90" s="455"/>
      <c r="AC90" s="455"/>
      <c r="AD90" s="455"/>
      <c r="AE90" s="455"/>
      <c r="AF90" s="455"/>
      <c r="AG90" s="455"/>
      <c r="AH90" s="455"/>
      <c r="AI90" s="455"/>
      <c r="AJ90" s="455"/>
    </row>
    <row r="91" spans="1:36" x14ac:dyDescent="0.3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612"/>
      <c r="AA91" s="455"/>
      <c r="AB91" s="455"/>
      <c r="AC91" s="455"/>
      <c r="AD91" s="455"/>
      <c r="AE91" s="455"/>
      <c r="AF91" s="455"/>
      <c r="AG91" s="455"/>
      <c r="AH91" s="455"/>
      <c r="AI91" s="455"/>
      <c r="AJ91" s="455"/>
    </row>
    <row r="92" spans="1:36" x14ac:dyDescent="0.35">
      <c r="A92" s="455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612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</row>
    <row r="93" spans="1:36" x14ac:dyDescent="0.35">
      <c r="A93" s="455"/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612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</row>
    <row r="94" spans="1:36" x14ac:dyDescent="0.35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612"/>
      <c r="AA94" s="455"/>
      <c r="AB94" s="455"/>
      <c r="AC94" s="455"/>
      <c r="AD94" s="455"/>
      <c r="AE94" s="455"/>
      <c r="AF94" s="455"/>
      <c r="AG94" s="455"/>
      <c r="AH94" s="455"/>
      <c r="AI94" s="455"/>
      <c r="AJ94" s="455"/>
    </row>
    <row r="95" spans="1:36" x14ac:dyDescent="0.35">
      <c r="A95" s="455"/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612"/>
      <c r="AA95" s="455"/>
      <c r="AB95" s="455"/>
      <c r="AC95" s="455"/>
      <c r="AD95" s="455"/>
      <c r="AE95" s="455"/>
      <c r="AF95" s="455"/>
      <c r="AG95" s="455"/>
      <c r="AH95" s="455"/>
      <c r="AI95" s="455"/>
      <c r="AJ95" s="455"/>
    </row>
    <row r="96" spans="1:36" x14ac:dyDescent="0.35">
      <c r="A96" s="455"/>
      <c r="B96" s="595"/>
      <c r="C96" s="595"/>
      <c r="D96" s="455"/>
      <c r="E96" s="595"/>
      <c r="F96" s="455"/>
      <c r="G96" s="455"/>
      <c r="H96" s="595"/>
      <c r="I96" s="455"/>
      <c r="J96" s="455"/>
      <c r="K96" s="455"/>
      <c r="L96" s="455"/>
      <c r="M96" s="455"/>
      <c r="N96" s="455"/>
      <c r="O96" s="455"/>
      <c r="P96" s="455"/>
      <c r="Q96" s="455"/>
      <c r="R96" s="595"/>
      <c r="S96" s="455"/>
      <c r="T96" s="455"/>
      <c r="U96" s="455"/>
      <c r="V96" s="455"/>
      <c r="W96" s="455"/>
      <c r="X96" s="455"/>
      <c r="Y96" s="455"/>
      <c r="Z96" s="612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</row>
    <row r="97" spans="1:36" x14ac:dyDescent="0.35">
      <c r="A97" s="595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595"/>
      <c r="R97" s="455"/>
      <c r="S97" s="455"/>
      <c r="T97" s="455"/>
      <c r="U97" s="455"/>
      <c r="V97" s="455"/>
      <c r="W97" s="455"/>
      <c r="X97" s="455"/>
      <c r="Y97" s="455"/>
      <c r="Z97" s="612"/>
      <c r="AA97" s="455"/>
      <c r="AB97" s="455"/>
      <c r="AC97" s="455"/>
      <c r="AD97" s="455"/>
      <c r="AE97" s="455"/>
      <c r="AF97" s="455"/>
      <c r="AG97" s="455"/>
      <c r="AH97" s="455"/>
      <c r="AI97" s="455"/>
      <c r="AJ97" s="455"/>
    </row>
    <row r="98" spans="1:36" x14ac:dyDescent="0.35">
      <c r="A98" s="455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59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612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</row>
    <row r="99" spans="1:36" x14ac:dyDescent="0.35">
      <c r="A99" s="455"/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59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612"/>
      <c r="AA99" s="455"/>
      <c r="AB99" s="455"/>
      <c r="AC99" s="455"/>
      <c r="AD99" s="455"/>
      <c r="AE99" s="455"/>
      <c r="AF99" s="455"/>
      <c r="AG99" s="455"/>
      <c r="AH99" s="455"/>
      <c r="AI99" s="455"/>
      <c r="AJ99" s="455"/>
    </row>
    <row r="100" spans="1:36" x14ac:dyDescent="0.35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59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612"/>
      <c r="AA100" s="455"/>
      <c r="AB100" s="455"/>
      <c r="AC100" s="455"/>
      <c r="AD100" s="455"/>
      <c r="AE100" s="455"/>
      <c r="AF100" s="455"/>
      <c r="AG100" s="455"/>
      <c r="AH100" s="455"/>
      <c r="AI100" s="455"/>
      <c r="AJ100" s="455"/>
    </row>
    <row r="101" spans="1:36" x14ac:dyDescent="0.35">
      <c r="A101" s="455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59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612"/>
      <c r="AA101" s="455"/>
      <c r="AB101" s="455"/>
      <c r="AC101" s="455"/>
      <c r="AD101" s="455"/>
      <c r="AE101" s="455"/>
      <c r="AF101" s="455"/>
      <c r="AG101" s="455"/>
      <c r="AH101" s="455"/>
      <c r="AI101" s="455"/>
      <c r="AJ101" s="455"/>
    </row>
    <row r="102" spans="1:36" x14ac:dyDescent="0.35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59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612"/>
      <c r="AA102" s="455"/>
      <c r="AB102" s="455"/>
      <c r="AC102" s="455"/>
      <c r="AD102" s="455"/>
      <c r="AE102" s="455"/>
      <c r="AF102" s="455"/>
      <c r="AG102" s="455"/>
      <c r="AH102" s="455"/>
      <c r="AI102" s="455"/>
      <c r="AJ102" s="455"/>
    </row>
    <row r="103" spans="1:36" x14ac:dyDescent="0.35">
      <c r="A103" s="455"/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59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612"/>
      <c r="AA103" s="455"/>
      <c r="AB103" s="455"/>
      <c r="AC103" s="455"/>
      <c r="AD103" s="455"/>
      <c r="AE103" s="455"/>
      <c r="AF103" s="455"/>
      <c r="AG103" s="455"/>
      <c r="AH103" s="455"/>
      <c r="AI103" s="455"/>
      <c r="AJ103" s="455"/>
    </row>
    <row r="104" spans="1:36" x14ac:dyDescent="0.35">
      <c r="A104" s="455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59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612"/>
      <c r="AA104" s="455"/>
      <c r="AB104" s="455"/>
      <c r="AC104" s="455"/>
      <c r="AD104" s="455"/>
      <c r="AE104" s="455"/>
      <c r="AF104" s="455"/>
      <c r="AG104" s="455"/>
      <c r="AH104" s="455"/>
      <c r="AI104" s="455"/>
      <c r="AJ104" s="455"/>
    </row>
    <row r="105" spans="1:36" x14ac:dyDescent="0.35">
      <c r="A105" s="455"/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59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612"/>
      <c r="AA105" s="455"/>
      <c r="AB105" s="455"/>
      <c r="AC105" s="455"/>
      <c r="AD105" s="455"/>
      <c r="AE105" s="455"/>
      <c r="AF105" s="455"/>
      <c r="AG105" s="455"/>
      <c r="AH105" s="455"/>
      <c r="AI105" s="455"/>
      <c r="AJ105" s="455"/>
    </row>
    <row r="106" spans="1:36" x14ac:dyDescent="0.35">
      <c r="A106" s="455"/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59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612"/>
      <c r="AA106" s="455"/>
      <c r="AB106" s="455"/>
      <c r="AC106" s="455"/>
      <c r="AD106" s="455"/>
      <c r="AE106" s="455"/>
      <c r="AF106" s="455"/>
      <c r="AG106" s="455"/>
      <c r="AH106" s="455"/>
      <c r="AI106" s="455"/>
      <c r="AJ106" s="455"/>
    </row>
    <row r="107" spans="1:36" x14ac:dyDescent="0.35">
      <c r="A107" s="455"/>
      <c r="B107" s="455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59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612"/>
      <c r="AA107" s="455"/>
      <c r="AB107" s="455"/>
      <c r="AC107" s="455"/>
      <c r="AD107" s="455"/>
      <c r="AE107" s="455"/>
      <c r="AF107" s="455"/>
      <c r="AG107" s="455"/>
      <c r="AH107" s="455"/>
      <c r="AI107" s="455"/>
      <c r="AJ107" s="455"/>
    </row>
    <row r="108" spans="1:36" x14ac:dyDescent="0.35">
      <c r="A108" s="455"/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59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612"/>
      <c r="AA108" s="455"/>
      <c r="AB108" s="455"/>
      <c r="AC108" s="455"/>
      <c r="AD108" s="455"/>
      <c r="AE108" s="455"/>
      <c r="AF108" s="455"/>
      <c r="AG108" s="455"/>
      <c r="AH108" s="455"/>
      <c r="AI108" s="455"/>
      <c r="AJ108" s="455"/>
    </row>
    <row r="109" spans="1:36" x14ac:dyDescent="0.35">
      <c r="A109" s="455"/>
      <c r="B109" s="455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59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612"/>
      <c r="AA109" s="455"/>
      <c r="AB109" s="455"/>
      <c r="AC109" s="455"/>
      <c r="AD109" s="455"/>
      <c r="AE109" s="455"/>
      <c r="AF109" s="455"/>
      <c r="AG109" s="455"/>
      <c r="AH109" s="455"/>
      <c r="AI109" s="455"/>
      <c r="AJ109" s="455"/>
    </row>
    <row r="110" spans="1:36" x14ac:dyDescent="0.35">
      <c r="A110" s="455"/>
      <c r="B110" s="455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59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612"/>
      <c r="AA110" s="455"/>
      <c r="AB110" s="455"/>
      <c r="AC110" s="455"/>
      <c r="AD110" s="455"/>
      <c r="AE110" s="455"/>
      <c r="AF110" s="455"/>
      <c r="AG110" s="455"/>
      <c r="AH110" s="455"/>
      <c r="AI110" s="455"/>
      <c r="AJ110" s="455"/>
    </row>
    <row r="111" spans="1:36" x14ac:dyDescent="0.35">
      <c r="A111" s="455"/>
      <c r="B111" s="455"/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59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612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</row>
    <row r="112" spans="1:36" x14ac:dyDescent="0.35">
      <c r="A112" s="455"/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59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612"/>
      <c r="AA112" s="455"/>
      <c r="AB112" s="455"/>
      <c r="AC112" s="455"/>
      <c r="AD112" s="455"/>
      <c r="AE112" s="455"/>
      <c r="AF112" s="455"/>
      <c r="AG112" s="455"/>
      <c r="AH112" s="455"/>
      <c r="AI112" s="455"/>
      <c r="AJ112" s="455"/>
    </row>
    <row r="113" spans="1:36" x14ac:dyDescent="0.35">
      <c r="A113" s="455"/>
      <c r="B113" s="455"/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59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612"/>
      <c r="AA113" s="455"/>
      <c r="AB113" s="455"/>
      <c r="AC113" s="455"/>
      <c r="AD113" s="455"/>
      <c r="AE113" s="455"/>
      <c r="AF113" s="455"/>
      <c r="AG113" s="455"/>
      <c r="AH113" s="455"/>
      <c r="AI113" s="455"/>
      <c r="AJ113" s="455"/>
    </row>
    <row r="114" spans="1:36" x14ac:dyDescent="0.35">
      <c r="A114" s="455"/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59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612"/>
      <c r="AA114" s="455"/>
      <c r="AB114" s="455"/>
      <c r="AC114" s="455"/>
      <c r="AD114" s="455"/>
      <c r="AE114" s="455"/>
      <c r="AF114" s="455"/>
      <c r="AG114" s="455"/>
      <c r="AH114" s="455"/>
      <c r="AI114" s="455"/>
      <c r="AJ114" s="455"/>
    </row>
    <row r="115" spans="1:36" x14ac:dyDescent="0.35">
      <c r="A115" s="455"/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59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612"/>
      <c r="AA115" s="455"/>
      <c r="AB115" s="455"/>
      <c r="AC115" s="455"/>
      <c r="AD115" s="455"/>
      <c r="AE115" s="455"/>
      <c r="AF115" s="455"/>
      <c r="AG115" s="455"/>
      <c r="AH115" s="455"/>
      <c r="AI115" s="455"/>
      <c r="AJ115" s="455"/>
    </row>
    <row r="116" spans="1:36" x14ac:dyDescent="0.35">
      <c r="A116" s="455"/>
      <c r="B116" s="455"/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59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612"/>
      <c r="AA116" s="455"/>
      <c r="AB116" s="455"/>
      <c r="AC116" s="455"/>
      <c r="AD116" s="455"/>
      <c r="AE116" s="455"/>
      <c r="AF116" s="455"/>
      <c r="AG116" s="455"/>
      <c r="AH116" s="455"/>
      <c r="AI116" s="455"/>
      <c r="AJ116" s="455"/>
    </row>
    <row r="117" spans="1:36" x14ac:dyDescent="0.35">
      <c r="A117" s="455"/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59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612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</row>
    <row r="118" spans="1:36" x14ac:dyDescent="0.35">
      <c r="A118" s="455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612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</row>
    <row r="119" spans="1:36" x14ac:dyDescent="0.35">
      <c r="A119" s="455"/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612"/>
      <c r="AA119" s="455"/>
      <c r="AB119" s="455"/>
      <c r="AC119" s="455"/>
      <c r="AD119" s="455"/>
      <c r="AE119" s="455"/>
      <c r="AF119" s="455"/>
      <c r="AG119" s="455"/>
      <c r="AH119" s="455"/>
      <c r="AI119" s="455"/>
      <c r="AJ119" s="455"/>
    </row>
    <row r="120" spans="1:36" x14ac:dyDescent="0.35">
      <c r="A120" s="455"/>
      <c r="B120" s="455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612"/>
      <c r="AA120" s="455"/>
      <c r="AB120" s="455"/>
      <c r="AC120" s="455"/>
      <c r="AD120" s="455"/>
      <c r="AE120" s="455"/>
      <c r="AF120" s="455"/>
      <c r="AG120" s="455"/>
      <c r="AH120" s="455"/>
      <c r="AI120" s="455"/>
      <c r="AJ120" s="455"/>
    </row>
    <row r="121" spans="1:36" x14ac:dyDescent="0.35">
      <c r="A121" s="455"/>
      <c r="B121" s="455"/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W121" s="455"/>
      <c r="X121" s="455"/>
      <c r="Y121" s="455"/>
      <c r="Z121" s="612"/>
      <c r="AA121" s="455"/>
      <c r="AB121" s="455"/>
      <c r="AC121" s="455"/>
      <c r="AD121" s="455"/>
      <c r="AE121" s="455"/>
      <c r="AF121" s="455"/>
      <c r="AG121" s="455"/>
      <c r="AH121" s="455"/>
      <c r="AI121" s="455"/>
      <c r="AJ121" s="455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39"/>
  <sheetViews>
    <sheetView showRowColHeaders="0" workbookViewId="0"/>
  </sheetViews>
  <sheetFormatPr baseColWidth="10" defaultColWidth="11.46484375" defaultRowHeight="12.75" x14ac:dyDescent="0.35"/>
  <cols>
    <col min="1" max="1" width="16.796875" style="425" bestFit="1" customWidth="1"/>
    <col min="2" max="2" width="17" style="425" customWidth="1"/>
    <col min="3" max="3" width="9.46484375" style="425" customWidth="1"/>
    <col min="4" max="4" width="11.46484375" style="425"/>
    <col min="5" max="5" width="6.53125" style="425" customWidth="1"/>
    <col min="6" max="16384" width="11.46484375" style="425"/>
  </cols>
  <sheetData>
    <row r="1" spans="1:11" ht="13.15" thickBot="1" x14ac:dyDescent="0.4">
      <c r="A1" s="629" t="s">
        <v>177</v>
      </c>
      <c r="B1" s="630" t="s">
        <v>178</v>
      </c>
      <c r="D1" s="425" t="s">
        <v>178</v>
      </c>
      <c r="E1" s="455"/>
      <c r="F1" s="631"/>
      <c r="G1" s="424"/>
    </row>
    <row r="2" spans="1:11" x14ac:dyDescent="0.35">
      <c r="A2" s="632" t="s">
        <v>179</v>
      </c>
      <c r="B2" s="633"/>
      <c r="D2" s="425" t="s">
        <v>180</v>
      </c>
      <c r="E2" s="455"/>
      <c r="F2" s="455"/>
      <c r="G2" s="424"/>
    </row>
    <row r="3" spans="1:11" x14ac:dyDescent="0.35">
      <c r="A3" s="634" t="s">
        <v>181</v>
      </c>
      <c r="B3" s="635">
        <v>-19.965499999999999</v>
      </c>
      <c r="D3" s="425" t="s">
        <v>182</v>
      </c>
      <c r="E3" s="455"/>
      <c r="F3" s="455"/>
      <c r="G3" s="424"/>
    </row>
    <row r="4" spans="1:11" x14ac:dyDescent="0.35">
      <c r="A4" s="634" t="s">
        <v>183</v>
      </c>
      <c r="B4" s="635">
        <v>38.306399999999996</v>
      </c>
      <c r="D4" s="425" t="s">
        <v>184</v>
      </c>
      <c r="E4" s="455"/>
      <c r="F4" s="455"/>
      <c r="G4" s="424"/>
    </row>
    <row r="5" spans="1:11" x14ac:dyDescent="0.35">
      <c r="A5" s="634" t="s">
        <v>185</v>
      </c>
      <c r="B5" s="635">
        <v>-15.74</v>
      </c>
      <c r="D5" s="424" t="s">
        <v>186</v>
      </c>
      <c r="E5" s="595"/>
      <c r="F5" s="455"/>
      <c r="G5" s="424"/>
    </row>
    <row r="6" spans="1:11" ht="13.15" thickBot="1" x14ac:dyDescent="0.4">
      <c r="A6" s="636" t="s">
        <v>187</v>
      </c>
      <c r="B6" s="637">
        <v>14.448700000000001</v>
      </c>
      <c r="E6" s="595"/>
      <c r="F6" s="455"/>
      <c r="G6" s="424"/>
      <c r="H6" s="424"/>
      <c r="I6" s="424"/>
      <c r="J6" s="424"/>
      <c r="K6" s="424"/>
    </row>
    <row r="7" spans="1:11" x14ac:dyDescent="0.35">
      <c r="A7" s="632" t="s">
        <v>188</v>
      </c>
      <c r="B7" s="633"/>
      <c r="D7" s="455"/>
      <c r="E7" s="595"/>
      <c r="F7" s="455"/>
      <c r="G7" s="455"/>
      <c r="H7" s="455"/>
      <c r="I7" s="455"/>
      <c r="J7" s="455"/>
      <c r="K7" s="424"/>
    </row>
    <row r="8" spans="1:11" x14ac:dyDescent="0.35">
      <c r="A8" s="634" t="s">
        <v>158</v>
      </c>
      <c r="B8" s="635">
        <v>0.15</v>
      </c>
      <c r="D8" s="595"/>
      <c r="E8" s="595"/>
      <c r="F8" s="455"/>
      <c r="G8" s="455"/>
      <c r="H8" s="455"/>
      <c r="I8" s="455"/>
      <c r="J8" s="455"/>
      <c r="K8" s="424"/>
    </row>
    <row r="9" spans="1:11" ht="13.15" thickBot="1" x14ac:dyDescent="0.4">
      <c r="A9" s="636" t="s">
        <v>189</v>
      </c>
      <c r="B9" s="637">
        <v>0.15</v>
      </c>
      <c r="D9" s="595"/>
      <c r="E9" s="455"/>
      <c r="F9" s="455"/>
      <c r="G9" s="595"/>
      <c r="H9" s="455"/>
      <c r="I9" s="595"/>
      <c r="J9" s="455"/>
      <c r="K9" s="424"/>
    </row>
    <row r="10" spans="1:11" x14ac:dyDescent="0.35">
      <c r="A10" s="632" t="s">
        <v>190</v>
      </c>
      <c r="B10" s="633"/>
      <c r="D10" s="595"/>
      <c r="E10" s="455"/>
      <c r="F10" s="455"/>
      <c r="G10" s="595"/>
      <c r="H10" s="455"/>
      <c r="I10" s="595"/>
      <c r="J10" s="455"/>
      <c r="K10" s="424"/>
    </row>
    <row r="11" spans="1:11" x14ac:dyDescent="0.35">
      <c r="A11" s="634" t="s">
        <v>81</v>
      </c>
      <c r="B11" s="635">
        <v>1</v>
      </c>
      <c r="D11" s="595"/>
      <c r="E11" s="595"/>
      <c r="F11" s="455"/>
      <c r="G11" s="595"/>
      <c r="H11" s="455"/>
      <c r="I11" s="595"/>
      <c r="J11" s="455"/>
      <c r="K11" s="424"/>
    </row>
    <row r="12" spans="1:11" x14ac:dyDescent="0.35">
      <c r="A12" s="634" t="s">
        <v>191</v>
      </c>
      <c r="B12" s="635">
        <v>0</v>
      </c>
      <c r="D12" s="455"/>
      <c r="E12" s="595"/>
      <c r="F12" s="455"/>
      <c r="G12" s="595"/>
      <c r="H12" s="455"/>
      <c r="I12" s="595"/>
      <c r="J12" s="455"/>
      <c r="K12" s="424"/>
    </row>
    <row r="13" spans="1:11" x14ac:dyDescent="0.35">
      <c r="A13" s="634" t="s">
        <v>192</v>
      </c>
      <c r="B13" s="635">
        <v>1E-4</v>
      </c>
      <c r="D13" s="424"/>
      <c r="E13" s="595"/>
      <c r="F13" s="455"/>
      <c r="G13" s="595"/>
      <c r="H13" s="455"/>
      <c r="I13" s="455"/>
      <c r="J13" s="455"/>
      <c r="K13" s="424"/>
    </row>
    <row r="14" spans="1:11" x14ac:dyDescent="0.35">
      <c r="A14" s="634" t="s">
        <v>193</v>
      </c>
      <c r="B14" s="635">
        <v>2</v>
      </c>
      <c r="E14" s="595"/>
      <c r="F14" s="455"/>
      <c r="G14" s="595"/>
      <c r="H14" s="455"/>
      <c r="I14" s="424"/>
      <c r="J14" s="424"/>
      <c r="K14" s="424"/>
    </row>
    <row r="15" spans="1:11" x14ac:dyDescent="0.35">
      <c r="A15" s="634" t="s">
        <v>194</v>
      </c>
      <c r="B15" s="635">
        <v>1E-4</v>
      </c>
      <c r="E15" s="595"/>
      <c r="F15" s="455"/>
      <c r="G15" s="595"/>
      <c r="H15" s="455"/>
      <c r="I15" s="424"/>
      <c r="J15" s="424"/>
      <c r="K15" s="424"/>
    </row>
    <row r="16" spans="1:11" ht="13.15" thickBot="1" x14ac:dyDescent="0.4">
      <c r="A16" s="636" t="s">
        <v>195</v>
      </c>
      <c r="B16" s="637">
        <v>200</v>
      </c>
      <c r="E16" s="455"/>
      <c r="F16" s="455"/>
      <c r="G16" s="595"/>
      <c r="H16" s="455"/>
    </row>
    <row r="17" spans="1:8" x14ac:dyDescent="0.35">
      <c r="A17" s="632" t="s">
        <v>196</v>
      </c>
      <c r="B17" s="633"/>
      <c r="E17" s="455"/>
      <c r="F17" s="455"/>
      <c r="G17" s="595"/>
      <c r="H17" s="455"/>
    </row>
    <row r="18" spans="1:8" x14ac:dyDescent="0.35">
      <c r="A18" s="634" t="s">
        <v>197</v>
      </c>
      <c r="B18" s="635">
        <v>31.428484956337631</v>
      </c>
      <c r="E18" s="455"/>
      <c r="F18" s="455"/>
      <c r="G18" s="595"/>
      <c r="H18" s="455"/>
    </row>
    <row r="19" spans="1:8" x14ac:dyDescent="0.35">
      <c r="A19" s="634" t="s">
        <v>198</v>
      </c>
      <c r="B19" s="635">
        <v>2.8571427151923876</v>
      </c>
      <c r="E19" s="455"/>
      <c r="F19" s="455"/>
      <c r="G19" s="595"/>
      <c r="H19" s="455"/>
    </row>
    <row r="20" spans="1:8" x14ac:dyDescent="0.35">
      <c r="A20" s="634" t="s">
        <v>22</v>
      </c>
      <c r="B20" s="635">
        <v>-13.285708655097849</v>
      </c>
      <c r="E20" s="595"/>
      <c r="F20" s="455"/>
      <c r="G20" s="424"/>
    </row>
    <row r="21" spans="1:8" ht="13.15" thickBot="1" x14ac:dyDescent="0.4">
      <c r="A21" s="636" t="s">
        <v>199</v>
      </c>
      <c r="B21" s="637">
        <v>2.8571429361459524</v>
      </c>
      <c r="E21" s="455"/>
      <c r="F21" s="455"/>
      <c r="G21" s="424"/>
    </row>
    <row r="22" spans="1:8" x14ac:dyDescent="0.35">
      <c r="A22" s="632" t="s">
        <v>200</v>
      </c>
      <c r="B22" s="633"/>
      <c r="E22" s="455"/>
      <c r="F22" s="455"/>
      <c r="G22" s="424"/>
    </row>
    <row r="23" spans="1:8" x14ac:dyDescent="0.35">
      <c r="A23" s="634" t="s">
        <v>201</v>
      </c>
      <c r="B23" s="635" t="b">
        <v>1</v>
      </c>
      <c r="E23" s="455"/>
      <c r="F23" s="455"/>
      <c r="G23" s="424"/>
    </row>
    <row r="24" spans="1:8" x14ac:dyDescent="0.35">
      <c r="A24" s="634" t="s">
        <v>202</v>
      </c>
      <c r="B24" s="635" t="b">
        <v>0</v>
      </c>
      <c r="E24" s="595"/>
      <c r="F24" s="595"/>
      <c r="G24" s="424"/>
    </row>
    <row r="25" spans="1:8" x14ac:dyDescent="0.35">
      <c r="A25" s="634" t="s">
        <v>203</v>
      </c>
      <c r="B25" s="635" t="b">
        <v>0</v>
      </c>
      <c r="E25" s="455"/>
      <c r="F25" s="455"/>
      <c r="G25" s="424"/>
    </row>
    <row r="26" spans="1:8" x14ac:dyDescent="0.35">
      <c r="A26" s="634" t="s">
        <v>204</v>
      </c>
      <c r="B26" s="635" t="b">
        <v>1</v>
      </c>
      <c r="E26" s="455"/>
      <c r="F26" s="455"/>
      <c r="G26" s="424"/>
    </row>
    <row r="27" spans="1:8" x14ac:dyDescent="0.35">
      <c r="A27" s="634" t="s">
        <v>205</v>
      </c>
      <c r="B27" s="635" t="b">
        <v>0</v>
      </c>
      <c r="E27" s="455"/>
      <c r="F27" s="455"/>
      <c r="G27" s="424"/>
    </row>
    <row r="28" spans="1:8" x14ac:dyDescent="0.35">
      <c r="A28" s="634" t="s">
        <v>206</v>
      </c>
      <c r="B28" s="635" t="b">
        <v>0</v>
      </c>
      <c r="E28" s="455"/>
      <c r="F28" s="455"/>
      <c r="G28" s="424"/>
    </row>
    <row r="29" spans="1:8" x14ac:dyDescent="0.35">
      <c r="A29" s="634" t="s">
        <v>207</v>
      </c>
      <c r="B29" s="635">
        <v>0</v>
      </c>
      <c r="E29" s="455"/>
      <c r="F29" s="455"/>
      <c r="G29" s="424"/>
    </row>
    <row r="30" spans="1:8" x14ac:dyDescent="0.35">
      <c r="A30" s="634" t="s">
        <v>208</v>
      </c>
      <c r="B30" s="635">
        <v>1</v>
      </c>
      <c r="E30" s="455"/>
      <c r="F30" s="455"/>
      <c r="G30" s="424"/>
    </row>
    <row r="31" spans="1:8" x14ac:dyDescent="0.35">
      <c r="A31" s="634" t="s">
        <v>209</v>
      </c>
      <c r="B31" s="635">
        <v>1</v>
      </c>
      <c r="E31" s="455"/>
      <c r="F31" s="455"/>
      <c r="G31" s="424"/>
    </row>
    <row r="32" spans="1:8" x14ac:dyDescent="0.35">
      <c r="A32" s="634" t="s">
        <v>210</v>
      </c>
      <c r="B32" s="635">
        <v>1.006</v>
      </c>
      <c r="E32" s="595"/>
      <c r="F32" s="424"/>
      <c r="G32" s="424"/>
    </row>
    <row r="33" spans="1:7" x14ac:dyDescent="0.35">
      <c r="A33" s="634" t="s">
        <v>211</v>
      </c>
      <c r="B33" s="635">
        <v>0</v>
      </c>
      <c r="E33" s="595"/>
      <c r="F33" s="424"/>
      <c r="G33" s="424"/>
    </row>
    <row r="34" spans="1:7" ht="13.15" thickBot="1" x14ac:dyDescent="0.4">
      <c r="A34" s="636" t="s">
        <v>11</v>
      </c>
      <c r="B34" s="637" t="b">
        <v>0</v>
      </c>
      <c r="E34" s="424"/>
      <c r="F34" s="424"/>
      <c r="G34" s="424"/>
    </row>
    <row r="35" spans="1:7" x14ac:dyDescent="0.35">
      <c r="A35" s="632" t="s">
        <v>212</v>
      </c>
      <c r="B35" s="633" t="s">
        <v>213</v>
      </c>
      <c r="E35" s="424"/>
      <c r="F35" s="424"/>
      <c r="G35" s="424"/>
    </row>
    <row r="36" spans="1:7" x14ac:dyDescent="0.35">
      <c r="A36" s="634" t="s">
        <v>214</v>
      </c>
      <c r="B36" s="635">
        <v>1.7569200992584229</v>
      </c>
    </row>
    <row r="37" spans="1:7" x14ac:dyDescent="0.35">
      <c r="A37" s="634" t="s">
        <v>215</v>
      </c>
      <c r="B37" s="635" t="s">
        <v>216</v>
      </c>
    </row>
    <row r="38" spans="1:7" x14ac:dyDescent="0.35">
      <c r="A38" s="634" t="s">
        <v>217</v>
      </c>
      <c r="B38" s="635" t="s">
        <v>218</v>
      </c>
    </row>
    <row r="39" spans="1:7" ht="13.15" thickBot="1" x14ac:dyDescent="0.4">
      <c r="A39" s="636" t="s">
        <v>219</v>
      </c>
      <c r="B39" s="637">
        <v>0.5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1:BY161"/>
  <sheetViews>
    <sheetView zoomScale="73" zoomScaleNormal="73" workbookViewId="0">
      <pane xSplit="2" ySplit="3" topLeftCell="C4" activePane="bottomRight" state="frozen"/>
      <selection activeCell="U4" sqref="U4"/>
      <selection pane="topRight" activeCell="U4" sqref="U4"/>
      <selection pane="bottomLeft" activeCell="U4" sqref="U4"/>
      <selection pane="bottomRight"/>
    </sheetView>
  </sheetViews>
  <sheetFormatPr baseColWidth="10" defaultColWidth="11.46484375" defaultRowHeight="12.75" x14ac:dyDescent="0.35"/>
  <cols>
    <col min="1" max="1" width="6.53125" style="99" customWidth="1"/>
    <col min="2" max="3" width="9.46484375" style="99" customWidth="1"/>
    <col min="4" max="4" width="7.796875" style="99" customWidth="1"/>
    <col min="5" max="5" width="6.53125" style="99" customWidth="1"/>
    <col min="6" max="6" width="8.53125" style="99" customWidth="1"/>
    <col min="7" max="9" width="11.46484375" style="99" customWidth="1"/>
    <col min="10" max="10" width="8.53125" style="99" customWidth="1"/>
    <col min="11" max="11" width="8.53125" style="405" customWidth="1"/>
    <col min="12" max="13" width="7.796875" style="99" customWidth="1"/>
    <col min="14" max="14" width="7.46484375" style="99" customWidth="1"/>
    <col min="15" max="15" width="7.796875" style="99" customWidth="1"/>
    <col min="16" max="24" width="8.53125" style="99" customWidth="1"/>
    <col min="25" max="26" width="9.796875" style="99" customWidth="1"/>
    <col min="27" max="27" width="8.53125" style="99" customWidth="1"/>
    <col min="28" max="28" width="10" style="99" customWidth="1"/>
    <col min="29" max="29" width="10.53125" style="99" customWidth="1"/>
    <col min="30" max="30" width="9.796875" style="99" customWidth="1"/>
    <col min="31" max="31" width="8.796875" style="65" customWidth="1"/>
    <col min="32" max="32" width="10.53125" style="99" customWidth="1"/>
    <col min="33" max="33" width="11.19921875" style="99" customWidth="1"/>
    <col min="34" max="37" width="13.46484375" style="99" customWidth="1"/>
    <col min="38" max="38" width="13.796875" style="99" customWidth="1"/>
    <col min="39" max="39" width="14.19921875" style="99" customWidth="1"/>
    <col min="40" max="41" width="9.53125" style="99" customWidth="1"/>
    <col min="42" max="42" width="15.53125" style="99" customWidth="1"/>
    <col min="43" max="43" width="12.53125" style="401" customWidth="1"/>
    <col min="44" max="44" width="15.53125" style="99" customWidth="1"/>
    <col min="45" max="71" width="11.46484375" style="99"/>
    <col min="72" max="72" width="11.46484375" style="328"/>
    <col min="73" max="16384" width="11.46484375" style="99"/>
  </cols>
  <sheetData>
    <row r="1" spans="2:77" s="195" customFormat="1" ht="25.5" customHeight="1" thickBot="1" x14ac:dyDescent="0.45">
      <c r="E1" s="196" t="s">
        <v>41</v>
      </c>
      <c r="F1" s="197"/>
      <c r="K1" s="198"/>
      <c r="L1" s="199" t="s">
        <v>42</v>
      </c>
      <c r="M1" s="200"/>
      <c r="N1" s="200"/>
      <c r="O1" s="201"/>
      <c r="P1" s="202" t="s">
        <v>43</v>
      </c>
      <c r="Q1" s="203"/>
      <c r="R1" s="203"/>
      <c r="S1" s="203"/>
      <c r="T1" s="203"/>
      <c r="U1" s="203"/>
      <c r="V1" s="203"/>
      <c r="W1" s="204"/>
      <c r="X1" s="205" t="s">
        <v>44</v>
      </c>
      <c r="Y1" s="206"/>
      <c r="Z1" s="206"/>
      <c r="AA1" s="206"/>
      <c r="AB1" s="207" t="s">
        <v>45</v>
      </c>
      <c r="AC1" s="208"/>
      <c r="AD1" s="208"/>
      <c r="AE1" s="209"/>
      <c r="AF1" s="210" t="s">
        <v>46</v>
      </c>
      <c r="AG1" s="211"/>
      <c r="AH1" s="211"/>
      <c r="AI1" s="211"/>
      <c r="AJ1" s="211"/>
      <c r="AK1" s="211"/>
      <c r="AL1" s="212"/>
      <c r="AM1" s="213" t="s">
        <v>47</v>
      </c>
      <c r="AN1" s="213"/>
      <c r="AO1" s="214"/>
      <c r="AP1" s="215" t="s">
        <v>48</v>
      </c>
      <c r="AQ1" s="216"/>
      <c r="AR1" s="217" t="s">
        <v>49</v>
      </c>
      <c r="BD1" s="218"/>
      <c r="BE1" s="219"/>
      <c r="BF1" s="220"/>
      <c r="BG1" s="220"/>
      <c r="BH1" s="221"/>
      <c r="BI1" s="219"/>
      <c r="BT1" s="222"/>
    </row>
    <row r="2" spans="2:77" s="195" customFormat="1" ht="20.100000000000001" customHeight="1" thickBot="1" x14ac:dyDescent="0.45">
      <c r="C2" s="223" t="s">
        <v>50</v>
      </c>
      <c r="D2" s="224"/>
      <c r="E2" s="225" t="s">
        <v>51</v>
      </c>
      <c r="F2" s="226" t="s">
        <v>52</v>
      </c>
      <c r="G2" s="227" t="s">
        <v>53</v>
      </c>
      <c r="H2" s="228"/>
      <c r="I2" s="229"/>
      <c r="K2" s="198"/>
      <c r="L2" s="199" t="s">
        <v>54</v>
      </c>
      <c r="M2" s="201"/>
      <c r="N2" s="199" t="s">
        <v>55</v>
      </c>
      <c r="O2" s="201"/>
      <c r="P2" s="202" t="s">
        <v>54</v>
      </c>
      <c r="Q2" s="203"/>
      <c r="R2" s="203"/>
      <c r="S2" s="204"/>
      <c r="T2" s="202" t="s">
        <v>55</v>
      </c>
      <c r="U2" s="203"/>
      <c r="V2" s="203"/>
      <c r="W2" s="203"/>
      <c r="X2" s="230" t="s">
        <v>56</v>
      </c>
      <c r="Y2" s="231" t="s">
        <v>57</v>
      </c>
      <c r="Z2" s="231"/>
      <c r="AA2" s="232" t="s">
        <v>58</v>
      </c>
      <c r="AB2" s="233" t="s">
        <v>59</v>
      </c>
      <c r="AC2" s="234" t="s">
        <v>60</v>
      </c>
      <c r="AD2" s="234" t="s">
        <v>61</v>
      </c>
      <c r="AE2" s="235" t="s">
        <v>62</v>
      </c>
      <c r="AF2" s="236" t="s">
        <v>63</v>
      </c>
      <c r="AG2" s="237" t="s">
        <v>64</v>
      </c>
      <c r="AH2" s="238" t="s">
        <v>65</v>
      </c>
      <c r="AI2" s="239" t="s">
        <v>66</v>
      </c>
      <c r="AJ2" s="240"/>
      <c r="AK2" s="239" t="s">
        <v>67</v>
      </c>
      <c r="AL2" s="241"/>
      <c r="AM2" s="242" t="s">
        <v>68</v>
      </c>
      <c r="AN2" s="243" t="s">
        <v>69</v>
      </c>
      <c r="AO2" s="244"/>
      <c r="AP2" s="245" t="s">
        <v>70</v>
      </c>
      <c r="AQ2" s="246" t="s">
        <v>11</v>
      </c>
      <c r="AR2" s="217" t="s">
        <v>71</v>
      </c>
      <c r="AS2" s="247" t="s">
        <v>72</v>
      </c>
      <c r="AT2" s="248"/>
      <c r="AW2" s="99"/>
      <c r="AX2" s="99"/>
      <c r="AY2" s="99"/>
      <c r="AZ2" s="99"/>
      <c r="BA2" s="99"/>
      <c r="BB2" s="99"/>
      <c r="BC2" s="99"/>
      <c r="BD2" s="99"/>
      <c r="BE2" s="219"/>
      <c r="BF2" s="220"/>
      <c r="BG2" s="220"/>
      <c r="BH2" s="221"/>
      <c r="BI2" s="219"/>
      <c r="BT2" s="222"/>
    </row>
    <row r="3" spans="2:77" s="283" customFormat="1" ht="13.9" thickBot="1" x14ac:dyDescent="0.4">
      <c r="B3" s="249" t="s">
        <v>73</v>
      </c>
      <c r="C3" s="250" t="s">
        <v>74</v>
      </c>
      <c r="D3" s="251" t="s">
        <v>75</v>
      </c>
      <c r="E3" s="252" t="s">
        <v>76</v>
      </c>
      <c r="F3" s="253" t="s">
        <v>17</v>
      </c>
      <c r="G3" s="254" t="s">
        <v>77</v>
      </c>
      <c r="H3" s="255" t="s">
        <v>78</v>
      </c>
      <c r="I3" s="256" t="s">
        <v>79</v>
      </c>
      <c r="J3" s="257" t="s">
        <v>80</v>
      </c>
      <c r="K3" s="258" t="s">
        <v>81</v>
      </c>
      <c r="L3" s="259" t="s">
        <v>82</v>
      </c>
      <c r="M3" s="260" t="s">
        <v>83</v>
      </c>
      <c r="N3" s="261" t="s">
        <v>82</v>
      </c>
      <c r="O3" s="260" t="s">
        <v>83</v>
      </c>
      <c r="P3" s="262" t="s">
        <v>84</v>
      </c>
      <c r="Q3" s="263" t="s">
        <v>85</v>
      </c>
      <c r="R3" s="263" t="s">
        <v>86</v>
      </c>
      <c r="S3" s="264" t="s">
        <v>87</v>
      </c>
      <c r="T3" s="262" t="s">
        <v>84</v>
      </c>
      <c r="U3" s="265" t="s">
        <v>85</v>
      </c>
      <c r="V3" s="265" t="s">
        <v>86</v>
      </c>
      <c r="W3" s="263" t="s">
        <v>87</v>
      </c>
      <c r="X3" s="266" t="s">
        <v>88</v>
      </c>
      <c r="Y3" s="267" t="s">
        <v>89</v>
      </c>
      <c r="Z3" s="267" t="s">
        <v>90</v>
      </c>
      <c r="AA3" s="268" t="s">
        <v>91</v>
      </c>
      <c r="AB3" s="250" t="s">
        <v>92</v>
      </c>
      <c r="AC3" s="269" t="s">
        <v>93</v>
      </c>
      <c r="AD3" s="269" t="s">
        <v>94</v>
      </c>
      <c r="AE3" s="270" t="s">
        <v>95</v>
      </c>
      <c r="AF3" s="271" t="s">
        <v>31</v>
      </c>
      <c r="AG3" s="272" t="s">
        <v>96</v>
      </c>
      <c r="AH3" s="272" t="s">
        <v>97</v>
      </c>
      <c r="AI3" s="273" t="s">
        <v>98</v>
      </c>
      <c r="AJ3" s="273" t="s">
        <v>99</v>
      </c>
      <c r="AK3" s="273" t="s">
        <v>100</v>
      </c>
      <c r="AL3" s="274" t="s">
        <v>101</v>
      </c>
      <c r="AM3" s="275" t="s">
        <v>102</v>
      </c>
      <c r="AN3" s="276" t="s">
        <v>103</v>
      </c>
      <c r="AO3" s="277" t="s">
        <v>104</v>
      </c>
      <c r="AP3" s="278" t="s">
        <v>105</v>
      </c>
      <c r="AQ3" s="279" t="s">
        <v>106</v>
      </c>
      <c r="AR3" s="280" t="s">
        <v>27</v>
      </c>
      <c r="AS3" s="281" t="s">
        <v>107</v>
      </c>
      <c r="AT3" s="282" t="s">
        <v>108</v>
      </c>
      <c r="AV3" s="284"/>
      <c r="AW3" s="99"/>
      <c r="AX3" s="99"/>
      <c r="AY3" s="99"/>
      <c r="AZ3" s="99"/>
      <c r="BA3" s="99"/>
      <c r="BB3" s="99"/>
      <c r="BC3" s="99"/>
      <c r="BD3" s="99"/>
      <c r="BE3" s="285"/>
      <c r="BF3" s="286"/>
      <c r="BG3" s="286"/>
      <c r="BH3" s="287"/>
      <c r="BI3" s="285"/>
      <c r="BJ3" s="288"/>
      <c r="BK3" s="288"/>
      <c r="BL3" s="288"/>
      <c r="BM3" s="288"/>
      <c r="BN3" s="289"/>
      <c r="BO3" s="285"/>
      <c r="BP3" s="286"/>
      <c r="BQ3" s="286"/>
      <c r="BR3" s="286"/>
      <c r="BS3" s="286"/>
      <c r="BT3" s="290"/>
      <c r="BU3" s="286"/>
      <c r="BV3" s="286"/>
      <c r="BW3" s="286"/>
      <c r="BX3" s="286"/>
      <c r="BY3" s="286"/>
    </row>
    <row r="4" spans="2:77" x14ac:dyDescent="0.35">
      <c r="B4" s="291">
        <v>1</v>
      </c>
      <c r="C4" s="292">
        <v>1</v>
      </c>
      <c r="D4" s="293">
        <v>2</v>
      </c>
      <c r="E4" s="294">
        <v>2.85</v>
      </c>
      <c r="F4" s="295">
        <v>0</v>
      </c>
      <c r="G4" s="296">
        <v>100</v>
      </c>
      <c r="H4" s="297">
        <v>-1000</v>
      </c>
      <c r="I4" s="298">
        <v>0</v>
      </c>
      <c r="J4" s="299">
        <v>3</v>
      </c>
      <c r="K4" s="300">
        <v>0</v>
      </c>
      <c r="L4" s="301">
        <v>0</v>
      </c>
      <c r="M4" s="302">
        <v>0</v>
      </c>
      <c r="N4" s="72">
        <v>0</v>
      </c>
      <c r="O4" s="74">
        <v>0</v>
      </c>
      <c r="P4" s="303">
        <v>0</v>
      </c>
      <c r="Q4" s="304">
        <v>0</v>
      </c>
      <c r="R4" s="304">
        <v>0</v>
      </c>
      <c r="S4" s="305">
        <v>0</v>
      </c>
      <c r="T4" s="306">
        <v>0</v>
      </c>
      <c r="U4" s="307">
        <v>0</v>
      </c>
      <c r="V4" s="307">
        <v>0</v>
      </c>
      <c r="W4" s="308">
        <v>0</v>
      </c>
      <c r="X4" s="78">
        <v>0</v>
      </c>
      <c r="Y4" s="79">
        <v>0</v>
      </c>
      <c r="Z4" s="79">
        <v>0</v>
      </c>
      <c r="AA4" s="309">
        <v>0</v>
      </c>
      <c r="AB4" s="310">
        <v>0</v>
      </c>
      <c r="AC4" s="311">
        <v>0</v>
      </c>
      <c r="AD4" s="311">
        <v>0</v>
      </c>
      <c r="AE4" s="312">
        <v>0</v>
      </c>
      <c r="AF4" s="313">
        <v>0</v>
      </c>
      <c r="AG4" s="314">
        <v>0</v>
      </c>
      <c r="AH4" s="314">
        <v>0</v>
      </c>
      <c r="AI4" s="315">
        <v>0</v>
      </c>
      <c r="AJ4" s="315">
        <v>0</v>
      </c>
      <c r="AK4" s="315">
        <v>0</v>
      </c>
      <c r="AL4" s="315">
        <v>0</v>
      </c>
      <c r="AM4" s="316">
        <v>0</v>
      </c>
      <c r="AN4" s="317">
        <v>0</v>
      </c>
      <c r="AO4" s="318">
        <v>0</v>
      </c>
      <c r="AP4" s="319">
        <v>0</v>
      </c>
      <c r="AQ4" s="320">
        <v>0</v>
      </c>
      <c r="AR4" s="321">
        <v>0</v>
      </c>
      <c r="AS4" s="322">
        <v>0</v>
      </c>
      <c r="AT4" s="322">
        <v>0</v>
      </c>
      <c r="AV4" s="323"/>
      <c r="BE4" s="324"/>
      <c r="BF4" s="325"/>
      <c r="BG4" s="325"/>
      <c r="BH4" s="326"/>
      <c r="BI4" s="324"/>
      <c r="BJ4" s="326"/>
      <c r="BK4" s="324"/>
      <c r="BL4" s="324"/>
      <c r="BM4" s="324"/>
      <c r="BN4" s="327"/>
      <c r="BO4" s="324"/>
      <c r="BP4" s="325"/>
      <c r="BQ4" s="325"/>
      <c r="BR4" s="325"/>
      <c r="BS4" s="325"/>
      <c r="BU4" s="325"/>
      <c r="BV4" s="325"/>
      <c r="BW4" s="325"/>
      <c r="BX4" s="325"/>
      <c r="BY4" s="325"/>
    </row>
    <row r="5" spans="2:77" ht="14.1" customHeight="1" x14ac:dyDescent="0.35">
      <c r="B5" s="329">
        <v>2</v>
      </c>
      <c r="C5" s="330">
        <v>2</v>
      </c>
      <c r="D5" s="331">
        <v>8</v>
      </c>
      <c r="E5" s="332">
        <v>3.4508170038970478</v>
      </c>
      <c r="F5" s="333">
        <v>2.7229806254791709E-3</v>
      </c>
      <c r="G5" s="296">
        <v>100</v>
      </c>
      <c r="H5" s="297">
        <v>-1000</v>
      </c>
      <c r="I5" s="298">
        <v>0</v>
      </c>
      <c r="J5" s="334">
        <v>1</v>
      </c>
      <c r="K5" s="335">
        <v>0</v>
      </c>
      <c r="L5" s="336">
        <v>0</v>
      </c>
      <c r="M5" s="337">
        <v>0</v>
      </c>
      <c r="N5" s="106">
        <v>0</v>
      </c>
      <c r="O5" s="108">
        <v>0</v>
      </c>
      <c r="P5" s="338">
        <v>0</v>
      </c>
      <c r="Q5" s="339">
        <v>0</v>
      </c>
      <c r="R5" s="339">
        <v>0</v>
      </c>
      <c r="S5" s="340">
        <v>0</v>
      </c>
      <c r="T5" s="341">
        <v>0</v>
      </c>
      <c r="U5" s="342">
        <v>0</v>
      </c>
      <c r="V5" s="342">
        <v>0</v>
      </c>
      <c r="W5" s="343">
        <v>0</v>
      </c>
      <c r="X5" s="112">
        <v>0</v>
      </c>
      <c r="Y5" s="113">
        <v>0</v>
      </c>
      <c r="Z5" s="113">
        <v>0</v>
      </c>
      <c r="AA5" s="344">
        <v>0</v>
      </c>
      <c r="AB5" s="330">
        <v>0</v>
      </c>
      <c r="AC5" s="345">
        <v>0</v>
      </c>
      <c r="AD5" s="345">
        <v>0</v>
      </c>
      <c r="AE5" s="346">
        <v>0</v>
      </c>
      <c r="AF5" s="347">
        <v>0</v>
      </c>
      <c r="AG5" s="348">
        <v>0</v>
      </c>
      <c r="AH5" s="348">
        <v>0</v>
      </c>
      <c r="AI5" s="349">
        <v>0</v>
      </c>
      <c r="AJ5" s="349">
        <v>0</v>
      </c>
      <c r="AK5" s="349">
        <v>0</v>
      </c>
      <c r="AL5" s="349">
        <v>0</v>
      </c>
      <c r="AM5" s="350">
        <v>0</v>
      </c>
      <c r="AN5" s="351">
        <v>0</v>
      </c>
      <c r="AO5" s="352">
        <v>0</v>
      </c>
      <c r="AP5" s="319">
        <v>0</v>
      </c>
      <c r="AQ5" s="320">
        <v>0</v>
      </c>
      <c r="AR5" s="321">
        <v>0</v>
      </c>
      <c r="AS5" s="353">
        <v>0</v>
      </c>
      <c r="AT5" s="354">
        <v>0</v>
      </c>
      <c r="AV5" s="323"/>
      <c r="BE5" s="324"/>
      <c r="BF5" s="325"/>
      <c r="BG5" s="325"/>
      <c r="BH5" s="326"/>
      <c r="BI5" s="324"/>
      <c r="BJ5" s="326"/>
      <c r="BK5" s="324"/>
      <c r="BL5" s="324"/>
      <c r="BM5" s="324"/>
      <c r="BN5" s="327"/>
      <c r="BO5" s="324"/>
      <c r="BP5" s="325"/>
      <c r="BQ5" s="325"/>
      <c r="BR5" s="325"/>
      <c r="BS5" s="325"/>
      <c r="BU5" s="325"/>
      <c r="BV5" s="325"/>
      <c r="BW5" s="325"/>
      <c r="BX5" s="325"/>
      <c r="BY5" s="325"/>
    </row>
    <row r="6" spans="2:77" ht="14.1" customHeight="1" x14ac:dyDescent="0.35">
      <c r="B6" s="329">
        <v>3</v>
      </c>
      <c r="C6" s="330">
        <v>2</v>
      </c>
      <c r="D6" s="331">
        <v>4</v>
      </c>
      <c r="E6" s="332">
        <v>5.6603886792339626</v>
      </c>
      <c r="F6" s="333">
        <v>32.005383208083529</v>
      </c>
      <c r="G6" s="355">
        <v>100</v>
      </c>
      <c r="H6" s="297">
        <v>1000</v>
      </c>
      <c r="I6" s="298">
        <v>0</v>
      </c>
      <c r="J6" s="356">
        <v>3</v>
      </c>
      <c r="K6" s="335">
        <v>0</v>
      </c>
      <c r="L6" s="336">
        <v>0</v>
      </c>
      <c r="M6" s="337">
        <v>0</v>
      </c>
      <c r="N6" s="106">
        <v>0</v>
      </c>
      <c r="O6" s="108">
        <v>0</v>
      </c>
      <c r="P6" s="338">
        <v>0</v>
      </c>
      <c r="Q6" s="339">
        <v>0</v>
      </c>
      <c r="R6" s="339">
        <v>0</v>
      </c>
      <c r="S6" s="340">
        <v>0</v>
      </c>
      <c r="T6" s="341">
        <v>0</v>
      </c>
      <c r="U6" s="342">
        <v>0</v>
      </c>
      <c r="V6" s="342">
        <v>0</v>
      </c>
      <c r="W6" s="343">
        <v>0</v>
      </c>
      <c r="X6" s="112">
        <v>0</v>
      </c>
      <c r="Y6" s="113">
        <v>0</v>
      </c>
      <c r="Z6" s="113">
        <v>0</v>
      </c>
      <c r="AA6" s="344">
        <v>0</v>
      </c>
      <c r="AB6" s="330">
        <v>0</v>
      </c>
      <c r="AC6" s="345">
        <v>0</v>
      </c>
      <c r="AD6" s="345">
        <v>0</v>
      </c>
      <c r="AE6" s="346">
        <v>0</v>
      </c>
      <c r="AF6" s="347">
        <v>0</v>
      </c>
      <c r="AG6" s="348">
        <v>0</v>
      </c>
      <c r="AH6" s="348">
        <v>0</v>
      </c>
      <c r="AI6" s="349">
        <v>0</v>
      </c>
      <c r="AJ6" s="349">
        <v>0</v>
      </c>
      <c r="AK6" s="349">
        <v>0</v>
      </c>
      <c r="AL6" s="349">
        <v>0</v>
      </c>
      <c r="AM6" s="350">
        <v>0</v>
      </c>
      <c r="AN6" s="351">
        <v>0</v>
      </c>
      <c r="AO6" s="352">
        <v>0</v>
      </c>
      <c r="AP6" s="319">
        <v>0</v>
      </c>
      <c r="AQ6" s="320">
        <v>0</v>
      </c>
      <c r="AR6" s="321">
        <v>0</v>
      </c>
      <c r="AS6" s="357">
        <v>0</v>
      </c>
      <c r="AT6" s="358">
        <v>0</v>
      </c>
      <c r="AV6" s="323"/>
      <c r="BE6" s="324"/>
      <c r="BF6" s="327"/>
      <c r="BG6" s="324"/>
      <c r="BH6" s="325"/>
      <c r="BI6" s="325"/>
      <c r="BJ6" s="326"/>
      <c r="BK6" s="324"/>
      <c r="BL6" s="324"/>
      <c r="BM6" s="324"/>
      <c r="BN6" s="327"/>
      <c r="BO6" s="324"/>
      <c r="BP6" s="325"/>
      <c r="BQ6" s="325"/>
      <c r="BR6" s="325"/>
      <c r="BS6" s="325"/>
      <c r="BU6" s="325"/>
      <c r="BV6" s="325"/>
      <c r="BW6" s="325"/>
      <c r="BX6" s="325"/>
      <c r="BY6" s="325"/>
    </row>
    <row r="7" spans="2:77" ht="14.1" customHeight="1" x14ac:dyDescent="0.35">
      <c r="B7" s="329">
        <v>4</v>
      </c>
      <c r="C7" s="330">
        <v>3</v>
      </c>
      <c r="D7" s="331">
        <v>4</v>
      </c>
      <c r="E7" s="332">
        <v>5.6603886792339617</v>
      </c>
      <c r="F7" s="333">
        <v>147.99461679191648</v>
      </c>
      <c r="G7" s="355">
        <v>100</v>
      </c>
      <c r="H7" s="297">
        <v>1000</v>
      </c>
      <c r="I7" s="298">
        <v>0</v>
      </c>
      <c r="J7" s="356">
        <v>3</v>
      </c>
      <c r="K7" s="335">
        <v>0</v>
      </c>
      <c r="L7" s="336">
        <v>0</v>
      </c>
      <c r="M7" s="337">
        <v>0</v>
      </c>
      <c r="N7" s="106">
        <v>0</v>
      </c>
      <c r="O7" s="108">
        <v>0</v>
      </c>
      <c r="P7" s="338">
        <v>0</v>
      </c>
      <c r="Q7" s="339">
        <v>0</v>
      </c>
      <c r="R7" s="339">
        <v>0</v>
      </c>
      <c r="S7" s="340">
        <v>0</v>
      </c>
      <c r="T7" s="341">
        <v>0</v>
      </c>
      <c r="U7" s="342">
        <v>0</v>
      </c>
      <c r="V7" s="342">
        <v>0</v>
      </c>
      <c r="W7" s="343">
        <v>0</v>
      </c>
      <c r="X7" s="112">
        <v>0</v>
      </c>
      <c r="Y7" s="113">
        <v>0</v>
      </c>
      <c r="Z7" s="113">
        <v>0</v>
      </c>
      <c r="AA7" s="344">
        <v>0</v>
      </c>
      <c r="AB7" s="330">
        <v>0</v>
      </c>
      <c r="AC7" s="345">
        <v>0</v>
      </c>
      <c r="AD7" s="345">
        <v>0</v>
      </c>
      <c r="AE7" s="346">
        <v>0</v>
      </c>
      <c r="AF7" s="347">
        <v>0</v>
      </c>
      <c r="AG7" s="348">
        <v>0</v>
      </c>
      <c r="AH7" s="348">
        <v>0</v>
      </c>
      <c r="AI7" s="349">
        <v>0</v>
      </c>
      <c r="AJ7" s="349">
        <v>0</v>
      </c>
      <c r="AK7" s="349">
        <v>0</v>
      </c>
      <c r="AL7" s="349">
        <v>0</v>
      </c>
      <c r="AM7" s="350">
        <v>0</v>
      </c>
      <c r="AN7" s="351">
        <v>0</v>
      </c>
      <c r="AO7" s="352">
        <v>0</v>
      </c>
      <c r="AP7" s="319">
        <v>0</v>
      </c>
      <c r="AQ7" s="320">
        <v>0</v>
      </c>
      <c r="AR7" s="321">
        <v>0</v>
      </c>
      <c r="AS7" s="357">
        <v>0</v>
      </c>
      <c r="AT7" s="358">
        <v>0</v>
      </c>
      <c r="AV7" s="323"/>
      <c r="BE7" s="324"/>
      <c r="BF7" s="327"/>
      <c r="BG7" s="324"/>
      <c r="BH7" s="325"/>
      <c r="BI7" s="325"/>
      <c r="BJ7" s="326"/>
      <c r="BK7" s="324"/>
      <c r="BL7" s="324"/>
      <c r="BM7" s="324"/>
      <c r="BN7" s="327"/>
      <c r="BO7" s="324"/>
      <c r="BP7" s="325"/>
      <c r="BQ7" s="325"/>
      <c r="BR7" s="325"/>
      <c r="BS7" s="325"/>
      <c r="BU7" s="325"/>
      <c r="BV7" s="325"/>
      <c r="BW7" s="325"/>
      <c r="BX7" s="325"/>
      <c r="BY7" s="325"/>
    </row>
    <row r="8" spans="2:77" ht="14.1" customHeight="1" x14ac:dyDescent="0.35">
      <c r="B8" s="329">
        <v>5</v>
      </c>
      <c r="C8" s="330">
        <v>5</v>
      </c>
      <c r="D8" s="331">
        <v>9</v>
      </c>
      <c r="E8" s="332">
        <v>1.3717560098034927</v>
      </c>
      <c r="F8" s="333">
        <v>6.8499848335851011E-3</v>
      </c>
      <c r="G8" s="355">
        <v>100</v>
      </c>
      <c r="H8" s="297">
        <v>-1000</v>
      </c>
      <c r="I8" s="359">
        <v>0</v>
      </c>
      <c r="J8" s="356">
        <v>1</v>
      </c>
      <c r="K8" s="335">
        <v>0</v>
      </c>
      <c r="L8" s="336">
        <v>0</v>
      </c>
      <c r="M8" s="337">
        <v>0</v>
      </c>
      <c r="N8" s="106">
        <v>0</v>
      </c>
      <c r="O8" s="108">
        <v>0</v>
      </c>
      <c r="P8" s="338">
        <v>0</v>
      </c>
      <c r="Q8" s="339">
        <v>0</v>
      </c>
      <c r="R8" s="339">
        <v>0</v>
      </c>
      <c r="S8" s="340">
        <v>0</v>
      </c>
      <c r="T8" s="341">
        <v>0</v>
      </c>
      <c r="U8" s="342">
        <v>0</v>
      </c>
      <c r="V8" s="342">
        <v>0</v>
      </c>
      <c r="W8" s="343">
        <v>0</v>
      </c>
      <c r="X8" s="112">
        <v>0</v>
      </c>
      <c r="Y8" s="113">
        <v>0</v>
      </c>
      <c r="Z8" s="113">
        <v>0</v>
      </c>
      <c r="AA8" s="344">
        <v>0</v>
      </c>
      <c r="AB8" s="330">
        <v>0</v>
      </c>
      <c r="AC8" s="345">
        <v>0</v>
      </c>
      <c r="AD8" s="345">
        <v>0</v>
      </c>
      <c r="AE8" s="346">
        <v>0</v>
      </c>
      <c r="AF8" s="347">
        <v>0</v>
      </c>
      <c r="AG8" s="348">
        <v>0</v>
      </c>
      <c r="AH8" s="348">
        <v>0</v>
      </c>
      <c r="AI8" s="349">
        <v>0</v>
      </c>
      <c r="AJ8" s="349">
        <v>0</v>
      </c>
      <c r="AK8" s="349">
        <v>0</v>
      </c>
      <c r="AL8" s="349">
        <v>0</v>
      </c>
      <c r="AM8" s="350">
        <v>0</v>
      </c>
      <c r="AN8" s="351">
        <v>0</v>
      </c>
      <c r="AO8" s="352">
        <v>0</v>
      </c>
      <c r="AP8" s="319">
        <v>0</v>
      </c>
      <c r="AQ8" s="320">
        <v>0</v>
      </c>
      <c r="AR8" s="360">
        <v>0</v>
      </c>
      <c r="AS8" s="357">
        <v>0</v>
      </c>
      <c r="AT8" s="358">
        <v>0</v>
      </c>
      <c r="AV8" s="323"/>
      <c r="AW8" s="323"/>
      <c r="AX8" s="326"/>
      <c r="AY8" s="326"/>
      <c r="AZ8" s="326"/>
      <c r="BA8" s="326"/>
      <c r="BB8" s="326"/>
      <c r="BC8" s="326"/>
      <c r="BD8" s="326"/>
      <c r="BE8" s="324"/>
      <c r="BF8" s="327"/>
      <c r="BG8" s="324"/>
      <c r="BH8" s="325"/>
      <c r="BI8" s="325"/>
      <c r="BJ8" s="326"/>
      <c r="BK8" s="324"/>
      <c r="BL8" s="324"/>
      <c r="BM8" s="324"/>
      <c r="BN8" s="327"/>
      <c r="BO8" s="324"/>
      <c r="BP8" s="325"/>
      <c r="BQ8" s="325"/>
      <c r="BR8" s="325"/>
      <c r="BS8" s="325"/>
      <c r="BU8" s="325"/>
      <c r="BV8" s="325"/>
      <c r="BW8" s="325"/>
      <c r="BX8" s="325"/>
      <c r="BY8" s="325"/>
    </row>
    <row r="9" spans="2:77" ht="14.1" customHeight="1" x14ac:dyDescent="0.35">
      <c r="B9" s="329">
        <v>6</v>
      </c>
      <c r="C9" s="330">
        <v>6</v>
      </c>
      <c r="D9" s="331">
        <v>10</v>
      </c>
      <c r="E9" s="332">
        <v>0.87487166490920254</v>
      </c>
      <c r="F9" s="333">
        <v>84.381739870227292</v>
      </c>
      <c r="G9" s="131">
        <v>100</v>
      </c>
      <c r="H9" s="137">
        <v>-1000</v>
      </c>
      <c r="I9" s="361">
        <v>0</v>
      </c>
      <c r="J9" s="356">
        <v>1</v>
      </c>
      <c r="K9" s="335">
        <v>0</v>
      </c>
      <c r="L9" s="336">
        <v>0</v>
      </c>
      <c r="M9" s="337">
        <v>0</v>
      </c>
      <c r="N9" s="106">
        <v>0</v>
      </c>
      <c r="O9" s="108">
        <v>0</v>
      </c>
      <c r="P9" s="338">
        <v>0</v>
      </c>
      <c r="Q9" s="339">
        <v>0</v>
      </c>
      <c r="R9" s="339">
        <v>0</v>
      </c>
      <c r="S9" s="340">
        <v>0</v>
      </c>
      <c r="T9" s="341">
        <v>0</v>
      </c>
      <c r="U9" s="342">
        <v>0</v>
      </c>
      <c r="V9" s="342">
        <v>0</v>
      </c>
      <c r="W9" s="343">
        <v>0</v>
      </c>
      <c r="X9" s="112">
        <v>0</v>
      </c>
      <c r="Y9" s="113">
        <v>0</v>
      </c>
      <c r="Z9" s="113">
        <v>0</v>
      </c>
      <c r="AA9" s="344">
        <v>0</v>
      </c>
      <c r="AB9" s="330">
        <v>0</v>
      </c>
      <c r="AC9" s="345">
        <v>0</v>
      </c>
      <c r="AD9" s="345">
        <v>0</v>
      </c>
      <c r="AE9" s="346">
        <v>0</v>
      </c>
      <c r="AF9" s="347">
        <v>0</v>
      </c>
      <c r="AG9" s="348">
        <v>0</v>
      </c>
      <c r="AH9" s="348">
        <v>0</v>
      </c>
      <c r="AI9" s="349">
        <v>0</v>
      </c>
      <c r="AJ9" s="349">
        <v>0</v>
      </c>
      <c r="AK9" s="349">
        <v>0</v>
      </c>
      <c r="AL9" s="349">
        <v>0</v>
      </c>
      <c r="AM9" s="350">
        <v>0</v>
      </c>
      <c r="AN9" s="351">
        <v>0</v>
      </c>
      <c r="AO9" s="352">
        <v>0</v>
      </c>
      <c r="AP9" s="319">
        <v>0</v>
      </c>
      <c r="AQ9" s="320">
        <v>0</v>
      </c>
      <c r="AR9" s="360">
        <v>0</v>
      </c>
      <c r="AS9" s="357">
        <v>0</v>
      </c>
      <c r="AT9" s="358">
        <v>0</v>
      </c>
      <c r="AV9" s="323"/>
      <c r="AW9" s="323"/>
      <c r="AX9" s="326"/>
      <c r="AY9" s="326"/>
      <c r="AZ9" s="326"/>
      <c r="BA9" s="326"/>
      <c r="BB9" s="326"/>
      <c r="BC9" s="326"/>
      <c r="BD9" s="326"/>
      <c r="BE9" s="324"/>
      <c r="BF9" s="327"/>
      <c r="BG9" s="324"/>
      <c r="BH9" s="325"/>
      <c r="BI9" s="325"/>
      <c r="BJ9" s="326"/>
      <c r="BK9" s="324"/>
      <c r="BL9" s="324"/>
      <c r="BM9" s="324"/>
      <c r="BN9" s="327"/>
      <c r="BO9" s="324"/>
      <c r="BP9" s="325"/>
      <c r="BQ9" s="325"/>
      <c r="BR9" s="325"/>
      <c r="BS9" s="325"/>
      <c r="BU9" s="325"/>
      <c r="BV9" s="325"/>
      <c r="BW9" s="325"/>
      <c r="BX9" s="325"/>
      <c r="BY9" s="325"/>
    </row>
    <row r="10" spans="2:77" ht="14.1" customHeight="1" x14ac:dyDescent="0.35">
      <c r="B10" s="329">
        <v>7</v>
      </c>
      <c r="C10" s="330">
        <v>7</v>
      </c>
      <c r="D10" s="331">
        <v>11</v>
      </c>
      <c r="E10" s="332">
        <v>0.86032336707658952</v>
      </c>
      <c r="F10" s="333">
        <v>96.272530200083224</v>
      </c>
      <c r="G10" s="131">
        <v>100</v>
      </c>
      <c r="H10" s="137">
        <v>-1000</v>
      </c>
      <c r="I10" s="361">
        <v>0</v>
      </c>
      <c r="J10" s="356">
        <v>1</v>
      </c>
      <c r="K10" s="335">
        <v>0</v>
      </c>
      <c r="L10" s="336">
        <v>0</v>
      </c>
      <c r="M10" s="337">
        <v>0</v>
      </c>
      <c r="N10" s="106">
        <v>0</v>
      </c>
      <c r="O10" s="108">
        <v>0</v>
      </c>
      <c r="P10" s="338">
        <v>0</v>
      </c>
      <c r="Q10" s="339">
        <v>0</v>
      </c>
      <c r="R10" s="339">
        <v>0</v>
      </c>
      <c r="S10" s="340">
        <v>0</v>
      </c>
      <c r="T10" s="341">
        <v>0</v>
      </c>
      <c r="U10" s="342">
        <v>0</v>
      </c>
      <c r="V10" s="342">
        <v>0</v>
      </c>
      <c r="W10" s="343">
        <v>0</v>
      </c>
      <c r="X10" s="112">
        <v>0</v>
      </c>
      <c r="Y10" s="113">
        <v>0</v>
      </c>
      <c r="Z10" s="113">
        <v>0</v>
      </c>
      <c r="AA10" s="344">
        <v>0</v>
      </c>
      <c r="AB10" s="330">
        <v>0</v>
      </c>
      <c r="AC10" s="345">
        <v>0</v>
      </c>
      <c r="AD10" s="345">
        <v>0</v>
      </c>
      <c r="AE10" s="346">
        <v>0</v>
      </c>
      <c r="AF10" s="347">
        <v>0</v>
      </c>
      <c r="AG10" s="348">
        <v>0</v>
      </c>
      <c r="AH10" s="348">
        <v>0</v>
      </c>
      <c r="AI10" s="349">
        <v>0</v>
      </c>
      <c r="AJ10" s="349">
        <v>0</v>
      </c>
      <c r="AK10" s="349">
        <v>0</v>
      </c>
      <c r="AL10" s="349">
        <v>0</v>
      </c>
      <c r="AM10" s="350">
        <v>0</v>
      </c>
      <c r="AN10" s="351">
        <v>0</v>
      </c>
      <c r="AO10" s="352">
        <v>0</v>
      </c>
      <c r="AP10" s="319">
        <v>0</v>
      </c>
      <c r="AQ10" s="320">
        <v>0</v>
      </c>
      <c r="AR10" s="360">
        <v>0</v>
      </c>
      <c r="AS10" s="357">
        <v>0</v>
      </c>
      <c r="AT10" s="358">
        <v>0</v>
      </c>
      <c r="AV10" s="323"/>
      <c r="AW10" s="323"/>
      <c r="AX10" s="326"/>
      <c r="AY10" s="326"/>
      <c r="AZ10" s="326"/>
      <c r="BA10" s="326"/>
      <c r="BB10" s="326"/>
      <c r="BC10" s="326"/>
      <c r="BD10" s="326"/>
      <c r="BE10" s="324"/>
      <c r="BF10" s="327"/>
      <c r="BG10" s="324"/>
      <c r="BH10" s="325"/>
      <c r="BI10" s="325"/>
      <c r="BJ10" s="326"/>
      <c r="BK10" s="324"/>
      <c r="BL10" s="324"/>
      <c r="BM10" s="324"/>
      <c r="BN10" s="327"/>
      <c r="BO10" s="324"/>
      <c r="BP10" s="325"/>
      <c r="BQ10" s="325"/>
      <c r="BR10" s="325"/>
      <c r="BS10" s="325"/>
      <c r="BU10" s="325"/>
      <c r="BV10" s="325"/>
      <c r="BW10" s="325"/>
      <c r="BX10" s="325"/>
      <c r="BY10" s="325"/>
    </row>
    <row r="11" spans="2:77" ht="14.1" customHeight="1" x14ac:dyDescent="0.35">
      <c r="B11" s="329">
        <v>8</v>
      </c>
      <c r="C11" s="330">
        <v>8</v>
      </c>
      <c r="D11" s="331">
        <v>5</v>
      </c>
      <c r="E11" s="332">
        <v>1.3491830099675137</v>
      </c>
      <c r="F11" s="333">
        <v>-6.9645910109071762E-3</v>
      </c>
      <c r="G11" s="131">
        <v>100</v>
      </c>
      <c r="H11" s="137">
        <v>-1000</v>
      </c>
      <c r="I11" s="361">
        <v>0</v>
      </c>
      <c r="J11" s="356">
        <v>1</v>
      </c>
      <c r="K11" s="335">
        <v>0</v>
      </c>
      <c r="L11" s="336">
        <v>0</v>
      </c>
      <c r="M11" s="337">
        <v>0</v>
      </c>
      <c r="N11" s="106">
        <v>0</v>
      </c>
      <c r="O11" s="108">
        <v>0</v>
      </c>
      <c r="P11" s="338">
        <v>0</v>
      </c>
      <c r="Q11" s="339">
        <v>0</v>
      </c>
      <c r="R11" s="339">
        <v>0</v>
      </c>
      <c r="S11" s="340">
        <v>0</v>
      </c>
      <c r="T11" s="341">
        <v>0</v>
      </c>
      <c r="U11" s="342">
        <v>0</v>
      </c>
      <c r="V11" s="342">
        <v>0</v>
      </c>
      <c r="W11" s="343">
        <v>0</v>
      </c>
      <c r="X11" s="112">
        <v>0</v>
      </c>
      <c r="Y11" s="113">
        <v>0</v>
      </c>
      <c r="Z11" s="113">
        <v>0</v>
      </c>
      <c r="AA11" s="344">
        <v>0</v>
      </c>
      <c r="AB11" s="330">
        <v>0</v>
      </c>
      <c r="AC11" s="345">
        <v>0</v>
      </c>
      <c r="AD11" s="345">
        <v>0</v>
      </c>
      <c r="AE11" s="346">
        <v>0</v>
      </c>
      <c r="AF11" s="347">
        <v>0</v>
      </c>
      <c r="AG11" s="348">
        <v>0</v>
      </c>
      <c r="AH11" s="348">
        <v>0</v>
      </c>
      <c r="AI11" s="349">
        <v>0</v>
      </c>
      <c r="AJ11" s="349">
        <v>0</v>
      </c>
      <c r="AK11" s="349">
        <v>0</v>
      </c>
      <c r="AL11" s="349">
        <v>0</v>
      </c>
      <c r="AM11" s="350">
        <v>0</v>
      </c>
      <c r="AN11" s="351">
        <v>0</v>
      </c>
      <c r="AO11" s="352">
        <v>0</v>
      </c>
      <c r="AP11" s="319">
        <v>0</v>
      </c>
      <c r="AQ11" s="320">
        <v>0</v>
      </c>
      <c r="AR11" s="360">
        <v>0</v>
      </c>
      <c r="AS11" s="357">
        <v>0</v>
      </c>
      <c r="AT11" s="358">
        <v>0</v>
      </c>
      <c r="AV11" s="323"/>
      <c r="AW11" s="323"/>
      <c r="AX11" s="326"/>
      <c r="AY11" s="326"/>
      <c r="AZ11" s="326"/>
      <c r="BA11" s="326"/>
      <c r="BB11" s="326"/>
      <c r="BC11" s="326"/>
      <c r="BD11" s="326"/>
      <c r="BE11" s="324"/>
      <c r="BF11" s="327"/>
      <c r="BG11" s="324"/>
      <c r="BH11" s="325"/>
      <c r="BI11" s="325"/>
      <c r="BJ11" s="326"/>
      <c r="BK11" s="324"/>
      <c r="BL11" s="324"/>
      <c r="BM11" s="324"/>
      <c r="BN11" s="327"/>
      <c r="BO11" s="324"/>
      <c r="BP11" s="325"/>
      <c r="BQ11" s="325"/>
      <c r="BR11" s="325"/>
      <c r="BS11" s="325"/>
      <c r="BU11" s="325"/>
      <c r="BV11" s="325"/>
      <c r="BW11" s="325"/>
      <c r="BX11" s="325"/>
      <c r="BY11" s="325"/>
    </row>
    <row r="12" spans="2:77" ht="14.1" customHeight="1" x14ac:dyDescent="0.35">
      <c r="B12" s="329">
        <v>9</v>
      </c>
      <c r="C12" s="330">
        <v>9</v>
      </c>
      <c r="D12" s="331">
        <v>3</v>
      </c>
      <c r="E12" s="332">
        <v>3.4282440039227073</v>
      </c>
      <c r="F12" s="333">
        <v>-2.7409098748457485E-3</v>
      </c>
      <c r="G12" s="131">
        <v>100</v>
      </c>
      <c r="H12" s="137">
        <v>-1000</v>
      </c>
      <c r="I12" s="361">
        <v>0</v>
      </c>
      <c r="J12" s="356">
        <v>1</v>
      </c>
      <c r="K12" s="335">
        <v>0</v>
      </c>
      <c r="L12" s="336">
        <v>0</v>
      </c>
      <c r="M12" s="337">
        <v>0</v>
      </c>
      <c r="N12" s="106">
        <v>0</v>
      </c>
      <c r="O12" s="108">
        <v>0</v>
      </c>
      <c r="P12" s="338">
        <v>0</v>
      </c>
      <c r="Q12" s="339">
        <v>0</v>
      </c>
      <c r="R12" s="339">
        <v>0</v>
      </c>
      <c r="S12" s="340">
        <v>0</v>
      </c>
      <c r="T12" s="341">
        <v>0</v>
      </c>
      <c r="U12" s="342">
        <v>0</v>
      </c>
      <c r="V12" s="342">
        <v>0</v>
      </c>
      <c r="W12" s="343">
        <v>0</v>
      </c>
      <c r="X12" s="112">
        <v>0</v>
      </c>
      <c r="Y12" s="113">
        <v>0</v>
      </c>
      <c r="Z12" s="113">
        <v>0</v>
      </c>
      <c r="AA12" s="344">
        <v>0</v>
      </c>
      <c r="AB12" s="330">
        <v>0</v>
      </c>
      <c r="AC12" s="345">
        <v>0</v>
      </c>
      <c r="AD12" s="345">
        <v>0</v>
      </c>
      <c r="AE12" s="346">
        <v>0</v>
      </c>
      <c r="AF12" s="347">
        <v>0</v>
      </c>
      <c r="AG12" s="348">
        <v>0</v>
      </c>
      <c r="AH12" s="348">
        <v>0</v>
      </c>
      <c r="AI12" s="349">
        <v>0</v>
      </c>
      <c r="AJ12" s="349">
        <v>0</v>
      </c>
      <c r="AK12" s="349">
        <v>0</v>
      </c>
      <c r="AL12" s="349">
        <v>0</v>
      </c>
      <c r="AM12" s="350">
        <v>0</v>
      </c>
      <c r="AN12" s="351">
        <v>0</v>
      </c>
      <c r="AO12" s="352">
        <v>0</v>
      </c>
      <c r="AP12" s="319">
        <v>0</v>
      </c>
      <c r="AQ12" s="362">
        <v>0</v>
      </c>
      <c r="AR12" s="360">
        <v>0</v>
      </c>
      <c r="AS12" s="357">
        <v>0</v>
      </c>
      <c r="AT12" s="358">
        <v>0</v>
      </c>
      <c r="AV12" s="323"/>
      <c r="AW12" s="323"/>
      <c r="AX12" s="326"/>
      <c r="AY12" s="326"/>
      <c r="AZ12" s="326"/>
      <c r="BA12" s="326"/>
      <c r="BB12" s="326"/>
      <c r="BC12" s="326"/>
      <c r="BD12" s="326"/>
      <c r="BE12" s="324"/>
      <c r="BF12" s="327"/>
      <c r="BG12" s="324"/>
      <c r="BH12" s="325"/>
      <c r="BI12" s="325"/>
      <c r="BJ12" s="326"/>
      <c r="BK12" s="324"/>
      <c r="BL12" s="324"/>
      <c r="BM12" s="324"/>
      <c r="BN12" s="327"/>
      <c r="BO12" s="324"/>
      <c r="BP12" s="325"/>
      <c r="BQ12" s="325"/>
      <c r="BR12" s="325"/>
      <c r="BS12" s="325"/>
      <c r="BU12" s="325"/>
      <c r="BV12" s="325"/>
      <c r="BW12" s="325"/>
      <c r="BX12" s="325"/>
      <c r="BY12" s="325"/>
    </row>
    <row r="13" spans="2:77" ht="14.1" customHeight="1" x14ac:dyDescent="0.35">
      <c r="B13" s="329">
        <v>10</v>
      </c>
      <c r="C13" s="330">
        <v>10</v>
      </c>
      <c r="D13" s="331">
        <v>4</v>
      </c>
      <c r="E13" s="332">
        <v>4.8566442972551531</v>
      </c>
      <c r="F13" s="333">
        <v>83.920605958055177</v>
      </c>
      <c r="G13" s="131">
        <v>100</v>
      </c>
      <c r="H13" s="137">
        <v>-1000</v>
      </c>
      <c r="I13" s="361">
        <v>0</v>
      </c>
      <c r="J13" s="356">
        <v>1</v>
      </c>
      <c r="K13" s="335">
        <v>0</v>
      </c>
      <c r="L13" s="336">
        <v>0</v>
      </c>
      <c r="M13" s="337">
        <v>0</v>
      </c>
      <c r="N13" s="106">
        <v>0</v>
      </c>
      <c r="O13" s="108">
        <v>0</v>
      </c>
      <c r="P13" s="338">
        <v>0</v>
      </c>
      <c r="Q13" s="339">
        <v>0</v>
      </c>
      <c r="R13" s="339">
        <v>0</v>
      </c>
      <c r="S13" s="340">
        <v>0</v>
      </c>
      <c r="T13" s="341">
        <v>0</v>
      </c>
      <c r="U13" s="342">
        <v>0</v>
      </c>
      <c r="V13" s="342">
        <v>0</v>
      </c>
      <c r="W13" s="343">
        <v>0</v>
      </c>
      <c r="X13" s="112">
        <v>0</v>
      </c>
      <c r="Y13" s="113">
        <v>0</v>
      </c>
      <c r="Z13" s="113">
        <v>0</v>
      </c>
      <c r="AA13" s="344">
        <v>0</v>
      </c>
      <c r="AB13" s="330">
        <v>0</v>
      </c>
      <c r="AC13" s="345">
        <v>0</v>
      </c>
      <c r="AD13" s="345">
        <v>0</v>
      </c>
      <c r="AE13" s="346">
        <v>0</v>
      </c>
      <c r="AF13" s="347">
        <v>0</v>
      </c>
      <c r="AG13" s="348">
        <v>0</v>
      </c>
      <c r="AH13" s="348">
        <v>0</v>
      </c>
      <c r="AI13" s="349">
        <v>0</v>
      </c>
      <c r="AJ13" s="349">
        <v>0</v>
      </c>
      <c r="AK13" s="349">
        <v>0</v>
      </c>
      <c r="AL13" s="349">
        <v>0</v>
      </c>
      <c r="AM13" s="350">
        <v>0</v>
      </c>
      <c r="AN13" s="351">
        <v>0</v>
      </c>
      <c r="AO13" s="352">
        <v>0</v>
      </c>
      <c r="AP13" s="319">
        <v>0</v>
      </c>
      <c r="AQ13" s="362">
        <v>0</v>
      </c>
      <c r="AR13" s="360">
        <v>0</v>
      </c>
      <c r="AS13" s="357">
        <v>0</v>
      </c>
      <c r="AT13" s="358">
        <v>0</v>
      </c>
      <c r="AV13" s="323"/>
      <c r="AW13" s="323"/>
      <c r="AX13" s="326"/>
      <c r="AY13" s="326"/>
      <c r="AZ13" s="326"/>
      <c r="BA13" s="326"/>
      <c r="BB13" s="326"/>
      <c r="BC13" s="326"/>
      <c r="BD13" s="326"/>
      <c r="BE13" s="324"/>
      <c r="BF13" s="327"/>
      <c r="BG13" s="324"/>
      <c r="BH13" s="325"/>
      <c r="BI13" s="325"/>
      <c r="BJ13" s="326"/>
      <c r="BK13" s="324"/>
      <c r="BL13" s="324"/>
      <c r="BM13" s="324"/>
      <c r="BN13" s="327"/>
      <c r="BO13" s="324"/>
      <c r="BP13" s="325"/>
      <c r="BQ13" s="325"/>
      <c r="BR13" s="325"/>
      <c r="BS13" s="325"/>
      <c r="BU13" s="325"/>
      <c r="BV13" s="325"/>
      <c r="BW13" s="325"/>
      <c r="BX13" s="325"/>
      <c r="BY13" s="325"/>
    </row>
    <row r="14" spans="2:77" ht="14.1" customHeight="1" x14ac:dyDescent="0.35">
      <c r="B14" s="329">
        <v>11</v>
      </c>
      <c r="C14" s="330">
        <v>11</v>
      </c>
      <c r="D14" s="331">
        <v>4</v>
      </c>
      <c r="E14" s="332">
        <v>4.8711792921158219</v>
      </c>
      <c r="F14" s="333">
        <v>95.962463780395808</v>
      </c>
      <c r="G14" s="131">
        <v>100</v>
      </c>
      <c r="H14" s="137">
        <v>-1000</v>
      </c>
      <c r="I14" s="361">
        <v>0</v>
      </c>
      <c r="J14" s="356">
        <v>1</v>
      </c>
      <c r="K14" s="335">
        <v>0</v>
      </c>
      <c r="L14" s="336">
        <v>0</v>
      </c>
      <c r="M14" s="337">
        <v>0</v>
      </c>
      <c r="N14" s="106">
        <v>0</v>
      </c>
      <c r="O14" s="108">
        <v>0</v>
      </c>
      <c r="P14" s="338">
        <v>0</v>
      </c>
      <c r="Q14" s="339">
        <v>0</v>
      </c>
      <c r="R14" s="339">
        <v>0</v>
      </c>
      <c r="S14" s="340">
        <v>0</v>
      </c>
      <c r="T14" s="341">
        <v>0</v>
      </c>
      <c r="U14" s="342">
        <v>0</v>
      </c>
      <c r="V14" s="342">
        <v>0</v>
      </c>
      <c r="W14" s="343">
        <v>0</v>
      </c>
      <c r="X14" s="112">
        <v>0</v>
      </c>
      <c r="Y14" s="113">
        <v>0</v>
      </c>
      <c r="Z14" s="113">
        <v>0</v>
      </c>
      <c r="AA14" s="344">
        <v>0</v>
      </c>
      <c r="AB14" s="330">
        <v>0</v>
      </c>
      <c r="AC14" s="345">
        <v>0</v>
      </c>
      <c r="AD14" s="345">
        <v>0</v>
      </c>
      <c r="AE14" s="346">
        <v>0</v>
      </c>
      <c r="AF14" s="347">
        <v>0</v>
      </c>
      <c r="AG14" s="348">
        <v>0</v>
      </c>
      <c r="AH14" s="348">
        <v>0</v>
      </c>
      <c r="AI14" s="349">
        <v>0</v>
      </c>
      <c r="AJ14" s="349">
        <v>0</v>
      </c>
      <c r="AK14" s="349">
        <v>0</v>
      </c>
      <c r="AL14" s="349">
        <v>0</v>
      </c>
      <c r="AM14" s="350">
        <v>0</v>
      </c>
      <c r="AN14" s="351">
        <v>0</v>
      </c>
      <c r="AO14" s="352">
        <v>0</v>
      </c>
      <c r="AP14" s="319">
        <v>0</v>
      </c>
      <c r="AQ14" s="362">
        <v>0</v>
      </c>
      <c r="AR14" s="360">
        <v>0</v>
      </c>
      <c r="AS14" s="357">
        <v>0</v>
      </c>
      <c r="AT14" s="358">
        <v>0</v>
      </c>
      <c r="AV14" s="323"/>
      <c r="AW14" s="323"/>
      <c r="AX14" s="326"/>
      <c r="AY14" s="326"/>
      <c r="AZ14" s="326"/>
      <c r="BA14" s="326"/>
      <c r="BB14" s="326"/>
      <c r="BC14" s="326"/>
      <c r="BD14" s="326"/>
      <c r="BE14" s="324"/>
      <c r="BF14" s="327"/>
      <c r="BG14" s="324"/>
      <c r="BH14" s="325"/>
      <c r="BI14" s="325"/>
      <c r="BJ14" s="326"/>
      <c r="BK14" s="324"/>
      <c r="BL14" s="324"/>
      <c r="BM14" s="324"/>
      <c r="BN14" s="327"/>
      <c r="BO14" s="324"/>
      <c r="BP14" s="325"/>
      <c r="BQ14" s="325"/>
      <c r="BR14" s="325"/>
      <c r="BS14" s="325"/>
      <c r="BU14" s="325"/>
      <c r="BV14" s="325"/>
      <c r="BW14" s="325"/>
      <c r="BX14" s="325"/>
      <c r="BY14" s="325"/>
    </row>
    <row r="15" spans="2:77" ht="14.1" customHeight="1" x14ac:dyDescent="0.35">
      <c r="B15" s="329">
        <v>12</v>
      </c>
      <c r="C15" s="330">
        <v>10</v>
      </c>
      <c r="D15" s="331">
        <v>8</v>
      </c>
      <c r="E15" s="332">
        <v>2.0109694410691574</v>
      </c>
      <c r="F15" s="333">
        <v>114.52810652032947</v>
      </c>
      <c r="G15" s="131">
        <v>100</v>
      </c>
      <c r="H15" s="137">
        <v>-1000</v>
      </c>
      <c r="I15" s="361">
        <v>0</v>
      </c>
      <c r="J15" s="356" t="s">
        <v>109</v>
      </c>
      <c r="K15" s="335">
        <v>0</v>
      </c>
      <c r="L15" s="336">
        <v>0</v>
      </c>
      <c r="M15" s="337">
        <v>0</v>
      </c>
      <c r="N15" s="106">
        <v>0</v>
      </c>
      <c r="O15" s="108">
        <v>0</v>
      </c>
      <c r="P15" s="338">
        <v>0</v>
      </c>
      <c r="Q15" s="339">
        <v>0</v>
      </c>
      <c r="R15" s="339">
        <v>0</v>
      </c>
      <c r="S15" s="340">
        <v>0</v>
      </c>
      <c r="T15" s="341">
        <v>0</v>
      </c>
      <c r="U15" s="342">
        <v>0</v>
      </c>
      <c r="V15" s="342">
        <v>0</v>
      </c>
      <c r="W15" s="343">
        <v>0</v>
      </c>
      <c r="X15" s="112">
        <v>0</v>
      </c>
      <c r="Y15" s="113">
        <v>0</v>
      </c>
      <c r="Z15" s="113">
        <v>0</v>
      </c>
      <c r="AA15" s="344">
        <v>0</v>
      </c>
      <c r="AB15" s="330">
        <v>0</v>
      </c>
      <c r="AC15" s="345">
        <v>0</v>
      </c>
      <c r="AD15" s="345">
        <v>0</v>
      </c>
      <c r="AE15" s="346">
        <v>0</v>
      </c>
      <c r="AF15" s="347">
        <v>0</v>
      </c>
      <c r="AG15" s="348">
        <v>0</v>
      </c>
      <c r="AH15" s="348">
        <v>0</v>
      </c>
      <c r="AI15" s="349">
        <v>0</v>
      </c>
      <c r="AJ15" s="349">
        <v>0</v>
      </c>
      <c r="AK15" s="349">
        <v>0</v>
      </c>
      <c r="AL15" s="349">
        <v>0</v>
      </c>
      <c r="AM15" s="350">
        <v>0</v>
      </c>
      <c r="AN15" s="351">
        <v>0</v>
      </c>
      <c r="AO15" s="352">
        <v>0</v>
      </c>
      <c r="AP15" s="319">
        <v>0</v>
      </c>
      <c r="AQ15" s="362">
        <v>0</v>
      </c>
      <c r="AR15" s="360">
        <v>0</v>
      </c>
      <c r="AS15" s="357">
        <v>0</v>
      </c>
      <c r="AT15" s="358">
        <v>0</v>
      </c>
      <c r="AV15" s="323"/>
      <c r="AW15" s="323"/>
      <c r="AX15" s="326"/>
      <c r="AY15" s="326"/>
      <c r="AZ15" s="326"/>
      <c r="BA15" s="326"/>
      <c r="BB15" s="326"/>
      <c r="BC15" s="326"/>
      <c r="BD15" s="326"/>
      <c r="BE15" s="324"/>
      <c r="BF15" s="327"/>
      <c r="BG15" s="324"/>
      <c r="BH15" s="325"/>
      <c r="BI15" s="325"/>
      <c r="BJ15" s="326"/>
      <c r="BK15" s="324"/>
      <c r="BL15" s="324"/>
      <c r="BM15" s="324"/>
      <c r="BN15" s="327"/>
      <c r="BO15" s="324"/>
      <c r="BP15" s="325"/>
      <c r="BQ15" s="325"/>
      <c r="BR15" s="325"/>
      <c r="BS15" s="325"/>
      <c r="BU15" s="325"/>
      <c r="BV15" s="325"/>
      <c r="BW15" s="325"/>
      <c r="BX15" s="325"/>
      <c r="BY15" s="325"/>
    </row>
    <row r="16" spans="2:77" ht="14.1" customHeight="1" x14ac:dyDescent="0.35">
      <c r="B16" s="329">
        <v>13</v>
      </c>
      <c r="C16" s="330">
        <v>11</v>
      </c>
      <c r="D16" s="331">
        <v>9</v>
      </c>
      <c r="E16" s="332">
        <v>2.0380186571987018</v>
      </c>
      <c r="F16" s="333">
        <v>64.861912223562754</v>
      </c>
      <c r="G16" s="131">
        <v>100</v>
      </c>
      <c r="H16" s="137">
        <v>-1000</v>
      </c>
      <c r="I16" s="361">
        <v>0</v>
      </c>
      <c r="J16" s="356" t="s">
        <v>109</v>
      </c>
      <c r="K16" s="335">
        <v>0</v>
      </c>
      <c r="L16" s="336">
        <v>0</v>
      </c>
      <c r="M16" s="337">
        <v>0</v>
      </c>
      <c r="N16" s="106">
        <v>0</v>
      </c>
      <c r="O16" s="108">
        <v>0</v>
      </c>
      <c r="P16" s="338">
        <v>0</v>
      </c>
      <c r="Q16" s="339">
        <v>0</v>
      </c>
      <c r="R16" s="339">
        <v>0</v>
      </c>
      <c r="S16" s="340">
        <v>0</v>
      </c>
      <c r="T16" s="341">
        <v>0</v>
      </c>
      <c r="U16" s="342">
        <v>0</v>
      </c>
      <c r="V16" s="342">
        <v>0</v>
      </c>
      <c r="W16" s="343">
        <v>0</v>
      </c>
      <c r="X16" s="112">
        <v>0</v>
      </c>
      <c r="Y16" s="113">
        <v>0</v>
      </c>
      <c r="Z16" s="113">
        <v>0</v>
      </c>
      <c r="AA16" s="344">
        <v>0</v>
      </c>
      <c r="AB16" s="330">
        <v>0</v>
      </c>
      <c r="AC16" s="345">
        <v>0</v>
      </c>
      <c r="AD16" s="345">
        <v>0</v>
      </c>
      <c r="AE16" s="346">
        <v>0</v>
      </c>
      <c r="AF16" s="347">
        <v>0</v>
      </c>
      <c r="AG16" s="348">
        <v>0</v>
      </c>
      <c r="AH16" s="348">
        <v>0</v>
      </c>
      <c r="AI16" s="349">
        <v>0</v>
      </c>
      <c r="AJ16" s="349">
        <v>0</v>
      </c>
      <c r="AK16" s="349">
        <v>0</v>
      </c>
      <c r="AL16" s="349">
        <v>0</v>
      </c>
      <c r="AM16" s="350">
        <v>0</v>
      </c>
      <c r="AN16" s="351">
        <v>0</v>
      </c>
      <c r="AO16" s="352">
        <v>0</v>
      </c>
      <c r="AP16" s="319">
        <v>0</v>
      </c>
      <c r="AQ16" s="362">
        <v>0</v>
      </c>
      <c r="AR16" s="360">
        <v>0</v>
      </c>
      <c r="AS16" s="357">
        <v>0</v>
      </c>
      <c r="AT16" s="358">
        <v>0</v>
      </c>
      <c r="AV16" s="323"/>
      <c r="AW16" s="323"/>
      <c r="AX16" s="326"/>
      <c r="AY16" s="326"/>
      <c r="AZ16" s="326"/>
      <c r="BA16" s="326"/>
      <c r="BB16" s="326"/>
      <c r="BC16" s="326"/>
      <c r="BD16" s="326"/>
      <c r="BE16" s="324"/>
      <c r="BF16" s="327"/>
      <c r="BG16" s="324"/>
      <c r="BH16" s="325"/>
      <c r="BI16" s="325"/>
      <c r="BJ16" s="326"/>
      <c r="BK16" s="324"/>
      <c r="BL16" s="324"/>
      <c r="BM16" s="324"/>
      <c r="BN16" s="327"/>
      <c r="BO16" s="324"/>
      <c r="BP16" s="325"/>
      <c r="BQ16" s="325"/>
      <c r="BR16" s="325"/>
      <c r="BS16" s="325"/>
      <c r="BU16" s="325"/>
      <c r="BV16" s="325"/>
      <c r="BW16" s="325"/>
      <c r="BX16" s="325"/>
      <c r="BY16" s="325"/>
    </row>
    <row r="17" spans="2:77" ht="14.1" customHeight="1" x14ac:dyDescent="0.35">
      <c r="B17" s="329">
        <v>14</v>
      </c>
      <c r="C17" s="330">
        <v>12</v>
      </c>
      <c r="D17" s="331">
        <v>13</v>
      </c>
      <c r="E17" s="332">
        <v>0.60000000000000053</v>
      </c>
      <c r="F17" s="333">
        <v>0</v>
      </c>
      <c r="G17" s="131">
        <v>100</v>
      </c>
      <c r="H17" s="137">
        <v>-1000</v>
      </c>
      <c r="I17" s="361">
        <v>0</v>
      </c>
      <c r="J17" s="356">
        <v>1</v>
      </c>
      <c r="K17" s="335">
        <v>0</v>
      </c>
      <c r="L17" s="336">
        <v>0</v>
      </c>
      <c r="M17" s="337">
        <v>0</v>
      </c>
      <c r="N17" s="106">
        <v>0</v>
      </c>
      <c r="O17" s="108">
        <v>0</v>
      </c>
      <c r="P17" s="338">
        <v>0</v>
      </c>
      <c r="Q17" s="339">
        <v>0</v>
      </c>
      <c r="R17" s="339">
        <v>0</v>
      </c>
      <c r="S17" s="340">
        <v>0</v>
      </c>
      <c r="T17" s="341">
        <v>0</v>
      </c>
      <c r="U17" s="342">
        <v>0</v>
      </c>
      <c r="V17" s="342">
        <v>0</v>
      </c>
      <c r="W17" s="343">
        <v>0</v>
      </c>
      <c r="X17" s="112">
        <v>0</v>
      </c>
      <c r="Y17" s="113">
        <v>0</v>
      </c>
      <c r="Z17" s="113">
        <v>0</v>
      </c>
      <c r="AA17" s="344">
        <v>0</v>
      </c>
      <c r="AB17" s="330">
        <v>0</v>
      </c>
      <c r="AC17" s="345">
        <v>0</v>
      </c>
      <c r="AD17" s="345">
        <v>0</v>
      </c>
      <c r="AE17" s="346">
        <v>0</v>
      </c>
      <c r="AF17" s="347">
        <v>0</v>
      </c>
      <c r="AG17" s="348">
        <v>0</v>
      </c>
      <c r="AH17" s="348">
        <v>0</v>
      </c>
      <c r="AI17" s="349">
        <v>0</v>
      </c>
      <c r="AJ17" s="349">
        <v>0</v>
      </c>
      <c r="AK17" s="349">
        <v>0</v>
      </c>
      <c r="AL17" s="349">
        <v>0</v>
      </c>
      <c r="AM17" s="350">
        <v>0</v>
      </c>
      <c r="AN17" s="351">
        <v>0</v>
      </c>
      <c r="AO17" s="352">
        <v>0</v>
      </c>
      <c r="AP17" s="319">
        <v>0</v>
      </c>
      <c r="AQ17" s="362">
        <v>0</v>
      </c>
      <c r="AR17" s="360">
        <v>0</v>
      </c>
      <c r="AS17" s="357">
        <v>0</v>
      </c>
      <c r="AT17" s="358">
        <v>0</v>
      </c>
      <c r="AV17" s="323"/>
      <c r="AW17" s="323"/>
      <c r="AX17" s="326"/>
      <c r="AY17" s="326"/>
      <c r="AZ17" s="326"/>
      <c r="BA17" s="326"/>
      <c r="BB17" s="326"/>
      <c r="BC17" s="326"/>
      <c r="BD17" s="326"/>
      <c r="BE17" s="324"/>
      <c r="BF17" s="327"/>
      <c r="BG17" s="324"/>
      <c r="BH17" s="325"/>
      <c r="BI17" s="325"/>
      <c r="BJ17" s="326"/>
      <c r="BK17" s="324"/>
      <c r="BL17" s="324"/>
      <c r="BM17" s="324"/>
      <c r="BN17" s="327"/>
      <c r="BO17" s="324"/>
      <c r="BP17" s="325"/>
      <c r="BQ17" s="325"/>
      <c r="BR17" s="325"/>
      <c r="BS17" s="325"/>
      <c r="BU17" s="325"/>
      <c r="BV17" s="325"/>
      <c r="BW17" s="325"/>
      <c r="BX17" s="325"/>
      <c r="BY17" s="325"/>
    </row>
    <row r="18" spans="2:77" ht="14.1" customHeight="1" x14ac:dyDescent="0.35">
      <c r="B18" s="329">
        <v>15</v>
      </c>
      <c r="C18" s="330">
        <v>13</v>
      </c>
      <c r="D18" s="331">
        <v>14</v>
      </c>
      <c r="E18" s="332">
        <v>1.5</v>
      </c>
      <c r="F18" s="333">
        <v>0</v>
      </c>
      <c r="G18" s="131">
        <v>100</v>
      </c>
      <c r="H18" s="137">
        <v>-1000</v>
      </c>
      <c r="I18" s="361">
        <v>0</v>
      </c>
      <c r="J18" s="356">
        <v>1</v>
      </c>
      <c r="K18" s="335">
        <v>0</v>
      </c>
      <c r="L18" s="336">
        <v>0</v>
      </c>
      <c r="M18" s="337">
        <v>0</v>
      </c>
      <c r="N18" s="106">
        <v>0</v>
      </c>
      <c r="O18" s="108">
        <v>0</v>
      </c>
      <c r="P18" s="338">
        <v>0</v>
      </c>
      <c r="Q18" s="339">
        <v>0</v>
      </c>
      <c r="R18" s="339">
        <v>0</v>
      </c>
      <c r="S18" s="340">
        <v>0</v>
      </c>
      <c r="T18" s="341">
        <v>0</v>
      </c>
      <c r="U18" s="342">
        <v>0</v>
      </c>
      <c r="V18" s="342">
        <v>0</v>
      </c>
      <c r="W18" s="343">
        <v>0</v>
      </c>
      <c r="X18" s="112">
        <v>0</v>
      </c>
      <c r="Y18" s="113">
        <v>0</v>
      </c>
      <c r="Z18" s="113">
        <v>0</v>
      </c>
      <c r="AA18" s="344">
        <v>0</v>
      </c>
      <c r="AB18" s="330">
        <v>0</v>
      </c>
      <c r="AC18" s="345">
        <v>0</v>
      </c>
      <c r="AD18" s="345">
        <v>0</v>
      </c>
      <c r="AE18" s="346">
        <v>0</v>
      </c>
      <c r="AF18" s="347">
        <v>0</v>
      </c>
      <c r="AG18" s="348">
        <v>0</v>
      </c>
      <c r="AH18" s="348">
        <v>0</v>
      </c>
      <c r="AI18" s="349">
        <v>0</v>
      </c>
      <c r="AJ18" s="349">
        <v>0</v>
      </c>
      <c r="AK18" s="349">
        <v>0</v>
      </c>
      <c r="AL18" s="349">
        <v>0</v>
      </c>
      <c r="AM18" s="350">
        <v>0</v>
      </c>
      <c r="AN18" s="351">
        <v>0</v>
      </c>
      <c r="AO18" s="352">
        <v>0</v>
      </c>
      <c r="AP18" s="319">
        <v>0</v>
      </c>
      <c r="AQ18" s="362">
        <v>0</v>
      </c>
      <c r="AR18" s="360">
        <v>0</v>
      </c>
      <c r="AS18" s="353">
        <v>0</v>
      </c>
      <c r="AT18" s="354">
        <v>0</v>
      </c>
      <c r="AV18" s="323"/>
      <c r="AW18" s="323"/>
      <c r="AY18" s="323"/>
      <c r="AZ18" s="323"/>
      <c r="BA18" s="324"/>
      <c r="BB18" s="324"/>
      <c r="BC18" s="324"/>
      <c r="BD18" s="324"/>
      <c r="BE18" s="324"/>
      <c r="BF18" s="327"/>
      <c r="BG18" s="324"/>
      <c r="BH18" s="325"/>
      <c r="BI18" s="325"/>
      <c r="BJ18" s="326"/>
      <c r="BK18" s="324"/>
      <c r="BL18" s="324"/>
      <c r="BM18" s="324"/>
      <c r="BN18" s="327"/>
      <c r="BO18" s="324"/>
      <c r="BP18" s="325"/>
      <c r="BQ18" s="325"/>
      <c r="BR18" s="325"/>
      <c r="BS18" s="325"/>
      <c r="BU18" s="325"/>
      <c r="BV18" s="325"/>
      <c r="BW18" s="325"/>
      <c r="BX18" s="325"/>
      <c r="BY18" s="325"/>
    </row>
    <row r="19" spans="2:77" ht="14.1" customHeight="1" x14ac:dyDescent="0.35">
      <c r="B19" s="329">
        <v>16</v>
      </c>
      <c r="C19" s="330">
        <v>14</v>
      </c>
      <c r="D19" s="331">
        <v>1</v>
      </c>
      <c r="E19" s="332">
        <v>0.59999999999999964</v>
      </c>
      <c r="F19" s="333">
        <v>0</v>
      </c>
      <c r="G19" s="131">
        <v>100</v>
      </c>
      <c r="H19" s="137">
        <v>-1000</v>
      </c>
      <c r="I19" s="361">
        <v>0</v>
      </c>
      <c r="J19" s="356">
        <v>1</v>
      </c>
      <c r="K19" s="335">
        <v>0</v>
      </c>
      <c r="L19" s="336">
        <v>0</v>
      </c>
      <c r="M19" s="337">
        <v>0</v>
      </c>
      <c r="N19" s="106">
        <v>0</v>
      </c>
      <c r="O19" s="108">
        <v>0</v>
      </c>
      <c r="P19" s="338">
        <v>0</v>
      </c>
      <c r="Q19" s="339">
        <v>0</v>
      </c>
      <c r="R19" s="339">
        <v>0</v>
      </c>
      <c r="S19" s="340">
        <v>0</v>
      </c>
      <c r="T19" s="341">
        <v>0</v>
      </c>
      <c r="U19" s="342">
        <v>0</v>
      </c>
      <c r="V19" s="342">
        <v>0</v>
      </c>
      <c r="W19" s="343">
        <v>0</v>
      </c>
      <c r="X19" s="112">
        <v>0</v>
      </c>
      <c r="Y19" s="113">
        <v>0</v>
      </c>
      <c r="Z19" s="113">
        <v>0</v>
      </c>
      <c r="AA19" s="344">
        <v>0</v>
      </c>
      <c r="AB19" s="330">
        <v>0</v>
      </c>
      <c r="AC19" s="345">
        <v>0</v>
      </c>
      <c r="AD19" s="345">
        <v>0</v>
      </c>
      <c r="AE19" s="346">
        <v>0</v>
      </c>
      <c r="AF19" s="347">
        <v>0</v>
      </c>
      <c r="AG19" s="348">
        <v>0</v>
      </c>
      <c r="AH19" s="348">
        <v>0</v>
      </c>
      <c r="AI19" s="349">
        <v>0</v>
      </c>
      <c r="AJ19" s="349">
        <v>0</v>
      </c>
      <c r="AK19" s="349">
        <v>0</v>
      </c>
      <c r="AL19" s="349">
        <v>0</v>
      </c>
      <c r="AM19" s="350">
        <v>0</v>
      </c>
      <c r="AN19" s="351">
        <v>0</v>
      </c>
      <c r="AO19" s="352">
        <v>0</v>
      </c>
      <c r="AP19" s="319">
        <v>0</v>
      </c>
      <c r="AQ19" s="362">
        <v>0</v>
      </c>
      <c r="AR19" s="360">
        <v>0</v>
      </c>
      <c r="AS19" s="357">
        <v>0</v>
      </c>
      <c r="AT19" s="358">
        <v>0</v>
      </c>
      <c r="AV19" s="323"/>
      <c r="AW19" s="323"/>
      <c r="AX19" s="327"/>
      <c r="AY19" s="324"/>
      <c r="AZ19" s="325"/>
      <c r="BA19" s="325"/>
      <c r="BB19" s="326"/>
      <c r="BC19" s="324"/>
      <c r="BD19" s="324"/>
      <c r="BE19" s="324"/>
      <c r="BF19" s="327"/>
      <c r="BG19" s="324"/>
      <c r="BH19" s="325"/>
      <c r="BI19" s="325"/>
      <c r="BJ19" s="326"/>
      <c r="BK19" s="324"/>
      <c r="BL19" s="324"/>
      <c r="BM19" s="324"/>
      <c r="BN19" s="327"/>
      <c r="BO19" s="324"/>
      <c r="BP19" s="325"/>
      <c r="BQ19" s="325"/>
      <c r="BR19" s="325"/>
      <c r="BS19" s="325"/>
      <c r="BU19" s="325"/>
      <c r="BV19" s="325"/>
      <c r="BW19" s="325"/>
      <c r="BX19" s="325"/>
      <c r="BY19" s="325"/>
    </row>
    <row r="20" spans="2:77" ht="14.1" customHeight="1" x14ac:dyDescent="0.35">
      <c r="B20" s="329">
        <v>17</v>
      </c>
      <c r="C20" s="330">
        <v>15</v>
      </c>
      <c r="D20" s="331">
        <v>13</v>
      </c>
      <c r="E20" s="332">
        <v>1.9729419656948859</v>
      </c>
      <c r="F20" s="333">
        <v>98.746162262555117</v>
      </c>
      <c r="G20" s="131">
        <v>100</v>
      </c>
      <c r="H20" s="137">
        <v>-1000</v>
      </c>
      <c r="I20" s="361">
        <v>0</v>
      </c>
      <c r="J20" s="356">
        <v>1</v>
      </c>
      <c r="K20" s="335">
        <v>0</v>
      </c>
      <c r="L20" s="336">
        <v>0</v>
      </c>
      <c r="M20" s="337">
        <v>0</v>
      </c>
      <c r="N20" s="106">
        <v>0</v>
      </c>
      <c r="O20" s="108">
        <v>0</v>
      </c>
      <c r="P20" s="338">
        <v>0</v>
      </c>
      <c r="Q20" s="339">
        <v>0</v>
      </c>
      <c r="R20" s="339">
        <v>0</v>
      </c>
      <c r="S20" s="340">
        <v>0</v>
      </c>
      <c r="T20" s="341">
        <v>0</v>
      </c>
      <c r="U20" s="342">
        <v>0</v>
      </c>
      <c r="V20" s="342">
        <v>0</v>
      </c>
      <c r="W20" s="343">
        <v>0</v>
      </c>
      <c r="X20" s="112">
        <v>0</v>
      </c>
      <c r="Y20" s="113">
        <v>0</v>
      </c>
      <c r="Z20" s="113">
        <v>0</v>
      </c>
      <c r="AA20" s="344">
        <v>0</v>
      </c>
      <c r="AB20" s="330">
        <v>0</v>
      </c>
      <c r="AC20" s="345">
        <v>0</v>
      </c>
      <c r="AD20" s="345">
        <v>0</v>
      </c>
      <c r="AE20" s="346">
        <v>0</v>
      </c>
      <c r="AF20" s="347">
        <v>0</v>
      </c>
      <c r="AG20" s="348">
        <v>0</v>
      </c>
      <c r="AH20" s="348">
        <v>0</v>
      </c>
      <c r="AI20" s="349">
        <v>0</v>
      </c>
      <c r="AJ20" s="349">
        <v>0</v>
      </c>
      <c r="AK20" s="349">
        <v>0</v>
      </c>
      <c r="AL20" s="349">
        <v>0</v>
      </c>
      <c r="AM20" s="350">
        <v>0</v>
      </c>
      <c r="AN20" s="351">
        <v>0</v>
      </c>
      <c r="AO20" s="352">
        <v>0</v>
      </c>
      <c r="AP20" s="319">
        <v>0</v>
      </c>
      <c r="AQ20" s="362">
        <v>0</v>
      </c>
      <c r="AR20" s="360">
        <v>0</v>
      </c>
      <c r="AS20" s="357">
        <v>0</v>
      </c>
      <c r="AT20" s="358">
        <v>0</v>
      </c>
      <c r="AU20" s="326"/>
      <c r="AV20" s="326"/>
      <c r="AW20" s="326"/>
      <c r="AX20" s="326"/>
      <c r="AY20" s="326"/>
      <c r="AZ20" s="326"/>
      <c r="BA20" s="326"/>
      <c r="BB20" s="326"/>
      <c r="BC20" s="324"/>
      <c r="BD20" s="324"/>
      <c r="BE20" s="324"/>
      <c r="BF20" s="327"/>
      <c r="BG20" s="324"/>
      <c r="BH20" s="325"/>
      <c r="BI20" s="325"/>
      <c r="BJ20" s="326"/>
      <c r="BK20" s="324"/>
      <c r="BL20" s="324"/>
      <c r="BM20" s="324"/>
      <c r="BN20" s="327"/>
      <c r="BO20" s="324"/>
      <c r="BP20" s="325"/>
      <c r="BQ20" s="325"/>
      <c r="BR20" s="325"/>
      <c r="BS20" s="325"/>
      <c r="BU20" s="325"/>
      <c r="BV20" s="325"/>
      <c r="BW20" s="325"/>
      <c r="BX20" s="325"/>
      <c r="BY20" s="325"/>
    </row>
    <row r="21" spans="2:77" ht="14.1" customHeight="1" x14ac:dyDescent="0.35">
      <c r="B21" s="329">
        <v>18</v>
      </c>
      <c r="C21" s="330">
        <v>16</v>
      </c>
      <c r="D21" s="331">
        <v>14</v>
      </c>
      <c r="E21" s="332">
        <v>1.9729419656948861</v>
      </c>
      <c r="F21" s="333">
        <v>81.253837737444854</v>
      </c>
      <c r="G21" s="131">
        <v>100</v>
      </c>
      <c r="H21" s="137">
        <v>-1000</v>
      </c>
      <c r="I21" s="361">
        <v>0</v>
      </c>
      <c r="J21" s="356">
        <v>1</v>
      </c>
      <c r="K21" s="335">
        <v>0</v>
      </c>
      <c r="L21" s="336">
        <v>0</v>
      </c>
      <c r="M21" s="337">
        <v>0</v>
      </c>
      <c r="N21" s="106">
        <v>0</v>
      </c>
      <c r="O21" s="108">
        <v>0</v>
      </c>
      <c r="P21" s="338">
        <v>0</v>
      </c>
      <c r="Q21" s="339">
        <v>0</v>
      </c>
      <c r="R21" s="339">
        <v>0</v>
      </c>
      <c r="S21" s="340">
        <v>0</v>
      </c>
      <c r="T21" s="341">
        <v>0</v>
      </c>
      <c r="U21" s="342">
        <v>0</v>
      </c>
      <c r="V21" s="342">
        <v>0</v>
      </c>
      <c r="W21" s="343">
        <v>0</v>
      </c>
      <c r="X21" s="112">
        <v>0</v>
      </c>
      <c r="Y21" s="113">
        <v>0</v>
      </c>
      <c r="Z21" s="113">
        <v>0</v>
      </c>
      <c r="AA21" s="344">
        <v>0</v>
      </c>
      <c r="AB21" s="330">
        <v>0</v>
      </c>
      <c r="AC21" s="345">
        <v>0</v>
      </c>
      <c r="AD21" s="345">
        <v>0</v>
      </c>
      <c r="AE21" s="346">
        <v>0</v>
      </c>
      <c r="AF21" s="347">
        <v>0</v>
      </c>
      <c r="AG21" s="348">
        <v>0</v>
      </c>
      <c r="AH21" s="348">
        <v>0</v>
      </c>
      <c r="AI21" s="349">
        <v>0</v>
      </c>
      <c r="AJ21" s="349">
        <v>0</v>
      </c>
      <c r="AK21" s="349">
        <v>0</v>
      </c>
      <c r="AL21" s="349">
        <v>0</v>
      </c>
      <c r="AM21" s="350">
        <v>0</v>
      </c>
      <c r="AN21" s="351">
        <v>0</v>
      </c>
      <c r="AO21" s="352">
        <v>0</v>
      </c>
      <c r="AP21" s="319">
        <v>0</v>
      </c>
      <c r="AQ21" s="362">
        <v>0</v>
      </c>
      <c r="AR21" s="360">
        <v>0</v>
      </c>
      <c r="AS21" s="357">
        <v>0</v>
      </c>
      <c r="AT21" s="358">
        <v>0</v>
      </c>
      <c r="AU21" s="326"/>
      <c r="AV21" s="326"/>
      <c r="AW21" s="326"/>
      <c r="AX21" s="326"/>
      <c r="AY21" s="326"/>
      <c r="AZ21" s="326"/>
      <c r="BA21" s="326"/>
      <c r="BB21" s="326"/>
      <c r="BC21" s="324"/>
      <c r="BD21" s="324"/>
      <c r="BE21" s="324"/>
      <c r="BF21" s="327"/>
      <c r="BG21" s="324"/>
      <c r="BH21" s="325"/>
      <c r="BI21" s="325"/>
      <c r="BJ21" s="326"/>
      <c r="BK21" s="324"/>
      <c r="BL21" s="324"/>
      <c r="BM21" s="324"/>
      <c r="BN21" s="327"/>
      <c r="BO21" s="324"/>
      <c r="BP21" s="325"/>
      <c r="BQ21" s="325"/>
      <c r="BR21" s="325"/>
      <c r="BS21" s="325"/>
      <c r="BU21" s="325"/>
      <c r="BV21" s="325"/>
      <c r="BW21" s="325"/>
      <c r="BX21" s="325"/>
      <c r="BY21" s="325"/>
    </row>
    <row r="22" spans="2:77" ht="14.1" customHeight="1" x14ac:dyDescent="0.35">
      <c r="B22" s="329">
        <v>19</v>
      </c>
      <c r="C22" s="330">
        <v>3</v>
      </c>
      <c r="D22" s="331">
        <v>17</v>
      </c>
      <c r="E22" s="332">
        <v>3.4500000000000011</v>
      </c>
      <c r="F22" s="333">
        <v>0</v>
      </c>
      <c r="G22" s="131">
        <v>100</v>
      </c>
      <c r="H22" s="137">
        <v>-1000</v>
      </c>
      <c r="I22" s="361">
        <v>0</v>
      </c>
      <c r="J22" s="356">
        <v>3</v>
      </c>
      <c r="K22" s="335">
        <v>0</v>
      </c>
      <c r="L22" s="336">
        <v>0</v>
      </c>
      <c r="M22" s="337">
        <v>0</v>
      </c>
      <c r="N22" s="106">
        <v>0</v>
      </c>
      <c r="O22" s="108">
        <v>0</v>
      </c>
      <c r="P22" s="338">
        <v>0</v>
      </c>
      <c r="Q22" s="339">
        <v>0</v>
      </c>
      <c r="R22" s="339">
        <v>0</v>
      </c>
      <c r="S22" s="340">
        <v>0</v>
      </c>
      <c r="T22" s="341">
        <v>0</v>
      </c>
      <c r="U22" s="342">
        <v>0</v>
      </c>
      <c r="V22" s="342">
        <v>0</v>
      </c>
      <c r="W22" s="343">
        <v>0</v>
      </c>
      <c r="X22" s="112">
        <v>0</v>
      </c>
      <c r="Y22" s="113">
        <v>0</v>
      </c>
      <c r="Z22" s="113">
        <v>0</v>
      </c>
      <c r="AA22" s="344">
        <v>0</v>
      </c>
      <c r="AB22" s="330">
        <v>0</v>
      </c>
      <c r="AC22" s="345">
        <v>0</v>
      </c>
      <c r="AD22" s="345">
        <v>0</v>
      </c>
      <c r="AE22" s="346">
        <v>0</v>
      </c>
      <c r="AF22" s="347">
        <v>0</v>
      </c>
      <c r="AG22" s="348">
        <v>0</v>
      </c>
      <c r="AH22" s="348">
        <v>0</v>
      </c>
      <c r="AI22" s="349">
        <v>0</v>
      </c>
      <c r="AJ22" s="349">
        <v>0</v>
      </c>
      <c r="AK22" s="349">
        <v>0</v>
      </c>
      <c r="AL22" s="349">
        <v>0</v>
      </c>
      <c r="AM22" s="350">
        <v>0</v>
      </c>
      <c r="AN22" s="351">
        <v>0</v>
      </c>
      <c r="AO22" s="352">
        <v>0</v>
      </c>
      <c r="AP22" s="319">
        <v>0</v>
      </c>
      <c r="AQ22" s="362">
        <v>0</v>
      </c>
      <c r="AR22" s="360">
        <v>0</v>
      </c>
      <c r="AS22" s="357">
        <v>0</v>
      </c>
      <c r="AT22" s="358">
        <v>0</v>
      </c>
      <c r="AU22" s="326"/>
      <c r="AV22" s="326"/>
      <c r="AW22" s="326"/>
      <c r="AX22" s="326"/>
      <c r="AY22" s="326"/>
      <c r="AZ22" s="326"/>
      <c r="BA22" s="326"/>
      <c r="BB22" s="326"/>
      <c r="BC22" s="324"/>
      <c r="BD22" s="324"/>
      <c r="BE22" s="324"/>
      <c r="BF22" s="327"/>
      <c r="BG22" s="324"/>
      <c r="BH22" s="325"/>
      <c r="BI22" s="325"/>
      <c r="BJ22" s="326"/>
      <c r="BK22" s="324"/>
      <c r="BL22" s="324"/>
      <c r="BM22" s="324"/>
      <c r="BN22" s="327"/>
      <c r="BO22" s="324"/>
      <c r="BP22" s="325"/>
      <c r="BQ22" s="325"/>
      <c r="BR22" s="325"/>
      <c r="BS22" s="325"/>
      <c r="BU22" s="325"/>
      <c r="BV22" s="325"/>
      <c r="BW22" s="325"/>
      <c r="BX22" s="325"/>
      <c r="BY22" s="325"/>
    </row>
    <row r="23" spans="2:77" ht="14.1" customHeight="1" x14ac:dyDescent="0.35">
      <c r="B23" s="363">
        <v>20</v>
      </c>
      <c r="C23" s="330">
        <v>10</v>
      </c>
      <c r="D23" s="331">
        <v>11</v>
      </c>
      <c r="E23" s="332">
        <v>1.0204706613249594</v>
      </c>
      <c r="F23" s="333">
        <v>-0.87007844331852358</v>
      </c>
      <c r="G23" s="131">
        <v>100</v>
      </c>
      <c r="H23" s="137">
        <v>-1000</v>
      </c>
      <c r="I23" s="361">
        <v>0</v>
      </c>
      <c r="J23" s="356">
        <v>1</v>
      </c>
      <c r="K23" s="335">
        <v>0</v>
      </c>
      <c r="L23" s="336">
        <v>0</v>
      </c>
      <c r="M23" s="337">
        <v>0</v>
      </c>
      <c r="N23" s="106">
        <v>0</v>
      </c>
      <c r="O23" s="108">
        <v>0</v>
      </c>
      <c r="P23" s="338">
        <v>0</v>
      </c>
      <c r="Q23" s="339">
        <v>0</v>
      </c>
      <c r="R23" s="339">
        <v>0</v>
      </c>
      <c r="S23" s="340">
        <v>0</v>
      </c>
      <c r="T23" s="341">
        <v>0</v>
      </c>
      <c r="U23" s="342">
        <v>0</v>
      </c>
      <c r="V23" s="342">
        <v>0</v>
      </c>
      <c r="W23" s="343">
        <v>0</v>
      </c>
      <c r="X23" s="112">
        <v>0</v>
      </c>
      <c r="Y23" s="113">
        <v>0</v>
      </c>
      <c r="Z23" s="113">
        <v>0</v>
      </c>
      <c r="AA23" s="344">
        <v>0</v>
      </c>
      <c r="AB23" s="330">
        <v>0</v>
      </c>
      <c r="AC23" s="345">
        <v>0</v>
      </c>
      <c r="AD23" s="345">
        <v>0</v>
      </c>
      <c r="AE23" s="346">
        <v>0</v>
      </c>
      <c r="AF23" s="347">
        <v>0</v>
      </c>
      <c r="AG23" s="348">
        <v>0</v>
      </c>
      <c r="AH23" s="348">
        <v>0</v>
      </c>
      <c r="AI23" s="349">
        <v>0</v>
      </c>
      <c r="AJ23" s="349">
        <v>0</v>
      </c>
      <c r="AK23" s="349">
        <v>0</v>
      </c>
      <c r="AL23" s="349">
        <v>0</v>
      </c>
      <c r="AM23" s="350">
        <v>0</v>
      </c>
      <c r="AN23" s="351">
        <v>0</v>
      </c>
      <c r="AO23" s="352">
        <v>0</v>
      </c>
      <c r="AP23" s="364">
        <v>0</v>
      </c>
      <c r="AQ23" s="362">
        <v>0</v>
      </c>
      <c r="AR23" s="360">
        <v>0</v>
      </c>
      <c r="AS23" s="357">
        <v>0</v>
      </c>
      <c r="AT23" s="358">
        <v>0</v>
      </c>
      <c r="AU23" s="326"/>
      <c r="AV23" s="326"/>
      <c r="AW23" s="326"/>
      <c r="AX23" s="326"/>
      <c r="AY23" s="326"/>
      <c r="AZ23" s="326"/>
      <c r="BA23" s="326"/>
      <c r="BB23" s="326"/>
      <c r="BC23" s="324"/>
      <c r="BD23" s="324"/>
      <c r="BE23" s="324"/>
      <c r="BF23" s="327"/>
      <c r="BG23" s="324"/>
      <c r="BH23" s="325"/>
      <c r="BI23" s="325"/>
      <c r="BJ23" s="326"/>
      <c r="BK23" s="324"/>
      <c r="BL23" s="324"/>
      <c r="BM23" s="324"/>
      <c r="BN23" s="327"/>
      <c r="BO23" s="324"/>
      <c r="BP23" s="325"/>
      <c r="BQ23" s="325"/>
      <c r="BR23" s="325"/>
      <c r="BS23" s="325"/>
      <c r="BU23" s="325"/>
      <c r="BV23" s="325"/>
      <c r="BW23" s="325"/>
      <c r="BX23" s="325"/>
      <c r="BY23" s="325"/>
    </row>
    <row r="24" spans="2:77" ht="14.1" customHeight="1" x14ac:dyDescent="0.35">
      <c r="B24" s="329">
        <v>21</v>
      </c>
      <c r="C24" s="330">
        <v>17</v>
      </c>
      <c r="D24" s="331">
        <v>23</v>
      </c>
      <c r="E24" s="332">
        <v>3.4508170038970469</v>
      </c>
      <c r="F24" s="333">
        <v>2.7229806254791718E-3</v>
      </c>
      <c r="G24" s="131">
        <v>100</v>
      </c>
      <c r="H24" s="137">
        <v>-1000</v>
      </c>
      <c r="I24" s="361">
        <v>0</v>
      </c>
      <c r="J24" s="356">
        <v>1</v>
      </c>
      <c r="K24" s="335">
        <v>0</v>
      </c>
      <c r="L24" s="336">
        <v>0</v>
      </c>
      <c r="M24" s="337">
        <v>0</v>
      </c>
      <c r="N24" s="106">
        <v>0</v>
      </c>
      <c r="O24" s="108">
        <v>0</v>
      </c>
      <c r="P24" s="338">
        <v>0</v>
      </c>
      <c r="Q24" s="339">
        <v>0</v>
      </c>
      <c r="R24" s="339">
        <v>0</v>
      </c>
      <c r="S24" s="340">
        <v>0</v>
      </c>
      <c r="T24" s="341">
        <v>0</v>
      </c>
      <c r="U24" s="342">
        <v>0</v>
      </c>
      <c r="V24" s="342">
        <v>0</v>
      </c>
      <c r="W24" s="343">
        <v>0</v>
      </c>
      <c r="X24" s="112">
        <v>0</v>
      </c>
      <c r="Y24" s="113">
        <v>0</v>
      </c>
      <c r="Z24" s="113">
        <v>0</v>
      </c>
      <c r="AA24" s="344">
        <v>0</v>
      </c>
      <c r="AB24" s="330">
        <v>0</v>
      </c>
      <c r="AC24" s="345">
        <v>0</v>
      </c>
      <c r="AD24" s="345">
        <v>0</v>
      </c>
      <c r="AE24" s="346">
        <v>0</v>
      </c>
      <c r="AF24" s="347">
        <v>0</v>
      </c>
      <c r="AG24" s="348">
        <v>0</v>
      </c>
      <c r="AH24" s="348">
        <v>0</v>
      </c>
      <c r="AI24" s="349">
        <v>0</v>
      </c>
      <c r="AJ24" s="349">
        <v>0</v>
      </c>
      <c r="AK24" s="349">
        <v>0</v>
      </c>
      <c r="AL24" s="349">
        <v>0</v>
      </c>
      <c r="AM24" s="350">
        <v>0</v>
      </c>
      <c r="AN24" s="351">
        <v>0</v>
      </c>
      <c r="AO24" s="352">
        <v>0</v>
      </c>
      <c r="AP24" s="319">
        <v>0</v>
      </c>
      <c r="AQ24" s="362">
        <v>0</v>
      </c>
      <c r="AR24" s="360">
        <v>0</v>
      </c>
      <c r="AS24" s="357">
        <v>0</v>
      </c>
      <c r="AT24" s="358">
        <v>0</v>
      </c>
      <c r="AU24" s="326"/>
      <c r="AV24" s="326"/>
      <c r="AW24" s="326"/>
      <c r="AX24" s="326"/>
      <c r="AY24" s="326"/>
      <c r="AZ24" s="326"/>
      <c r="BA24" s="326"/>
      <c r="BB24" s="326"/>
      <c r="BC24" s="324"/>
      <c r="BD24" s="324"/>
      <c r="BE24" s="324"/>
      <c r="BF24" s="327"/>
      <c r="BG24" s="324"/>
      <c r="BH24" s="325"/>
      <c r="BI24" s="325"/>
      <c r="BJ24" s="326"/>
      <c r="BK24" s="324"/>
      <c r="BL24" s="324"/>
      <c r="BM24" s="324"/>
      <c r="BN24" s="327"/>
      <c r="BO24" s="324"/>
      <c r="BP24" s="325"/>
      <c r="BQ24" s="325"/>
      <c r="BR24" s="325"/>
      <c r="BS24" s="325"/>
      <c r="BU24" s="325"/>
      <c r="BV24" s="325"/>
      <c r="BW24" s="325"/>
      <c r="BX24" s="325"/>
      <c r="BY24" s="325"/>
    </row>
    <row r="25" spans="2:77" ht="14.1" customHeight="1" x14ac:dyDescent="0.35">
      <c r="B25" s="329">
        <v>22</v>
      </c>
      <c r="C25" s="330">
        <v>17</v>
      </c>
      <c r="D25" s="331">
        <v>19</v>
      </c>
      <c r="E25" s="332">
        <v>5.6603895272322911</v>
      </c>
      <c r="F25" s="333">
        <v>32.005377843310967</v>
      </c>
      <c r="G25" s="131">
        <v>100</v>
      </c>
      <c r="H25" s="137">
        <v>1000</v>
      </c>
      <c r="I25" s="361">
        <v>0</v>
      </c>
      <c r="J25" s="356">
        <v>3</v>
      </c>
      <c r="K25" s="335">
        <v>0</v>
      </c>
      <c r="L25" s="336">
        <v>0</v>
      </c>
      <c r="M25" s="337">
        <v>0</v>
      </c>
      <c r="N25" s="106">
        <v>0</v>
      </c>
      <c r="O25" s="108">
        <v>0</v>
      </c>
      <c r="P25" s="338">
        <v>0</v>
      </c>
      <c r="Q25" s="339">
        <v>0</v>
      </c>
      <c r="R25" s="339">
        <v>0</v>
      </c>
      <c r="S25" s="340">
        <v>0</v>
      </c>
      <c r="T25" s="341">
        <v>0</v>
      </c>
      <c r="U25" s="342">
        <v>0</v>
      </c>
      <c r="V25" s="342">
        <v>0</v>
      </c>
      <c r="W25" s="343">
        <v>0</v>
      </c>
      <c r="X25" s="112">
        <v>0</v>
      </c>
      <c r="Y25" s="113">
        <v>0</v>
      </c>
      <c r="Z25" s="113">
        <v>0</v>
      </c>
      <c r="AA25" s="344">
        <v>0</v>
      </c>
      <c r="AB25" s="330">
        <v>0</v>
      </c>
      <c r="AC25" s="345">
        <v>0</v>
      </c>
      <c r="AD25" s="345">
        <v>0</v>
      </c>
      <c r="AE25" s="346">
        <v>0</v>
      </c>
      <c r="AF25" s="347">
        <v>0</v>
      </c>
      <c r="AG25" s="348">
        <v>0</v>
      </c>
      <c r="AH25" s="348">
        <v>0</v>
      </c>
      <c r="AI25" s="349">
        <v>0</v>
      </c>
      <c r="AJ25" s="349">
        <v>0</v>
      </c>
      <c r="AK25" s="349">
        <v>0</v>
      </c>
      <c r="AL25" s="349">
        <v>0</v>
      </c>
      <c r="AM25" s="350">
        <v>0</v>
      </c>
      <c r="AN25" s="351">
        <v>0</v>
      </c>
      <c r="AO25" s="352">
        <v>0</v>
      </c>
      <c r="AP25" s="319">
        <v>0</v>
      </c>
      <c r="AQ25" s="362">
        <v>0</v>
      </c>
      <c r="AR25" s="360">
        <v>0</v>
      </c>
      <c r="AS25" s="357">
        <v>0</v>
      </c>
      <c r="AT25" s="358">
        <v>0</v>
      </c>
      <c r="AU25" s="326"/>
      <c r="AV25" s="326"/>
      <c r="AW25" s="326"/>
      <c r="AX25" s="326"/>
      <c r="AY25" s="326"/>
      <c r="AZ25" s="326"/>
      <c r="BA25" s="326"/>
      <c r="BB25" s="326"/>
      <c r="BC25" s="324"/>
      <c r="BD25" s="324"/>
      <c r="BE25" s="324"/>
      <c r="BF25" s="327"/>
      <c r="BG25" s="324"/>
      <c r="BH25" s="325"/>
      <c r="BI25" s="325"/>
      <c r="BJ25" s="326"/>
      <c r="BK25" s="324"/>
      <c r="BL25" s="324"/>
      <c r="BM25" s="324"/>
      <c r="BN25" s="327"/>
      <c r="BO25" s="324"/>
      <c r="BP25" s="325"/>
      <c r="BQ25" s="325"/>
      <c r="BR25" s="325"/>
      <c r="BS25" s="325"/>
      <c r="BU25" s="325"/>
      <c r="BV25" s="325"/>
      <c r="BW25" s="325"/>
      <c r="BX25" s="325"/>
      <c r="BY25" s="325"/>
    </row>
    <row r="26" spans="2:77" ht="14.1" customHeight="1" x14ac:dyDescent="0.35">
      <c r="B26" s="329">
        <v>23</v>
      </c>
      <c r="C26" s="330">
        <v>18</v>
      </c>
      <c r="D26" s="331">
        <v>19</v>
      </c>
      <c r="E26" s="332">
        <v>5.660387831235683</v>
      </c>
      <c r="F26" s="333">
        <v>147.9946114271423</v>
      </c>
      <c r="G26" s="131">
        <v>100</v>
      </c>
      <c r="H26" s="137">
        <v>1000</v>
      </c>
      <c r="I26" s="361">
        <v>0</v>
      </c>
      <c r="J26" s="356">
        <v>3</v>
      </c>
      <c r="K26" s="335">
        <v>0</v>
      </c>
      <c r="L26" s="336">
        <v>0</v>
      </c>
      <c r="M26" s="337">
        <v>0</v>
      </c>
      <c r="N26" s="106">
        <v>0</v>
      </c>
      <c r="O26" s="108">
        <v>0</v>
      </c>
      <c r="P26" s="338">
        <v>0</v>
      </c>
      <c r="Q26" s="339">
        <v>0</v>
      </c>
      <c r="R26" s="339">
        <v>0</v>
      </c>
      <c r="S26" s="340">
        <v>0</v>
      </c>
      <c r="T26" s="341">
        <v>0</v>
      </c>
      <c r="U26" s="342">
        <v>0</v>
      </c>
      <c r="V26" s="342">
        <v>0</v>
      </c>
      <c r="W26" s="343">
        <v>0</v>
      </c>
      <c r="X26" s="112">
        <v>0</v>
      </c>
      <c r="Y26" s="113">
        <v>0</v>
      </c>
      <c r="Z26" s="113">
        <v>0</v>
      </c>
      <c r="AA26" s="344">
        <v>0</v>
      </c>
      <c r="AB26" s="330">
        <v>0</v>
      </c>
      <c r="AC26" s="345">
        <v>0</v>
      </c>
      <c r="AD26" s="345">
        <v>0</v>
      </c>
      <c r="AE26" s="346">
        <v>0</v>
      </c>
      <c r="AF26" s="347">
        <v>0</v>
      </c>
      <c r="AG26" s="348">
        <v>0</v>
      </c>
      <c r="AH26" s="348">
        <v>0</v>
      </c>
      <c r="AI26" s="349">
        <v>0</v>
      </c>
      <c r="AJ26" s="349">
        <v>0</v>
      </c>
      <c r="AK26" s="349">
        <v>0</v>
      </c>
      <c r="AL26" s="349">
        <v>0</v>
      </c>
      <c r="AM26" s="350">
        <v>0</v>
      </c>
      <c r="AN26" s="351">
        <v>0</v>
      </c>
      <c r="AO26" s="352">
        <v>0</v>
      </c>
      <c r="AP26" s="319">
        <v>0</v>
      </c>
      <c r="AQ26" s="362">
        <v>0</v>
      </c>
      <c r="AR26" s="360">
        <v>0</v>
      </c>
      <c r="AS26" s="357">
        <v>0</v>
      </c>
      <c r="AT26" s="358">
        <v>0</v>
      </c>
      <c r="AU26" s="326"/>
      <c r="AV26" s="326"/>
      <c r="AW26" s="326"/>
      <c r="AX26" s="326"/>
      <c r="AY26" s="326"/>
      <c r="AZ26" s="326"/>
      <c r="BA26" s="326"/>
      <c r="BB26" s="326"/>
      <c r="BC26" s="324"/>
      <c r="BD26" s="324"/>
      <c r="BE26" s="324"/>
      <c r="BF26" s="327"/>
      <c r="BG26" s="324"/>
      <c r="BH26" s="325"/>
      <c r="BI26" s="325"/>
      <c r="BJ26" s="326"/>
      <c r="BK26" s="324"/>
      <c r="BL26" s="324"/>
      <c r="BM26" s="324"/>
      <c r="BN26" s="327"/>
      <c r="BO26" s="324"/>
      <c r="BP26" s="325"/>
      <c r="BQ26" s="325"/>
      <c r="BR26" s="325"/>
      <c r="BS26" s="325"/>
      <c r="BU26" s="325"/>
      <c r="BV26" s="325"/>
      <c r="BW26" s="325"/>
      <c r="BX26" s="325"/>
      <c r="BY26" s="325"/>
    </row>
    <row r="27" spans="2:77" ht="14.1" customHeight="1" x14ac:dyDescent="0.35">
      <c r="B27" s="329">
        <v>24</v>
      </c>
      <c r="C27" s="330">
        <v>20</v>
      </c>
      <c r="D27" s="331">
        <v>24</v>
      </c>
      <c r="E27" s="332">
        <v>1.3717550098035001</v>
      </c>
      <c r="F27" s="333">
        <v>6.8499898271770802E-3</v>
      </c>
      <c r="G27" s="131">
        <v>100</v>
      </c>
      <c r="H27" s="137">
        <v>-1000</v>
      </c>
      <c r="I27" s="361">
        <v>0</v>
      </c>
      <c r="J27" s="356">
        <v>1</v>
      </c>
      <c r="K27" s="335">
        <v>0</v>
      </c>
      <c r="L27" s="336">
        <v>0</v>
      </c>
      <c r="M27" s="337">
        <v>0</v>
      </c>
      <c r="N27" s="106">
        <v>0</v>
      </c>
      <c r="O27" s="108">
        <v>0</v>
      </c>
      <c r="P27" s="338">
        <v>0</v>
      </c>
      <c r="Q27" s="339">
        <v>0</v>
      </c>
      <c r="R27" s="339">
        <v>0</v>
      </c>
      <c r="S27" s="340">
        <v>0</v>
      </c>
      <c r="T27" s="341">
        <v>0</v>
      </c>
      <c r="U27" s="342">
        <v>0</v>
      </c>
      <c r="V27" s="342">
        <v>0</v>
      </c>
      <c r="W27" s="343">
        <v>0</v>
      </c>
      <c r="X27" s="112">
        <v>0</v>
      </c>
      <c r="Y27" s="113">
        <v>0</v>
      </c>
      <c r="Z27" s="113">
        <v>0</v>
      </c>
      <c r="AA27" s="344">
        <v>0</v>
      </c>
      <c r="AB27" s="330">
        <v>0</v>
      </c>
      <c r="AC27" s="345">
        <v>0</v>
      </c>
      <c r="AD27" s="345">
        <v>0</v>
      </c>
      <c r="AE27" s="346">
        <v>0</v>
      </c>
      <c r="AF27" s="347">
        <v>0</v>
      </c>
      <c r="AG27" s="348">
        <v>0</v>
      </c>
      <c r="AH27" s="348">
        <v>0</v>
      </c>
      <c r="AI27" s="349">
        <v>0</v>
      </c>
      <c r="AJ27" s="349">
        <v>0</v>
      </c>
      <c r="AK27" s="349">
        <v>0</v>
      </c>
      <c r="AL27" s="349">
        <v>0</v>
      </c>
      <c r="AM27" s="350">
        <v>0</v>
      </c>
      <c r="AN27" s="351">
        <v>0</v>
      </c>
      <c r="AO27" s="352">
        <v>0</v>
      </c>
      <c r="AP27" s="319">
        <v>0</v>
      </c>
      <c r="AQ27" s="362">
        <v>0</v>
      </c>
      <c r="AR27" s="360">
        <v>0</v>
      </c>
      <c r="AS27" s="357">
        <v>0</v>
      </c>
      <c r="AT27" s="358">
        <v>0</v>
      </c>
      <c r="AU27" s="326"/>
      <c r="AV27" s="326"/>
      <c r="AW27" s="326"/>
      <c r="AX27" s="326"/>
      <c r="AY27" s="326"/>
      <c r="AZ27" s="326"/>
      <c r="BA27" s="326"/>
      <c r="BB27" s="326"/>
      <c r="BC27" s="324"/>
      <c r="BD27" s="324"/>
      <c r="BE27" s="324"/>
      <c r="BF27" s="327"/>
      <c r="BG27" s="324"/>
      <c r="BH27" s="325"/>
      <c r="BI27" s="325"/>
      <c r="BJ27" s="326"/>
      <c r="BK27" s="324"/>
      <c r="BL27" s="324"/>
      <c r="BM27" s="324"/>
      <c r="BN27" s="327"/>
      <c r="BO27" s="324"/>
      <c r="BP27" s="325"/>
      <c r="BQ27" s="325"/>
      <c r="BR27" s="325"/>
      <c r="BS27" s="325"/>
      <c r="BU27" s="325"/>
      <c r="BV27" s="325"/>
      <c r="BW27" s="325"/>
      <c r="BX27" s="325"/>
      <c r="BY27" s="325"/>
    </row>
    <row r="28" spans="2:77" ht="14.1" customHeight="1" x14ac:dyDescent="0.35">
      <c r="B28" s="329">
        <v>25</v>
      </c>
      <c r="C28" s="330">
        <v>21</v>
      </c>
      <c r="D28" s="331">
        <v>25</v>
      </c>
      <c r="E28" s="332">
        <v>0.87487166490920221</v>
      </c>
      <c r="F28" s="333">
        <v>84.381739870227449</v>
      </c>
      <c r="G28" s="131">
        <v>100</v>
      </c>
      <c r="H28" s="137">
        <v>-1000</v>
      </c>
      <c r="I28" s="361">
        <v>0</v>
      </c>
      <c r="J28" s="356">
        <v>1</v>
      </c>
      <c r="K28" s="335">
        <v>0</v>
      </c>
      <c r="L28" s="336">
        <v>0</v>
      </c>
      <c r="M28" s="337">
        <v>0</v>
      </c>
      <c r="N28" s="106">
        <v>0</v>
      </c>
      <c r="O28" s="108">
        <v>0</v>
      </c>
      <c r="P28" s="338">
        <v>0</v>
      </c>
      <c r="Q28" s="339">
        <v>0</v>
      </c>
      <c r="R28" s="339">
        <v>0</v>
      </c>
      <c r="S28" s="340">
        <v>0</v>
      </c>
      <c r="T28" s="341">
        <v>0</v>
      </c>
      <c r="U28" s="342">
        <v>0</v>
      </c>
      <c r="V28" s="342">
        <v>0</v>
      </c>
      <c r="W28" s="343">
        <v>0</v>
      </c>
      <c r="X28" s="112">
        <v>0</v>
      </c>
      <c r="Y28" s="113">
        <v>0</v>
      </c>
      <c r="Z28" s="113">
        <v>0</v>
      </c>
      <c r="AA28" s="344">
        <v>0</v>
      </c>
      <c r="AB28" s="330">
        <v>0</v>
      </c>
      <c r="AC28" s="345">
        <v>0</v>
      </c>
      <c r="AD28" s="345">
        <v>0</v>
      </c>
      <c r="AE28" s="346">
        <v>0</v>
      </c>
      <c r="AF28" s="347">
        <v>0</v>
      </c>
      <c r="AG28" s="348">
        <v>0</v>
      </c>
      <c r="AH28" s="348">
        <v>0</v>
      </c>
      <c r="AI28" s="349">
        <v>0</v>
      </c>
      <c r="AJ28" s="349">
        <v>0</v>
      </c>
      <c r="AK28" s="349">
        <v>0</v>
      </c>
      <c r="AL28" s="349">
        <v>0</v>
      </c>
      <c r="AM28" s="350">
        <v>0</v>
      </c>
      <c r="AN28" s="351">
        <v>0</v>
      </c>
      <c r="AO28" s="352">
        <v>0</v>
      </c>
      <c r="AP28" s="319">
        <v>0</v>
      </c>
      <c r="AQ28" s="362">
        <v>0</v>
      </c>
      <c r="AR28" s="360">
        <v>0</v>
      </c>
      <c r="AS28" s="357">
        <v>0</v>
      </c>
      <c r="AT28" s="358">
        <v>0</v>
      </c>
      <c r="AU28" s="326"/>
      <c r="AV28" s="326"/>
      <c r="AW28" s="326"/>
      <c r="AX28" s="326"/>
      <c r="AY28" s="326"/>
      <c r="AZ28" s="326"/>
      <c r="BA28" s="326"/>
      <c r="BB28" s="326"/>
      <c r="BC28" s="324"/>
      <c r="BD28" s="324"/>
      <c r="BE28" s="324"/>
      <c r="BF28" s="327"/>
      <c r="BG28" s="324"/>
      <c r="BH28" s="325"/>
      <c r="BI28" s="325"/>
      <c r="BJ28" s="326"/>
      <c r="BK28" s="324"/>
      <c r="BL28" s="324"/>
      <c r="BM28" s="324"/>
      <c r="BN28" s="327"/>
      <c r="BO28" s="324"/>
      <c r="BP28" s="325"/>
      <c r="BQ28" s="325"/>
      <c r="BR28" s="325"/>
      <c r="BS28" s="325"/>
      <c r="BU28" s="325"/>
      <c r="BV28" s="325"/>
      <c r="BW28" s="325"/>
      <c r="BX28" s="325"/>
      <c r="BY28" s="325"/>
    </row>
    <row r="29" spans="2:77" ht="14.1" customHeight="1" x14ac:dyDescent="0.35">
      <c r="B29" s="329">
        <v>26</v>
      </c>
      <c r="C29" s="330">
        <v>22</v>
      </c>
      <c r="D29" s="331">
        <v>26</v>
      </c>
      <c r="E29" s="332">
        <v>0.86032325781940855</v>
      </c>
      <c r="F29" s="333">
        <v>96.272464000808682</v>
      </c>
      <c r="G29" s="131">
        <v>100</v>
      </c>
      <c r="H29" s="137">
        <v>-1000</v>
      </c>
      <c r="I29" s="361">
        <v>0</v>
      </c>
      <c r="J29" s="356">
        <v>1</v>
      </c>
      <c r="K29" s="335">
        <v>0</v>
      </c>
      <c r="L29" s="336">
        <v>0</v>
      </c>
      <c r="M29" s="337">
        <v>0</v>
      </c>
      <c r="N29" s="106">
        <v>0</v>
      </c>
      <c r="O29" s="108">
        <v>0</v>
      </c>
      <c r="P29" s="338">
        <v>0</v>
      </c>
      <c r="Q29" s="339">
        <v>0</v>
      </c>
      <c r="R29" s="339">
        <v>0</v>
      </c>
      <c r="S29" s="340">
        <v>0</v>
      </c>
      <c r="T29" s="341">
        <v>0</v>
      </c>
      <c r="U29" s="342">
        <v>0</v>
      </c>
      <c r="V29" s="342">
        <v>0</v>
      </c>
      <c r="W29" s="343">
        <v>0</v>
      </c>
      <c r="X29" s="112">
        <v>0</v>
      </c>
      <c r="Y29" s="113">
        <v>0</v>
      </c>
      <c r="Z29" s="113">
        <v>0</v>
      </c>
      <c r="AA29" s="344">
        <v>0</v>
      </c>
      <c r="AB29" s="330">
        <v>0</v>
      </c>
      <c r="AC29" s="345">
        <v>0</v>
      </c>
      <c r="AD29" s="345">
        <v>0</v>
      </c>
      <c r="AE29" s="346">
        <v>0</v>
      </c>
      <c r="AF29" s="347">
        <v>0</v>
      </c>
      <c r="AG29" s="348">
        <v>0</v>
      </c>
      <c r="AH29" s="348">
        <v>0</v>
      </c>
      <c r="AI29" s="349">
        <v>0</v>
      </c>
      <c r="AJ29" s="349">
        <v>0</v>
      </c>
      <c r="AK29" s="349">
        <v>0</v>
      </c>
      <c r="AL29" s="349">
        <v>0</v>
      </c>
      <c r="AM29" s="350">
        <v>0</v>
      </c>
      <c r="AN29" s="351">
        <v>0</v>
      </c>
      <c r="AO29" s="352">
        <v>0</v>
      </c>
      <c r="AP29" s="319">
        <v>0</v>
      </c>
      <c r="AQ29" s="362">
        <v>0</v>
      </c>
      <c r="AR29" s="360">
        <v>0</v>
      </c>
      <c r="AS29" s="357">
        <v>0</v>
      </c>
      <c r="AT29" s="358">
        <v>0</v>
      </c>
      <c r="AU29" s="326"/>
      <c r="AV29" s="326"/>
      <c r="AW29" s="326"/>
      <c r="AX29" s="326"/>
      <c r="AY29" s="326"/>
      <c r="AZ29" s="326"/>
      <c r="BA29" s="326"/>
      <c r="BB29" s="326"/>
      <c r="BC29" s="324"/>
      <c r="BD29" s="324"/>
      <c r="BE29" s="324"/>
      <c r="BF29" s="327"/>
      <c r="BG29" s="324"/>
      <c r="BH29" s="325"/>
      <c r="BI29" s="325"/>
      <c r="BJ29" s="326"/>
      <c r="BK29" s="324"/>
      <c r="BL29" s="324"/>
      <c r="BM29" s="324"/>
      <c r="BN29" s="327"/>
      <c r="BO29" s="324"/>
      <c r="BP29" s="325"/>
      <c r="BQ29" s="325"/>
      <c r="BR29" s="325"/>
      <c r="BS29" s="325"/>
      <c r="BU29" s="325"/>
      <c r="BV29" s="325"/>
      <c r="BW29" s="325"/>
      <c r="BX29" s="325"/>
      <c r="BY29" s="325"/>
    </row>
    <row r="30" spans="2:77" ht="14.1" customHeight="1" x14ac:dyDescent="0.35">
      <c r="B30" s="329">
        <v>27</v>
      </c>
      <c r="C30" s="330">
        <v>23</v>
      </c>
      <c r="D30" s="331">
        <v>20</v>
      </c>
      <c r="E30" s="332">
        <v>1.3491840099675074</v>
      </c>
      <c r="F30" s="333">
        <v>-6.9645858488307285E-3</v>
      </c>
      <c r="G30" s="131">
        <v>100</v>
      </c>
      <c r="H30" s="137">
        <v>-1000</v>
      </c>
      <c r="I30" s="361">
        <v>0</v>
      </c>
      <c r="J30" s="356">
        <v>1</v>
      </c>
      <c r="K30" s="335">
        <v>0</v>
      </c>
      <c r="L30" s="336">
        <v>0</v>
      </c>
      <c r="M30" s="337">
        <v>0</v>
      </c>
      <c r="N30" s="106">
        <v>0</v>
      </c>
      <c r="O30" s="108">
        <v>0</v>
      </c>
      <c r="P30" s="338">
        <v>0</v>
      </c>
      <c r="Q30" s="339">
        <v>0</v>
      </c>
      <c r="R30" s="339">
        <v>0</v>
      </c>
      <c r="S30" s="340">
        <v>0</v>
      </c>
      <c r="T30" s="341">
        <v>0</v>
      </c>
      <c r="U30" s="342">
        <v>0</v>
      </c>
      <c r="V30" s="342">
        <v>0</v>
      </c>
      <c r="W30" s="343">
        <v>0</v>
      </c>
      <c r="X30" s="112">
        <v>0</v>
      </c>
      <c r="Y30" s="113">
        <v>0</v>
      </c>
      <c r="Z30" s="113">
        <v>0</v>
      </c>
      <c r="AA30" s="344">
        <v>0</v>
      </c>
      <c r="AB30" s="330">
        <v>0</v>
      </c>
      <c r="AC30" s="345">
        <v>0</v>
      </c>
      <c r="AD30" s="345">
        <v>0</v>
      </c>
      <c r="AE30" s="346">
        <v>0</v>
      </c>
      <c r="AF30" s="347">
        <v>0</v>
      </c>
      <c r="AG30" s="348">
        <v>0</v>
      </c>
      <c r="AH30" s="348">
        <v>0</v>
      </c>
      <c r="AI30" s="349">
        <v>0</v>
      </c>
      <c r="AJ30" s="349">
        <v>0</v>
      </c>
      <c r="AK30" s="349">
        <v>0</v>
      </c>
      <c r="AL30" s="349">
        <v>0</v>
      </c>
      <c r="AM30" s="350">
        <v>0</v>
      </c>
      <c r="AN30" s="351">
        <v>0</v>
      </c>
      <c r="AO30" s="352">
        <v>0</v>
      </c>
      <c r="AP30" s="319">
        <v>0</v>
      </c>
      <c r="AQ30" s="362">
        <v>0</v>
      </c>
      <c r="AR30" s="360">
        <v>0</v>
      </c>
      <c r="AS30" s="357">
        <v>0</v>
      </c>
      <c r="AT30" s="358">
        <v>0</v>
      </c>
      <c r="AU30" s="326"/>
      <c r="AV30" s="326"/>
      <c r="AW30" s="326"/>
      <c r="AX30" s="326"/>
      <c r="AY30" s="326"/>
      <c r="AZ30" s="326"/>
      <c r="BA30" s="326"/>
      <c r="BB30" s="326"/>
      <c r="BC30" s="324"/>
      <c r="BD30" s="324"/>
      <c r="BE30" s="324"/>
      <c r="BF30" s="327"/>
      <c r="BG30" s="324"/>
      <c r="BH30" s="325"/>
      <c r="BI30" s="325"/>
      <c r="BJ30" s="326"/>
      <c r="BK30" s="324"/>
      <c r="BL30" s="324"/>
      <c r="BM30" s="324"/>
      <c r="BN30" s="327"/>
      <c r="BO30" s="324"/>
      <c r="BP30" s="325"/>
      <c r="BQ30" s="325"/>
      <c r="BR30" s="325"/>
      <c r="BS30" s="325"/>
      <c r="BU30" s="325"/>
      <c r="BV30" s="325"/>
      <c r="BW30" s="325"/>
      <c r="BX30" s="325"/>
      <c r="BY30" s="325"/>
    </row>
    <row r="31" spans="2:77" ht="14.1" customHeight="1" x14ac:dyDescent="0.35">
      <c r="B31" s="329">
        <v>28</v>
      </c>
      <c r="C31" s="330">
        <v>24</v>
      </c>
      <c r="D31" s="331">
        <v>18</v>
      </c>
      <c r="E31" s="332">
        <v>3.4282440039227073</v>
      </c>
      <c r="F31" s="333">
        <v>-2.7409098748457485E-3</v>
      </c>
      <c r="G31" s="131">
        <v>100</v>
      </c>
      <c r="H31" s="137">
        <v>-1000</v>
      </c>
      <c r="I31" s="361">
        <v>0</v>
      </c>
      <c r="J31" s="356">
        <v>1</v>
      </c>
      <c r="K31" s="335">
        <v>0</v>
      </c>
      <c r="L31" s="336">
        <v>0</v>
      </c>
      <c r="M31" s="337">
        <v>0</v>
      </c>
      <c r="N31" s="106">
        <v>0</v>
      </c>
      <c r="O31" s="108">
        <v>0</v>
      </c>
      <c r="P31" s="338">
        <v>0</v>
      </c>
      <c r="Q31" s="339">
        <v>0</v>
      </c>
      <c r="R31" s="339">
        <v>0</v>
      </c>
      <c r="S31" s="340">
        <v>0</v>
      </c>
      <c r="T31" s="341">
        <v>0</v>
      </c>
      <c r="U31" s="342">
        <v>0</v>
      </c>
      <c r="V31" s="342">
        <v>0</v>
      </c>
      <c r="W31" s="343">
        <v>0</v>
      </c>
      <c r="X31" s="112">
        <v>0</v>
      </c>
      <c r="Y31" s="113">
        <v>0</v>
      </c>
      <c r="Z31" s="113">
        <v>0</v>
      </c>
      <c r="AA31" s="344">
        <v>0</v>
      </c>
      <c r="AB31" s="330">
        <v>0</v>
      </c>
      <c r="AC31" s="345">
        <v>0</v>
      </c>
      <c r="AD31" s="345">
        <v>0</v>
      </c>
      <c r="AE31" s="346">
        <v>0</v>
      </c>
      <c r="AF31" s="347">
        <v>0</v>
      </c>
      <c r="AG31" s="348">
        <v>0</v>
      </c>
      <c r="AH31" s="348">
        <v>0</v>
      </c>
      <c r="AI31" s="349">
        <v>0</v>
      </c>
      <c r="AJ31" s="349">
        <v>0</v>
      </c>
      <c r="AK31" s="349">
        <v>0</v>
      </c>
      <c r="AL31" s="349">
        <v>0</v>
      </c>
      <c r="AM31" s="350">
        <v>0</v>
      </c>
      <c r="AN31" s="351">
        <v>0</v>
      </c>
      <c r="AO31" s="352">
        <v>0</v>
      </c>
      <c r="AP31" s="319">
        <v>0</v>
      </c>
      <c r="AQ31" s="362">
        <v>0</v>
      </c>
      <c r="AR31" s="360">
        <v>0</v>
      </c>
      <c r="AS31" s="357">
        <v>0</v>
      </c>
      <c r="AT31" s="358">
        <v>0</v>
      </c>
      <c r="AU31" s="326"/>
      <c r="AV31" s="326"/>
      <c r="AW31" s="326"/>
      <c r="AX31" s="326"/>
      <c r="AY31" s="326"/>
      <c r="AZ31" s="326"/>
      <c r="BA31" s="326"/>
      <c r="BB31" s="326"/>
      <c r="BC31" s="324"/>
      <c r="BD31" s="324"/>
      <c r="BE31" s="324"/>
      <c r="BF31" s="327"/>
      <c r="BG31" s="324"/>
      <c r="BH31" s="325"/>
      <c r="BI31" s="325"/>
      <c r="BJ31" s="326"/>
      <c r="BK31" s="324"/>
      <c r="BL31" s="324"/>
      <c r="BM31" s="324"/>
      <c r="BN31" s="327"/>
      <c r="BO31" s="324"/>
      <c r="BP31" s="325"/>
      <c r="BQ31" s="325"/>
      <c r="BR31" s="325"/>
      <c r="BS31" s="325"/>
      <c r="BU31" s="325"/>
      <c r="BV31" s="325"/>
      <c r="BW31" s="325"/>
      <c r="BX31" s="325"/>
      <c r="BY31" s="325"/>
    </row>
    <row r="32" spans="2:77" ht="14.1" customHeight="1" x14ac:dyDescent="0.35">
      <c r="B32" s="329">
        <v>29</v>
      </c>
      <c r="C32" s="330">
        <v>25</v>
      </c>
      <c r="D32" s="331">
        <v>19</v>
      </c>
      <c r="E32" s="332">
        <v>4.856644403161714</v>
      </c>
      <c r="F32" s="333">
        <v>83.920594227001999</v>
      </c>
      <c r="G32" s="131">
        <v>100</v>
      </c>
      <c r="H32" s="137">
        <v>-1000</v>
      </c>
      <c r="I32" s="361">
        <v>0</v>
      </c>
      <c r="J32" s="356">
        <v>1</v>
      </c>
      <c r="K32" s="335">
        <v>0</v>
      </c>
      <c r="L32" s="336">
        <v>0</v>
      </c>
      <c r="M32" s="337">
        <v>0</v>
      </c>
      <c r="N32" s="106">
        <v>0</v>
      </c>
      <c r="O32" s="108">
        <v>0</v>
      </c>
      <c r="P32" s="338">
        <v>0</v>
      </c>
      <c r="Q32" s="339">
        <v>0</v>
      </c>
      <c r="R32" s="339">
        <v>0</v>
      </c>
      <c r="S32" s="340">
        <v>0</v>
      </c>
      <c r="T32" s="341">
        <v>0</v>
      </c>
      <c r="U32" s="342">
        <v>0</v>
      </c>
      <c r="V32" s="342">
        <v>0</v>
      </c>
      <c r="W32" s="343">
        <v>0</v>
      </c>
      <c r="X32" s="112">
        <v>0</v>
      </c>
      <c r="Y32" s="113">
        <v>0</v>
      </c>
      <c r="Z32" s="113">
        <v>0</v>
      </c>
      <c r="AA32" s="344">
        <v>0</v>
      </c>
      <c r="AB32" s="330">
        <v>0</v>
      </c>
      <c r="AC32" s="345">
        <v>0</v>
      </c>
      <c r="AD32" s="345">
        <v>0</v>
      </c>
      <c r="AE32" s="346">
        <v>0</v>
      </c>
      <c r="AF32" s="347">
        <v>0</v>
      </c>
      <c r="AG32" s="348">
        <v>0</v>
      </c>
      <c r="AH32" s="348">
        <v>0</v>
      </c>
      <c r="AI32" s="349">
        <v>0</v>
      </c>
      <c r="AJ32" s="349">
        <v>0</v>
      </c>
      <c r="AK32" s="349">
        <v>0</v>
      </c>
      <c r="AL32" s="349">
        <v>0</v>
      </c>
      <c r="AM32" s="350">
        <v>0</v>
      </c>
      <c r="AN32" s="351">
        <v>0</v>
      </c>
      <c r="AO32" s="352">
        <v>0</v>
      </c>
      <c r="AP32" s="319">
        <v>0</v>
      </c>
      <c r="AQ32" s="362">
        <v>0</v>
      </c>
      <c r="AR32" s="360">
        <v>0</v>
      </c>
      <c r="AS32" s="357">
        <v>0</v>
      </c>
      <c r="AT32" s="358">
        <v>0</v>
      </c>
      <c r="AU32" s="326"/>
      <c r="AV32" s="326"/>
      <c r="AW32" s="326"/>
      <c r="AX32" s="326"/>
      <c r="AY32" s="326"/>
      <c r="AZ32" s="326"/>
      <c r="BA32" s="326"/>
      <c r="BB32" s="326"/>
      <c r="BC32" s="324"/>
      <c r="BD32" s="324"/>
      <c r="BE32" s="324"/>
      <c r="BF32" s="327"/>
      <c r="BG32" s="324"/>
      <c r="BH32" s="325"/>
      <c r="BI32" s="325"/>
      <c r="BJ32" s="326"/>
      <c r="BK32" s="324"/>
      <c r="BL32" s="324"/>
      <c r="BM32" s="324"/>
      <c r="BN32" s="327"/>
      <c r="BO32" s="324"/>
      <c r="BP32" s="325"/>
      <c r="BQ32" s="325"/>
      <c r="BR32" s="325"/>
      <c r="BS32" s="325"/>
      <c r="BU32" s="325"/>
      <c r="BV32" s="325"/>
      <c r="BW32" s="325"/>
      <c r="BX32" s="325"/>
      <c r="BY32" s="325"/>
    </row>
    <row r="33" spans="2:77" ht="14.1" customHeight="1" x14ac:dyDescent="0.35">
      <c r="B33" s="329">
        <v>30</v>
      </c>
      <c r="C33" s="330">
        <v>26</v>
      </c>
      <c r="D33" s="331">
        <v>19</v>
      </c>
      <c r="E33" s="332">
        <v>4.871179188239025</v>
      </c>
      <c r="F33" s="333">
        <v>95.962452081828275</v>
      </c>
      <c r="G33" s="131">
        <v>100</v>
      </c>
      <c r="H33" s="137">
        <v>-1000</v>
      </c>
      <c r="I33" s="361">
        <v>0</v>
      </c>
      <c r="J33" s="356">
        <v>1</v>
      </c>
      <c r="K33" s="335">
        <v>0</v>
      </c>
      <c r="L33" s="336">
        <v>0</v>
      </c>
      <c r="M33" s="337">
        <v>0</v>
      </c>
      <c r="N33" s="106">
        <v>0</v>
      </c>
      <c r="O33" s="108">
        <v>0</v>
      </c>
      <c r="P33" s="338">
        <v>0</v>
      </c>
      <c r="Q33" s="339">
        <v>0</v>
      </c>
      <c r="R33" s="339">
        <v>0</v>
      </c>
      <c r="S33" s="340">
        <v>0</v>
      </c>
      <c r="T33" s="341">
        <v>0</v>
      </c>
      <c r="U33" s="342">
        <v>0</v>
      </c>
      <c r="V33" s="342">
        <v>0</v>
      </c>
      <c r="W33" s="343">
        <v>0</v>
      </c>
      <c r="X33" s="112">
        <v>0</v>
      </c>
      <c r="Y33" s="113">
        <v>0</v>
      </c>
      <c r="Z33" s="113">
        <v>0</v>
      </c>
      <c r="AA33" s="344">
        <v>0</v>
      </c>
      <c r="AB33" s="330">
        <v>0</v>
      </c>
      <c r="AC33" s="345">
        <v>0</v>
      </c>
      <c r="AD33" s="345">
        <v>0</v>
      </c>
      <c r="AE33" s="346">
        <v>0</v>
      </c>
      <c r="AF33" s="347">
        <v>0</v>
      </c>
      <c r="AG33" s="348">
        <v>0</v>
      </c>
      <c r="AH33" s="348">
        <v>0</v>
      </c>
      <c r="AI33" s="349">
        <v>0</v>
      </c>
      <c r="AJ33" s="349">
        <v>0</v>
      </c>
      <c r="AK33" s="349">
        <v>0</v>
      </c>
      <c r="AL33" s="349">
        <v>0</v>
      </c>
      <c r="AM33" s="350">
        <v>0</v>
      </c>
      <c r="AN33" s="351">
        <v>0</v>
      </c>
      <c r="AO33" s="352">
        <v>0</v>
      </c>
      <c r="AP33" s="319">
        <v>0</v>
      </c>
      <c r="AQ33" s="362">
        <v>0</v>
      </c>
      <c r="AR33" s="360">
        <v>0</v>
      </c>
      <c r="AS33" s="357">
        <v>0</v>
      </c>
      <c r="AT33" s="358">
        <v>0</v>
      </c>
      <c r="AU33" s="326"/>
      <c r="AV33" s="326"/>
      <c r="AW33" s="326"/>
      <c r="AX33" s="326"/>
      <c r="AY33" s="326"/>
      <c r="AZ33" s="326"/>
      <c r="BA33" s="326"/>
      <c r="BB33" s="326"/>
      <c r="BC33" s="324"/>
      <c r="BD33" s="324"/>
      <c r="BE33" s="324"/>
      <c r="BF33" s="327"/>
      <c r="BG33" s="324"/>
      <c r="BH33" s="325"/>
      <c r="BI33" s="325"/>
      <c r="BJ33" s="326"/>
      <c r="BK33" s="324"/>
      <c r="BL33" s="324"/>
      <c r="BM33" s="324"/>
      <c r="BN33" s="327"/>
      <c r="BO33" s="324"/>
      <c r="BP33" s="325"/>
      <c r="BQ33" s="325"/>
      <c r="BR33" s="325"/>
      <c r="BS33" s="325"/>
      <c r="BU33" s="325"/>
      <c r="BV33" s="325"/>
      <c r="BW33" s="325"/>
      <c r="BX33" s="325"/>
      <c r="BY33" s="325"/>
    </row>
    <row r="34" spans="2:77" ht="14.1" customHeight="1" x14ac:dyDescent="0.35">
      <c r="B34" s="329">
        <v>31</v>
      </c>
      <c r="C34" s="330">
        <v>25</v>
      </c>
      <c r="D34" s="331">
        <v>23</v>
      </c>
      <c r="E34" s="332">
        <v>2.0109694410691574</v>
      </c>
      <c r="F34" s="333">
        <v>114.52810652032946</v>
      </c>
      <c r="G34" s="131">
        <v>100</v>
      </c>
      <c r="H34" s="137">
        <v>-1000</v>
      </c>
      <c r="I34" s="361">
        <v>0</v>
      </c>
      <c r="J34" s="356" t="s">
        <v>109</v>
      </c>
      <c r="K34" s="335">
        <v>0</v>
      </c>
      <c r="L34" s="336">
        <v>0</v>
      </c>
      <c r="M34" s="337">
        <v>0</v>
      </c>
      <c r="N34" s="106">
        <v>0</v>
      </c>
      <c r="O34" s="108">
        <v>0</v>
      </c>
      <c r="P34" s="338">
        <v>0</v>
      </c>
      <c r="Q34" s="339">
        <v>0</v>
      </c>
      <c r="R34" s="339">
        <v>0</v>
      </c>
      <c r="S34" s="340">
        <v>0</v>
      </c>
      <c r="T34" s="341">
        <v>0</v>
      </c>
      <c r="U34" s="342">
        <v>0</v>
      </c>
      <c r="V34" s="342">
        <v>0</v>
      </c>
      <c r="W34" s="343">
        <v>0</v>
      </c>
      <c r="X34" s="112">
        <v>0</v>
      </c>
      <c r="Y34" s="113">
        <v>0</v>
      </c>
      <c r="Z34" s="113">
        <v>0</v>
      </c>
      <c r="AA34" s="344">
        <v>0</v>
      </c>
      <c r="AB34" s="330">
        <v>0</v>
      </c>
      <c r="AC34" s="345">
        <v>0</v>
      </c>
      <c r="AD34" s="345">
        <v>0</v>
      </c>
      <c r="AE34" s="346">
        <v>0</v>
      </c>
      <c r="AF34" s="347">
        <v>0</v>
      </c>
      <c r="AG34" s="348">
        <v>0</v>
      </c>
      <c r="AH34" s="348">
        <v>0</v>
      </c>
      <c r="AI34" s="349">
        <v>0</v>
      </c>
      <c r="AJ34" s="349">
        <v>0</v>
      </c>
      <c r="AK34" s="349">
        <v>0</v>
      </c>
      <c r="AL34" s="349">
        <v>0</v>
      </c>
      <c r="AM34" s="350">
        <v>0</v>
      </c>
      <c r="AN34" s="351">
        <v>0</v>
      </c>
      <c r="AO34" s="352">
        <v>0</v>
      </c>
      <c r="AP34" s="319">
        <v>0</v>
      </c>
      <c r="AQ34" s="362">
        <v>0</v>
      </c>
      <c r="AR34" s="360">
        <v>0</v>
      </c>
      <c r="AS34" s="357">
        <v>0</v>
      </c>
      <c r="AT34" s="358">
        <v>0</v>
      </c>
      <c r="AU34" s="326"/>
      <c r="AV34" s="326"/>
      <c r="AW34" s="326"/>
      <c r="AX34" s="326"/>
      <c r="AY34" s="326"/>
      <c r="AZ34" s="326"/>
      <c r="BA34" s="326"/>
      <c r="BB34" s="326"/>
      <c r="BC34" s="324"/>
      <c r="BD34" s="324"/>
      <c r="BE34" s="324"/>
      <c r="BF34" s="327"/>
      <c r="BG34" s="324"/>
      <c r="BH34" s="325"/>
      <c r="BI34" s="325"/>
      <c r="BJ34" s="326"/>
      <c r="BK34" s="324"/>
      <c r="BL34" s="324"/>
      <c r="BM34" s="324"/>
      <c r="BN34" s="327"/>
      <c r="BO34" s="324"/>
      <c r="BP34" s="325"/>
      <c r="BQ34" s="325"/>
      <c r="BR34" s="325"/>
      <c r="BS34" s="325"/>
      <c r="BU34" s="325"/>
      <c r="BV34" s="325"/>
      <c r="BW34" s="325"/>
      <c r="BX34" s="325"/>
      <c r="BY34" s="325"/>
    </row>
    <row r="35" spans="2:77" ht="14.1" customHeight="1" x14ac:dyDescent="0.35">
      <c r="B35" s="329">
        <v>32</v>
      </c>
      <c r="C35" s="330">
        <v>26</v>
      </c>
      <c r="D35" s="331">
        <v>24</v>
      </c>
      <c r="E35" s="332">
        <v>2.0380186571987022</v>
      </c>
      <c r="F35" s="333">
        <v>64.861912223562712</v>
      </c>
      <c r="G35" s="131">
        <v>100</v>
      </c>
      <c r="H35" s="137">
        <v>-1000</v>
      </c>
      <c r="I35" s="361">
        <v>0</v>
      </c>
      <c r="J35" s="356" t="s">
        <v>109</v>
      </c>
      <c r="K35" s="335">
        <v>0</v>
      </c>
      <c r="L35" s="336">
        <v>0</v>
      </c>
      <c r="M35" s="337">
        <v>0</v>
      </c>
      <c r="N35" s="106">
        <v>0</v>
      </c>
      <c r="O35" s="108">
        <v>0</v>
      </c>
      <c r="P35" s="338">
        <v>0</v>
      </c>
      <c r="Q35" s="339">
        <v>0</v>
      </c>
      <c r="R35" s="339">
        <v>0</v>
      </c>
      <c r="S35" s="340">
        <v>0</v>
      </c>
      <c r="T35" s="341">
        <v>0</v>
      </c>
      <c r="U35" s="342">
        <v>0</v>
      </c>
      <c r="V35" s="342">
        <v>0</v>
      </c>
      <c r="W35" s="343">
        <v>0</v>
      </c>
      <c r="X35" s="112">
        <v>0</v>
      </c>
      <c r="Y35" s="113">
        <v>0</v>
      </c>
      <c r="Z35" s="113">
        <v>0</v>
      </c>
      <c r="AA35" s="344">
        <v>0</v>
      </c>
      <c r="AB35" s="330">
        <v>0</v>
      </c>
      <c r="AC35" s="345">
        <v>0</v>
      </c>
      <c r="AD35" s="345">
        <v>0</v>
      </c>
      <c r="AE35" s="346">
        <v>0</v>
      </c>
      <c r="AF35" s="347">
        <v>0</v>
      </c>
      <c r="AG35" s="348">
        <v>0</v>
      </c>
      <c r="AH35" s="348">
        <v>0</v>
      </c>
      <c r="AI35" s="349">
        <v>0</v>
      </c>
      <c r="AJ35" s="349">
        <v>0</v>
      </c>
      <c r="AK35" s="349">
        <v>0</v>
      </c>
      <c r="AL35" s="349">
        <v>0</v>
      </c>
      <c r="AM35" s="350">
        <v>0</v>
      </c>
      <c r="AN35" s="351">
        <v>0</v>
      </c>
      <c r="AO35" s="352">
        <v>0</v>
      </c>
      <c r="AP35" s="319">
        <v>0</v>
      </c>
      <c r="AQ35" s="362">
        <v>0</v>
      </c>
      <c r="AR35" s="360">
        <v>0</v>
      </c>
      <c r="AS35" s="357">
        <v>0</v>
      </c>
      <c r="AT35" s="358">
        <v>0</v>
      </c>
      <c r="AU35" s="326"/>
      <c r="AV35" s="326"/>
      <c r="AW35" s="326"/>
      <c r="AX35" s="326"/>
      <c r="AY35" s="326"/>
      <c r="AZ35" s="326"/>
      <c r="BA35" s="326"/>
      <c r="BB35" s="326"/>
      <c r="BC35" s="324"/>
      <c r="BD35" s="324"/>
      <c r="BE35" s="324"/>
      <c r="BF35" s="327"/>
      <c r="BG35" s="324"/>
      <c r="BH35" s="325"/>
      <c r="BI35" s="325"/>
      <c r="BJ35" s="326"/>
      <c r="BK35" s="324"/>
      <c r="BL35" s="324"/>
      <c r="BM35" s="324"/>
      <c r="BN35" s="327"/>
      <c r="BO35" s="324"/>
      <c r="BP35" s="325"/>
      <c r="BQ35" s="325"/>
      <c r="BR35" s="325"/>
      <c r="BS35" s="325"/>
      <c r="BU35" s="325"/>
      <c r="BV35" s="325"/>
      <c r="BW35" s="325"/>
      <c r="BX35" s="325"/>
      <c r="BY35" s="325"/>
    </row>
    <row r="36" spans="2:77" ht="14.1" customHeight="1" x14ac:dyDescent="0.35">
      <c r="B36" s="329">
        <v>33</v>
      </c>
      <c r="C36" s="330">
        <v>25</v>
      </c>
      <c r="D36" s="331">
        <v>26</v>
      </c>
      <c r="E36" s="332">
        <v>1.0204706613249594</v>
      </c>
      <c r="F36" s="333">
        <v>-0.87007844331852358</v>
      </c>
      <c r="G36" s="131">
        <v>100</v>
      </c>
      <c r="H36" s="137">
        <v>-1000</v>
      </c>
      <c r="I36" s="361">
        <v>0</v>
      </c>
      <c r="J36" s="356">
        <v>1</v>
      </c>
      <c r="K36" s="335">
        <v>0</v>
      </c>
      <c r="L36" s="336">
        <v>0</v>
      </c>
      <c r="M36" s="337">
        <v>0</v>
      </c>
      <c r="N36" s="106">
        <v>0</v>
      </c>
      <c r="O36" s="108">
        <v>0</v>
      </c>
      <c r="P36" s="338">
        <v>0</v>
      </c>
      <c r="Q36" s="339">
        <v>0</v>
      </c>
      <c r="R36" s="339">
        <v>0</v>
      </c>
      <c r="S36" s="340">
        <v>0</v>
      </c>
      <c r="T36" s="341">
        <v>0</v>
      </c>
      <c r="U36" s="342">
        <v>0</v>
      </c>
      <c r="V36" s="342">
        <v>0</v>
      </c>
      <c r="W36" s="343">
        <v>0</v>
      </c>
      <c r="X36" s="112">
        <v>0</v>
      </c>
      <c r="Y36" s="113">
        <v>0</v>
      </c>
      <c r="Z36" s="113">
        <v>0</v>
      </c>
      <c r="AA36" s="344">
        <v>0</v>
      </c>
      <c r="AB36" s="330">
        <v>0</v>
      </c>
      <c r="AC36" s="345">
        <v>0</v>
      </c>
      <c r="AD36" s="345">
        <v>0</v>
      </c>
      <c r="AE36" s="346">
        <v>0</v>
      </c>
      <c r="AF36" s="347">
        <v>0</v>
      </c>
      <c r="AG36" s="348">
        <v>0</v>
      </c>
      <c r="AH36" s="348">
        <v>0</v>
      </c>
      <c r="AI36" s="349">
        <v>0</v>
      </c>
      <c r="AJ36" s="349">
        <v>0</v>
      </c>
      <c r="AK36" s="349">
        <v>0</v>
      </c>
      <c r="AL36" s="349">
        <v>0</v>
      </c>
      <c r="AM36" s="350">
        <v>0</v>
      </c>
      <c r="AN36" s="351">
        <v>0</v>
      </c>
      <c r="AO36" s="352">
        <v>0</v>
      </c>
      <c r="AP36" s="319">
        <v>0</v>
      </c>
      <c r="AQ36" s="362">
        <v>0</v>
      </c>
      <c r="AR36" s="360">
        <v>0</v>
      </c>
      <c r="AS36" s="357">
        <v>0</v>
      </c>
      <c r="AT36" s="358">
        <v>0</v>
      </c>
      <c r="AV36" s="323"/>
      <c r="AW36" s="323"/>
      <c r="AX36" s="324"/>
      <c r="AY36" s="324"/>
      <c r="AZ36" s="324"/>
      <c r="BA36" s="324"/>
      <c r="BB36" s="324"/>
      <c r="BC36" s="324"/>
      <c r="BD36" s="324"/>
      <c r="BE36" s="324"/>
      <c r="BF36" s="327"/>
      <c r="BG36" s="324"/>
      <c r="BH36" s="325"/>
      <c r="BI36" s="325"/>
      <c r="BJ36" s="326"/>
      <c r="BK36" s="324"/>
      <c r="BL36" s="324"/>
      <c r="BM36" s="324"/>
      <c r="BN36" s="327"/>
      <c r="BO36" s="324"/>
      <c r="BP36" s="325"/>
      <c r="BQ36" s="325"/>
      <c r="BR36" s="325"/>
      <c r="BS36" s="325"/>
      <c r="BU36" s="325"/>
      <c r="BV36" s="325"/>
      <c r="BW36" s="325"/>
      <c r="BX36" s="325"/>
      <c r="BY36" s="325"/>
    </row>
    <row r="37" spans="2:77" ht="14.1" customHeight="1" x14ac:dyDescent="0.35">
      <c r="B37" s="329">
        <v>34</v>
      </c>
      <c r="C37" s="330"/>
      <c r="D37" s="331"/>
      <c r="E37" s="332"/>
      <c r="F37" s="333"/>
      <c r="G37" s="131"/>
      <c r="H37" s="137"/>
      <c r="I37" s="361"/>
      <c r="J37" s="356"/>
      <c r="K37" s="335"/>
      <c r="L37" s="336"/>
      <c r="M37" s="337"/>
      <c r="N37" s="106"/>
      <c r="O37" s="108"/>
      <c r="P37" s="338"/>
      <c r="Q37" s="339"/>
      <c r="R37" s="339"/>
      <c r="S37" s="340"/>
      <c r="T37" s="341"/>
      <c r="U37" s="342"/>
      <c r="V37" s="342"/>
      <c r="W37" s="343"/>
      <c r="X37" s="112"/>
      <c r="Y37" s="113"/>
      <c r="Z37" s="113"/>
      <c r="AA37" s="344"/>
      <c r="AB37" s="330"/>
      <c r="AC37" s="345"/>
      <c r="AD37" s="345"/>
      <c r="AE37" s="346"/>
      <c r="AF37" s="347"/>
      <c r="AG37" s="348"/>
      <c r="AH37" s="348"/>
      <c r="AI37" s="349"/>
      <c r="AJ37" s="349"/>
      <c r="AK37" s="349"/>
      <c r="AL37" s="349"/>
      <c r="AM37" s="350"/>
      <c r="AN37" s="351"/>
      <c r="AO37" s="352"/>
      <c r="AP37" s="319"/>
      <c r="AQ37" s="362"/>
      <c r="AR37" s="360"/>
      <c r="AS37" s="357"/>
      <c r="AT37" s="358"/>
      <c r="AV37" s="323"/>
      <c r="AW37" s="323"/>
      <c r="AX37" s="324"/>
      <c r="AY37" s="324"/>
      <c r="AZ37" s="324"/>
      <c r="BA37" s="324"/>
      <c r="BB37" s="324"/>
      <c r="BC37" s="324"/>
      <c r="BD37" s="324"/>
      <c r="BE37" s="324"/>
      <c r="BF37" s="327"/>
      <c r="BG37" s="324"/>
      <c r="BH37" s="325"/>
      <c r="BI37" s="325"/>
      <c r="BJ37" s="326"/>
      <c r="BK37" s="324"/>
      <c r="BL37" s="324"/>
      <c r="BM37" s="324"/>
      <c r="BN37" s="327"/>
      <c r="BO37" s="324"/>
      <c r="BP37" s="325"/>
      <c r="BQ37" s="325"/>
      <c r="BR37" s="325"/>
      <c r="BS37" s="325"/>
      <c r="BU37" s="325"/>
      <c r="BV37" s="325"/>
      <c r="BW37" s="325"/>
      <c r="BX37" s="325"/>
      <c r="BY37" s="325"/>
    </row>
    <row r="38" spans="2:77" ht="14.1" customHeight="1" x14ac:dyDescent="0.35">
      <c r="B38" s="329">
        <v>35</v>
      </c>
      <c r="C38" s="330"/>
      <c r="D38" s="331"/>
      <c r="E38" s="332"/>
      <c r="F38" s="333"/>
      <c r="G38" s="131"/>
      <c r="H38" s="137"/>
      <c r="I38" s="361"/>
      <c r="J38" s="356"/>
      <c r="K38" s="335"/>
      <c r="L38" s="336"/>
      <c r="M38" s="337"/>
      <c r="N38" s="106"/>
      <c r="O38" s="108"/>
      <c r="P38" s="338"/>
      <c r="Q38" s="339"/>
      <c r="R38" s="339"/>
      <c r="S38" s="340"/>
      <c r="T38" s="341"/>
      <c r="U38" s="342"/>
      <c r="V38" s="342"/>
      <c r="W38" s="343"/>
      <c r="X38" s="112"/>
      <c r="Y38" s="113"/>
      <c r="Z38" s="113"/>
      <c r="AA38" s="344"/>
      <c r="AB38" s="330"/>
      <c r="AC38" s="345"/>
      <c r="AD38" s="345"/>
      <c r="AE38" s="346"/>
      <c r="AF38" s="347"/>
      <c r="AG38" s="348"/>
      <c r="AH38" s="348"/>
      <c r="AI38" s="349"/>
      <c r="AJ38" s="349"/>
      <c r="AK38" s="349"/>
      <c r="AL38" s="349"/>
      <c r="AM38" s="350"/>
      <c r="AN38" s="351"/>
      <c r="AO38" s="352"/>
      <c r="AP38" s="319"/>
      <c r="AQ38" s="362"/>
      <c r="AR38" s="360"/>
      <c r="AS38" s="357"/>
      <c r="AT38" s="358"/>
      <c r="AV38" s="323"/>
      <c r="AW38" s="323"/>
      <c r="AX38" s="324"/>
      <c r="AY38" s="324"/>
      <c r="AZ38" s="324"/>
      <c r="BA38" s="324"/>
      <c r="BB38" s="324"/>
      <c r="BC38" s="324"/>
      <c r="BD38" s="324"/>
      <c r="BE38" s="324"/>
      <c r="BF38" s="327"/>
      <c r="BG38" s="324"/>
      <c r="BH38" s="325"/>
      <c r="BI38" s="325"/>
      <c r="BJ38" s="326"/>
      <c r="BK38" s="324"/>
      <c r="BL38" s="324"/>
      <c r="BM38" s="324"/>
      <c r="BN38" s="327"/>
      <c r="BO38" s="324"/>
      <c r="BP38" s="325"/>
      <c r="BQ38" s="325"/>
      <c r="BR38" s="325"/>
      <c r="BS38" s="325"/>
      <c r="BU38" s="325"/>
      <c r="BV38" s="365"/>
      <c r="BW38" s="325"/>
      <c r="BX38" s="325"/>
      <c r="BY38" s="325"/>
    </row>
    <row r="39" spans="2:77" ht="14.1" customHeight="1" x14ac:dyDescent="0.35">
      <c r="B39" s="329">
        <v>36</v>
      </c>
      <c r="C39" s="330"/>
      <c r="D39" s="331"/>
      <c r="E39" s="332"/>
      <c r="F39" s="333"/>
      <c r="G39" s="131"/>
      <c r="H39" s="137"/>
      <c r="I39" s="361"/>
      <c r="J39" s="356"/>
      <c r="K39" s="335"/>
      <c r="L39" s="336"/>
      <c r="M39" s="337"/>
      <c r="N39" s="106"/>
      <c r="O39" s="108"/>
      <c r="P39" s="338"/>
      <c r="Q39" s="339"/>
      <c r="R39" s="339"/>
      <c r="S39" s="340"/>
      <c r="T39" s="341"/>
      <c r="U39" s="342"/>
      <c r="V39" s="342"/>
      <c r="W39" s="343"/>
      <c r="X39" s="112"/>
      <c r="Y39" s="113"/>
      <c r="Z39" s="113"/>
      <c r="AA39" s="344"/>
      <c r="AB39" s="330"/>
      <c r="AC39" s="345"/>
      <c r="AD39" s="345"/>
      <c r="AE39" s="346"/>
      <c r="AF39" s="347"/>
      <c r="AG39" s="348"/>
      <c r="AH39" s="348"/>
      <c r="AI39" s="349"/>
      <c r="AJ39" s="349"/>
      <c r="AK39" s="349"/>
      <c r="AL39" s="349"/>
      <c r="AM39" s="350"/>
      <c r="AN39" s="351"/>
      <c r="AO39" s="352"/>
      <c r="AP39" s="319"/>
      <c r="AQ39" s="362"/>
      <c r="AR39" s="360"/>
      <c r="AS39" s="357"/>
      <c r="AT39" s="358"/>
      <c r="AV39" s="323"/>
      <c r="AW39" s="323"/>
      <c r="AX39" s="324"/>
      <c r="AY39" s="324"/>
      <c r="AZ39" s="324"/>
      <c r="BA39" s="324"/>
      <c r="BB39" s="324"/>
      <c r="BC39" s="324"/>
      <c r="BD39" s="324"/>
      <c r="BE39" s="324"/>
      <c r="BF39" s="327"/>
      <c r="BG39" s="324"/>
      <c r="BH39" s="325"/>
      <c r="BI39" s="325"/>
      <c r="BJ39" s="326"/>
      <c r="BK39" s="324"/>
      <c r="BL39" s="324"/>
      <c r="BM39" s="324"/>
      <c r="BN39" s="327"/>
      <c r="BO39" s="324"/>
      <c r="BP39" s="325"/>
      <c r="BQ39" s="325"/>
      <c r="BR39" s="325"/>
      <c r="BS39" s="325"/>
      <c r="BU39" s="325"/>
      <c r="BV39" s="325"/>
      <c r="BW39" s="325"/>
      <c r="BX39" s="325"/>
      <c r="BY39" s="325"/>
    </row>
    <row r="40" spans="2:77" ht="14.1" customHeight="1" x14ac:dyDescent="0.35">
      <c r="B40" s="329">
        <v>37</v>
      </c>
      <c r="C40" s="330"/>
      <c r="D40" s="331"/>
      <c r="E40" s="332"/>
      <c r="F40" s="333"/>
      <c r="G40" s="131"/>
      <c r="H40" s="137"/>
      <c r="I40" s="361"/>
      <c r="J40" s="356"/>
      <c r="K40" s="335"/>
      <c r="L40" s="336"/>
      <c r="M40" s="337"/>
      <c r="N40" s="106"/>
      <c r="O40" s="108"/>
      <c r="P40" s="338"/>
      <c r="Q40" s="339"/>
      <c r="R40" s="339"/>
      <c r="S40" s="340"/>
      <c r="T40" s="341"/>
      <c r="U40" s="342"/>
      <c r="V40" s="342"/>
      <c r="W40" s="343"/>
      <c r="X40" s="112"/>
      <c r="Y40" s="113"/>
      <c r="Z40" s="113"/>
      <c r="AA40" s="344"/>
      <c r="AB40" s="330"/>
      <c r="AC40" s="345"/>
      <c r="AD40" s="345"/>
      <c r="AE40" s="346"/>
      <c r="AF40" s="347"/>
      <c r="AG40" s="348"/>
      <c r="AH40" s="348"/>
      <c r="AI40" s="349"/>
      <c r="AJ40" s="349"/>
      <c r="AK40" s="349"/>
      <c r="AL40" s="349"/>
      <c r="AM40" s="350"/>
      <c r="AN40" s="351"/>
      <c r="AO40" s="352"/>
      <c r="AP40" s="319"/>
      <c r="AQ40" s="362"/>
      <c r="AR40" s="360"/>
      <c r="AS40" s="357"/>
      <c r="AT40" s="358"/>
      <c r="AV40" s="323"/>
      <c r="AW40" s="323"/>
      <c r="AX40" s="324"/>
      <c r="AY40" s="324"/>
      <c r="AZ40" s="324"/>
      <c r="BA40" s="324"/>
      <c r="BB40" s="324"/>
      <c r="BC40" s="324"/>
      <c r="BD40" s="324"/>
      <c r="BE40" s="324"/>
      <c r="BF40" s="327"/>
      <c r="BG40" s="324"/>
      <c r="BH40" s="325"/>
      <c r="BI40" s="325"/>
      <c r="BJ40" s="326"/>
      <c r="BK40" s="324"/>
      <c r="BL40" s="324"/>
      <c r="BM40" s="324"/>
      <c r="BN40" s="327"/>
      <c r="BO40" s="324"/>
      <c r="BP40" s="325"/>
      <c r="BQ40" s="325"/>
      <c r="BR40" s="325"/>
      <c r="BS40" s="325"/>
      <c r="BU40" s="325"/>
      <c r="BV40" s="325"/>
      <c r="BW40" s="325"/>
      <c r="BX40" s="325"/>
      <c r="BY40" s="325"/>
    </row>
    <row r="41" spans="2:77" ht="14.1" customHeight="1" x14ac:dyDescent="0.35">
      <c r="B41" s="329">
        <v>38</v>
      </c>
      <c r="C41" s="330"/>
      <c r="D41" s="331"/>
      <c r="E41" s="332"/>
      <c r="F41" s="333"/>
      <c r="G41" s="131"/>
      <c r="H41" s="137"/>
      <c r="I41" s="361"/>
      <c r="J41" s="356"/>
      <c r="K41" s="335"/>
      <c r="L41" s="336"/>
      <c r="M41" s="337"/>
      <c r="N41" s="106"/>
      <c r="O41" s="108"/>
      <c r="P41" s="338"/>
      <c r="Q41" s="339"/>
      <c r="R41" s="339"/>
      <c r="S41" s="340"/>
      <c r="T41" s="341"/>
      <c r="U41" s="342"/>
      <c r="V41" s="342"/>
      <c r="W41" s="343"/>
      <c r="X41" s="112"/>
      <c r="Y41" s="113"/>
      <c r="Z41" s="113"/>
      <c r="AA41" s="344"/>
      <c r="AB41" s="330"/>
      <c r="AC41" s="345"/>
      <c r="AD41" s="345"/>
      <c r="AE41" s="346"/>
      <c r="AF41" s="347"/>
      <c r="AG41" s="348"/>
      <c r="AH41" s="348"/>
      <c r="AI41" s="349"/>
      <c r="AJ41" s="349"/>
      <c r="AK41" s="349"/>
      <c r="AL41" s="349"/>
      <c r="AM41" s="350"/>
      <c r="AN41" s="351"/>
      <c r="AO41" s="352"/>
      <c r="AP41" s="319"/>
      <c r="AQ41" s="362"/>
      <c r="AR41" s="360"/>
      <c r="AS41" s="357"/>
      <c r="AT41" s="358"/>
      <c r="AV41" s="323"/>
      <c r="AW41" s="323"/>
      <c r="BD41" s="324"/>
      <c r="BE41" s="324"/>
      <c r="BF41" s="327"/>
      <c r="BG41" s="324"/>
      <c r="BH41" s="325"/>
      <c r="BI41" s="325"/>
      <c r="BJ41" s="326"/>
      <c r="BK41" s="324"/>
      <c r="BL41" s="324"/>
      <c r="BM41" s="324"/>
      <c r="BN41" s="327"/>
      <c r="BO41" s="324"/>
      <c r="BP41" s="325"/>
      <c r="BQ41" s="325"/>
      <c r="BR41" s="325"/>
      <c r="BS41" s="325"/>
      <c r="BU41" s="325"/>
      <c r="BV41" s="325"/>
      <c r="BW41" s="325"/>
      <c r="BX41" s="325"/>
      <c r="BY41" s="325"/>
    </row>
    <row r="42" spans="2:77" ht="14.1" customHeight="1" x14ac:dyDescent="0.35">
      <c r="B42" s="329">
        <v>39</v>
      </c>
      <c r="C42" s="330"/>
      <c r="D42" s="331"/>
      <c r="E42" s="332"/>
      <c r="F42" s="333"/>
      <c r="G42" s="131"/>
      <c r="H42" s="137"/>
      <c r="I42" s="361"/>
      <c r="J42" s="356"/>
      <c r="K42" s="335"/>
      <c r="L42" s="336"/>
      <c r="M42" s="337"/>
      <c r="N42" s="106"/>
      <c r="O42" s="108"/>
      <c r="P42" s="338"/>
      <c r="Q42" s="339"/>
      <c r="R42" s="339"/>
      <c r="S42" s="340"/>
      <c r="T42" s="341"/>
      <c r="U42" s="342"/>
      <c r="V42" s="342"/>
      <c r="W42" s="343"/>
      <c r="X42" s="112"/>
      <c r="Y42" s="113"/>
      <c r="Z42" s="113"/>
      <c r="AA42" s="344"/>
      <c r="AB42" s="330"/>
      <c r="AC42" s="345"/>
      <c r="AD42" s="345"/>
      <c r="AE42" s="346"/>
      <c r="AF42" s="347"/>
      <c r="AG42" s="348"/>
      <c r="AH42" s="348"/>
      <c r="AI42" s="349"/>
      <c r="AJ42" s="349"/>
      <c r="AK42" s="349"/>
      <c r="AL42" s="349"/>
      <c r="AM42" s="350"/>
      <c r="AN42" s="351"/>
      <c r="AO42" s="352"/>
      <c r="AP42" s="319"/>
      <c r="AQ42" s="362"/>
      <c r="AR42" s="360"/>
      <c r="AS42" s="357"/>
      <c r="AT42" s="358"/>
      <c r="AV42" s="323"/>
      <c r="AW42" s="323"/>
      <c r="AX42" s="327"/>
      <c r="AY42" s="324"/>
      <c r="AZ42" s="325"/>
      <c r="BA42" s="325"/>
      <c r="BB42" s="326"/>
      <c r="BC42" s="324"/>
      <c r="BD42" s="324"/>
      <c r="BE42" s="324"/>
      <c r="BF42" s="327"/>
      <c r="BG42" s="324"/>
      <c r="BH42" s="325"/>
      <c r="BI42" s="325"/>
      <c r="BJ42" s="326"/>
      <c r="BK42" s="324"/>
      <c r="BL42" s="324"/>
      <c r="BM42" s="324"/>
      <c r="BN42" s="327"/>
      <c r="BO42" s="324"/>
      <c r="BP42" s="325"/>
      <c r="BQ42" s="325"/>
      <c r="BR42" s="325"/>
      <c r="BS42" s="325"/>
      <c r="BU42" s="325"/>
      <c r="BV42" s="325"/>
      <c r="BW42" s="325"/>
      <c r="BX42" s="325"/>
      <c r="BY42" s="325"/>
    </row>
    <row r="43" spans="2:77" ht="14.1" customHeight="1" thickBot="1" x14ac:dyDescent="0.4">
      <c r="B43" s="366">
        <v>40</v>
      </c>
      <c r="C43" s="367"/>
      <c r="D43" s="368"/>
      <c r="E43" s="369"/>
      <c r="F43" s="370"/>
      <c r="G43" s="371"/>
      <c r="H43" s="372"/>
      <c r="I43" s="373"/>
      <c r="J43" s="374"/>
      <c r="K43" s="375"/>
      <c r="L43" s="376"/>
      <c r="M43" s="377"/>
      <c r="N43" s="378"/>
      <c r="O43" s="379"/>
      <c r="P43" s="380"/>
      <c r="Q43" s="381"/>
      <c r="R43" s="381"/>
      <c r="S43" s="382"/>
      <c r="T43" s="383"/>
      <c r="U43" s="384"/>
      <c r="V43" s="384"/>
      <c r="W43" s="385"/>
      <c r="X43" s="169"/>
      <c r="Y43" s="170"/>
      <c r="Z43" s="170"/>
      <c r="AA43" s="386"/>
      <c r="AB43" s="367"/>
      <c r="AC43" s="387"/>
      <c r="AD43" s="387"/>
      <c r="AE43" s="388"/>
      <c r="AF43" s="389"/>
      <c r="AG43" s="390"/>
      <c r="AH43" s="390"/>
      <c r="AI43" s="391"/>
      <c r="AJ43" s="391"/>
      <c r="AK43" s="391"/>
      <c r="AL43" s="391"/>
      <c r="AM43" s="392"/>
      <c r="AN43" s="393"/>
      <c r="AO43" s="394"/>
      <c r="AP43" s="395"/>
      <c r="AQ43" s="396"/>
      <c r="AR43" s="397"/>
      <c r="AS43" s="398"/>
      <c r="AT43" s="399"/>
      <c r="AV43" s="323"/>
      <c r="AW43" s="323"/>
      <c r="AX43" s="327"/>
      <c r="AY43" s="324"/>
      <c r="AZ43" s="325"/>
      <c r="BA43" s="325"/>
      <c r="BB43" s="326"/>
      <c r="BC43" s="324"/>
      <c r="BD43" s="324"/>
      <c r="BE43" s="324"/>
      <c r="BF43" s="327"/>
      <c r="BG43" s="324"/>
      <c r="BH43" s="325"/>
      <c r="BI43" s="325"/>
      <c r="BJ43" s="326"/>
      <c r="BK43" s="324"/>
      <c r="BL43" s="324"/>
      <c r="BM43" s="324"/>
      <c r="BN43" s="327"/>
      <c r="BO43" s="324"/>
      <c r="BP43" s="325"/>
      <c r="BQ43" s="325"/>
      <c r="BR43" s="325"/>
      <c r="BS43" s="325"/>
      <c r="BU43" s="325"/>
      <c r="BV43" s="325"/>
      <c r="BW43" s="325"/>
      <c r="BX43" s="325"/>
      <c r="BY43" s="325"/>
    </row>
    <row r="44" spans="2:77" x14ac:dyDescent="0.35">
      <c r="K44" s="400"/>
      <c r="M44" s="65"/>
      <c r="N44" s="65"/>
      <c r="AR44" s="327"/>
      <c r="AX44" s="327"/>
      <c r="AY44" s="324"/>
      <c r="AZ44" s="325"/>
      <c r="BA44" s="325"/>
      <c r="BB44" s="326"/>
      <c r="BC44" s="324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U44" s="65"/>
      <c r="BV44" s="65"/>
      <c r="BW44" s="65"/>
      <c r="BX44" s="65"/>
      <c r="BY44" s="65"/>
    </row>
    <row r="45" spans="2:77" x14ac:dyDescent="0.35">
      <c r="K45" s="400"/>
      <c r="AR45" s="327"/>
    </row>
    <row r="46" spans="2:77" x14ac:dyDescent="0.35">
      <c r="K46" s="400"/>
      <c r="AQ46" s="402"/>
      <c r="AR46" s="327"/>
    </row>
    <row r="47" spans="2:77" x14ac:dyDescent="0.35">
      <c r="K47" s="400"/>
      <c r="AQ47" s="402"/>
      <c r="AR47" s="327"/>
    </row>
    <row r="48" spans="2:77" x14ac:dyDescent="0.35">
      <c r="K48" s="400"/>
      <c r="AQ48" s="402"/>
      <c r="AR48" s="327"/>
    </row>
    <row r="49" spans="11:44" x14ac:dyDescent="0.35">
      <c r="K49" s="400"/>
      <c r="AQ49" s="402"/>
      <c r="AR49" s="327"/>
    </row>
    <row r="50" spans="11:44" x14ac:dyDescent="0.35">
      <c r="K50" s="400"/>
      <c r="AQ50" s="402"/>
      <c r="AR50" s="327"/>
    </row>
    <row r="51" spans="11:44" x14ac:dyDescent="0.35">
      <c r="K51" s="400"/>
      <c r="AQ51" s="402"/>
      <c r="AR51" s="327"/>
    </row>
    <row r="52" spans="11:44" x14ac:dyDescent="0.35">
      <c r="K52" s="400"/>
      <c r="AQ52" s="402"/>
      <c r="AR52" s="327"/>
    </row>
    <row r="53" spans="11:44" x14ac:dyDescent="0.35">
      <c r="K53" s="400"/>
      <c r="AQ53" s="402"/>
      <c r="AR53" s="327"/>
    </row>
    <row r="54" spans="11:44" x14ac:dyDescent="0.35">
      <c r="K54" s="400"/>
      <c r="AQ54" s="402"/>
      <c r="AR54" s="327"/>
    </row>
    <row r="55" spans="11:44" x14ac:dyDescent="0.35">
      <c r="K55" s="400"/>
      <c r="AQ55" s="402"/>
      <c r="AR55" s="327"/>
    </row>
    <row r="56" spans="11:44" x14ac:dyDescent="0.35">
      <c r="K56" s="400"/>
      <c r="AQ56" s="402"/>
      <c r="AR56" s="327"/>
    </row>
    <row r="57" spans="11:44" x14ac:dyDescent="0.35">
      <c r="K57" s="400"/>
      <c r="AQ57" s="327"/>
      <c r="AR57" s="327"/>
    </row>
    <row r="58" spans="11:44" x14ac:dyDescent="0.35">
      <c r="K58" s="400"/>
      <c r="AQ58" s="327"/>
      <c r="AR58" s="327"/>
    </row>
    <row r="59" spans="11:44" x14ac:dyDescent="0.35">
      <c r="K59" s="186"/>
      <c r="AQ59" s="403"/>
      <c r="AR59" s="95"/>
    </row>
    <row r="60" spans="11:44" x14ac:dyDescent="0.35">
      <c r="K60" s="186"/>
      <c r="AQ60" s="403"/>
      <c r="AR60" s="95"/>
    </row>
    <row r="61" spans="11:44" x14ac:dyDescent="0.35">
      <c r="K61" s="186"/>
      <c r="AQ61" s="402"/>
      <c r="AR61" s="95"/>
    </row>
    <row r="62" spans="11:44" x14ac:dyDescent="0.35">
      <c r="K62" s="404"/>
      <c r="AQ62" s="402"/>
      <c r="AR62" s="65"/>
    </row>
    <row r="63" spans="11:44" x14ac:dyDescent="0.35">
      <c r="AQ63" s="402"/>
    </row>
    <row r="64" spans="11:44" x14ac:dyDescent="0.35">
      <c r="AQ64" s="402"/>
    </row>
    <row r="65" spans="43:43" x14ac:dyDescent="0.35">
      <c r="AQ65" s="402"/>
    </row>
    <row r="66" spans="43:43" x14ac:dyDescent="0.35">
      <c r="AQ66" s="402"/>
    </row>
    <row r="67" spans="43:43" x14ac:dyDescent="0.35">
      <c r="AQ67" s="402"/>
    </row>
    <row r="68" spans="43:43" x14ac:dyDescent="0.35">
      <c r="AQ68" s="402"/>
    </row>
    <row r="69" spans="43:43" x14ac:dyDescent="0.35">
      <c r="AQ69" s="402"/>
    </row>
    <row r="70" spans="43:43" x14ac:dyDescent="0.35">
      <c r="AQ70" s="402"/>
    </row>
    <row r="81" spans="20:31" x14ac:dyDescent="0.35">
      <c r="T81" s="324"/>
      <c r="U81" s="327"/>
      <c r="V81" s="324"/>
      <c r="X81" s="324"/>
      <c r="Y81" s="327"/>
      <c r="Z81" s="406"/>
      <c r="AA81" s="406"/>
      <c r="AB81" s="406"/>
      <c r="AC81" s="406"/>
      <c r="AD81" s="327"/>
      <c r="AE81" s="324"/>
    </row>
    <row r="82" spans="20:31" x14ac:dyDescent="0.35">
      <c r="T82" s="324"/>
      <c r="U82" s="327"/>
      <c r="V82" s="324"/>
      <c r="X82" s="324"/>
      <c r="Y82" s="327"/>
      <c r="Z82" s="326"/>
      <c r="AA82" s="324"/>
      <c r="AB82" s="324"/>
      <c r="AC82" s="324"/>
      <c r="AD82" s="327"/>
      <c r="AE82" s="324"/>
    </row>
    <row r="83" spans="20:31" x14ac:dyDescent="0.35">
      <c r="T83" s="324"/>
      <c r="U83" s="327"/>
      <c r="V83" s="324"/>
      <c r="X83" s="324"/>
      <c r="Y83" s="327"/>
      <c r="Z83" s="326"/>
      <c r="AA83" s="324"/>
      <c r="AB83" s="324"/>
      <c r="AC83" s="324"/>
      <c r="AD83" s="327"/>
      <c r="AE83" s="324"/>
    </row>
    <row r="84" spans="20:31" x14ac:dyDescent="0.35">
      <c r="T84" s="324"/>
      <c r="U84" s="327"/>
      <c r="V84" s="324"/>
      <c r="X84" s="324"/>
      <c r="Y84" s="327"/>
      <c r="Z84" s="326"/>
      <c r="AA84" s="324"/>
      <c r="AB84" s="324"/>
      <c r="AC84" s="324"/>
      <c r="AD84" s="327"/>
      <c r="AE84" s="324"/>
    </row>
    <row r="85" spans="20:31" x14ac:dyDescent="0.35">
      <c r="T85" s="324"/>
      <c r="U85" s="327"/>
      <c r="V85" s="324"/>
      <c r="X85" s="324"/>
      <c r="Y85" s="327"/>
      <c r="Z85" s="326"/>
      <c r="AA85" s="324"/>
      <c r="AB85" s="324"/>
      <c r="AC85" s="324"/>
      <c r="AD85" s="327"/>
      <c r="AE85" s="324"/>
    </row>
    <row r="86" spans="20:31" x14ac:dyDescent="0.35">
      <c r="T86" s="324"/>
      <c r="U86" s="327"/>
      <c r="V86" s="324"/>
      <c r="X86" s="324"/>
      <c r="Y86" s="327"/>
      <c r="Z86" s="326"/>
      <c r="AA86" s="324"/>
      <c r="AB86" s="324"/>
      <c r="AC86" s="324"/>
      <c r="AD86" s="327"/>
      <c r="AE86" s="324"/>
    </row>
    <row r="87" spans="20:31" x14ac:dyDescent="0.35">
      <c r="T87" s="324"/>
      <c r="U87" s="327"/>
      <c r="V87" s="324"/>
      <c r="X87" s="324"/>
      <c r="Y87" s="327"/>
      <c r="Z87" s="326"/>
      <c r="AA87" s="324"/>
      <c r="AB87" s="324"/>
      <c r="AC87" s="324"/>
      <c r="AD87" s="327"/>
      <c r="AE87" s="324"/>
    </row>
    <row r="88" spans="20:31" x14ac:dyDescent="0.35">
      <c r="T88" s="324"/>
      <c r="U88" s="327"/>
      <c r="V88" s="324"/>
      <c r="X88" s="324"/>
      <c r="Y88" s="327"/>
      <c r="Z88" s="326"/>
      <c r="AA88" s="324"/>
      <c r="AB88" s="324"/>
      <c r="AC88" s="324"/>
      <c r="AD88" s="327"/>
      <c r="AE88" s="324"/>
    </row>
    <row r="89" spans="20:31" x14ac:dyDescent="0.35">
      <c r="T89" s="324"/>
      <c r="U89" s="327"/>
      <c r="V89" s="324"/>
      <c r="X89" s="324"/>
      <c r="Y89" s="327"/>
      <c r="Z89" s="326"/>
      <c r="AA89" s="324"/>
      <c r="AB89" s="324"/>
      <c r="AC89" s="324"/>
      <c r="AD89" s="327"/>
      <c r="AE89" s="324"/>
    </row>
    <row r="90" spans="20:31" x14ac:dyDescent="0.35">
      <c r="T90" s="324"/>
      <c r="U90" s="327"/>
      <c r="V90" s="324"/>
      <c r="X90" s="324"/>
      <c r="Y90" s="327"/>
      <c r="Z90" s="326"/>
      <c r="AA90" s="324"/>
      <c r="AB90" s="324"/>
      <c r="AC90" s="324"/>
      <c r="AD90" s="327"/>
      <c r="AE90" s="324"/>
    </row>
    <row r="91" spans="20:31" x14ac:dyDescent="0.35">
      <c r="T91" s="324"/>
      <c r="U91" s="327"/>
      <c r="V91" s="324"/>
      <c r="X91" s="324"/>
      <c r="Y91" s="327"/>
      <c r="Z91" s="326"/>
      <c r="AA91" s="324"/>
      <c r="AB91" s="324"/>
      <c r="AC91" s="324"/>
      <c r="AD91" s="327"/>
      <c r="AE91" s="324"/>
    </row>
    <row r="92" spans="20:31" x14ac:dyDescent="0.35">
      <c r="T92" s="324"/>
      <c r="U92" s="327"/>
      <c r="V92" s="324"/>
      <c r="X92" s="324"/>
      <c r="Y92" s="327"/>
      <c r="Z92" s="326"/>
      <c r="AA92" s="324"/>
      <c r="AB92" s="324"/>
      <c r="AC92" s="324"/>
      <c r="AD92" s="327"/>
      <c r="AE92" s="324"/>
    </row>
    <row r="93" spans="20:31" x14ac:dyDescent="0.35">
      <c r="T93" s="324"/>
      <c r="U93" s="327"/>
      <c r="V93" s="324"/>
      <c r="X93" s="324"/>
      <c r="Y93" s="327"/>
      <c r="Z93" s="326"/>
      <c r="AA93" s="324"/>
      <c r="AB93" s="324"/>
      <c r="AC93" s="324"/>
      <c r="AD93" s="327"/>
      <c r="AE93" s="324"/>
    </row>
    <row r="94" spans="20:31" x14ac:dyDescent="0.35">
      <c r="T94" s="324"/>
      <c r="U94" s="327"/>
      <c r="V94" s="324"/>
      <c r="X94" s="324"/>
      <c r="Y94" s="327"/>
      <c r="Z94" s="326"/>
      <c r="AA94" s="324"/>
      <c r="AB94" s="324"/>
      <c r="AC94" s="324"/>
      <c r="AD94" s="327"/>
      <c r="AE94" s="324"/>
    </row>
    <row r="95" spans="20:31" x14ac:dyDescent="0.35">
      <c r="T95" s="324"/>
      <c r="U95" s="327"/>
      <c r="V95" s="324"/>
      <c r="X95" s="324"/>
      <c r="Y95" s="327"/>
      <c r="Z95" s="326"/>
      <c r="AA95" s="324"/>
      <c r="AB95" s="324"/>
      <c r="AC95" s="324"/>
      <c r="AD95" s="327"/>
      <c r="AE95" s="324"/>
    </row>
    <row r="96" spans="20:31" x14ac:dyDescent="0.35">
      <c r="T96" s="324"/>
      <c r="U96" s="327"/>
      <c r="V96" s="324"/>
      <c r="X96" s="324"/>
      <c r="Y96" s="327"/>
      <c r="Z96" s="326"/>
      <c r="AA96" s="324"/>
      <c r="AB96" s="324"/>
      <c r="AC96" s="324"/>
      <c r="AD96" s="327"/>
      <c r="AE96" s="324"/>
    </row>
    <row r="97" spans="18:31" x14ac:dyDescent="0.35">
      <c r="T97" s="324"/>
      <c r="U97" s="327"/>
      <c r="V97" s="324"/>
      <c r="X97" s="324"/>
      <c r="Y97" s="327"/>
      <c r="Z97" s="326"/>
      <c r="AA97" s="324"/>
      <c r="AB97" s="324"/>
      <c r="AC97" s="324"/>
      <c r="AD97" s="327"/>
      <c r="AE97" s="324"/>
    </row>
    <row r="98" spans="18:31" x14ac:dyDescent="0.35">
      <c r="T98" s="324"/>
      <c r="U98" s="327"/>
      <c r="V98" s="324"/>
      <c r="X98" s="324"/>
      <c r="Y98" s="327"/>
      <c r="Z98" s="326"/>
      <c r="AA98" s="324"/>
      <c r="AB98" s="324"/>
      <c r="AC98" s="324"/>
      <c r="AD98" s="327"/>
      <c r="AE98" s="324"/>
    </row>
    <row r="99" spans="18:31" x14ac:dyDescent="0.35">
      <c r="T99" s="324"/>
      <c r="U99" s="327"/>
      <c r="V99" s="324"/>
      <c r="X99" s="324"/>
      <c r="Y99" s="327"/>
      <c r="Z99" s="326"/>
      <c r="AA99" s="324"/>
      <c r="AB99" s="324"/>
      <c r="AC99" s="324"/>
      <c r="AD99" s="327"/>
      <c r="AE99" s="324"/>
    </row>
    <row r="100" spans="18:31" x14ac:dyDescent="0.35">
      <c r="T100" s="324"/>
      <c r="U100" s="327"/>
      <c r="V100" s="324"/>
      <c r="X100" s="324"/>
      <c r="Y100" s="327"/>
      <c r="Z100" s="326"/>
      <c r="AA100" s="324"/>
      <c r="AB100" s="324"/>
      <c r="AC100" s="324"/>
      <c r="AD100" s="327"/>
      <c r="AE100" s="324"/>
    </row>
    <row r="101" spans="18:31" x14ac:dyDescent="0.35">
      <c r="T101" s="324"/>
      <c r="U101" s="327"/>
      <c r="V101" s="324"/>
      <c r="X101" s="324"/>
      <c r="Y101" s="327"/>
      <c r="Z101" s="326"/>
      <c r="AA101" s="324"/>
      <c r="AB101" s="324"/>
      <c r="AC101" s="324"/>
      <c r="AD101" s="327"/>
      <c r="AE101" s="324"/>
    </row>
    <row r="102" spans="18:31" x14ac:dyDescent="0.35">
      <c r="T102" s="324"/>
      <c r="U102" s="327"/>
      <c r="V102" s="324"/>
      <c r="X102" s="324"/>
      <c r="Y102" s="327"/>
      <c r="Z102" s="326"/>
      <c r="AA102" s="324"/>
      <c r="AB102" s="324"/>
      <c r="AC102" s="324"/>
      <c r="AD102" s="327"/>
      <c r="AE102" s="324"/>
    </row>
    <row r="103" spans="18:31" x14ac:dyDescent="0.35">
      <c r="T103" s="324"/>
      <c r="U103" s="327"/>
      <c r="V103" s="324"/>
      <c r="X103" s="324"/>
      <c r="Y103" s="327"/>
      <c r="Z103" s="326"/>
      <c r="AA103" s="324"/>
      <c r="AB103" s="324"/>
      <c r="AC103" s="324"/>
      <c r="AD103" s="327"/>
      <c r="AE103" s="324"/>
    </row>
    <row r="104" spans="18:31" x14ac:dyDescent="0.35">
      <c r="R104" s="407"/>
      <c r="S104" s="408"/>
      <c r="T104" s="324"/>
      <c r="U104" s="327"/>
      <c r="V104" s="324"/>
      <c r="X104" s="324"/>
      <c r="Y104" s="327"/>
      <c r="Z104" s="326"/>
      <c r="AA104" s="324"/>
      <c r="AB104" s="324"/>
      <c r="AC104" s="324"/>
      <c r="AD104" s="327"/>
      <c r="AE104" s="324"/>
    </row>
    <row r="105" spans="18:31" x14ac:dyDescent="0.35">
      <c r="R105" s="407"/>
      <c r="S105" s="408"/>
      <c r="T105" s="324"/>
      <c r="U105" s="327"/>
      <c r="V105" s="324"/>
      <c r="X105" s="324"/>
      <c r="Y105" s="327"/>
      <c r="Z105" s="326"/>
      <c r="AA105" s="324"/>
      <c r="AB105" s="324"/>
      <c r="AC105" s="324"/>
      <c r="AD105" s="327"/>
      <c r="AE105" s="324"/>
    </row>
    <row r="106" spans="18:31" x14ac:dyDescent="0.35">
      <c r="R106" s="407"/>
      <c r="S106" s="408"/>
      <c r="T106" s="324"/>
      <c r="U106" s="327"/>
      <c r="V106" s="324"/>
      <c r="X106" s="324"/>
      <c r="Y106" s="327"/>
      <c r="Z106" s="326"/>
      <c r="AA106" s="324"/>
      <c r="AB106" s="324"/>
      <c r="AC106" s="324"/>
      <c r="AD106" s="327"/>
      <c r="AE106" s="324"/>
    </row>
    <row r="107" spans="18:31" x14ac:dyDescent="0.35">
      <c r="R107" s="407"/>
      <c r="S107" s="408"/>
      <c r="T107" s="324"/>
      <c r="U107" s="327"/>
      <c r="V107" s="324"/>
      <c r="X107" s="324"/>
      <c r="Y107" s="327"/>
      <c r="Z107" s="326"/>
      <c r="AA107" s="324"/>
      <c r="AB107" s="324"/>
      <c r="AC107" s="324"/>
      <c r="AD107" s="327"/>
      <c r="AE107" s="324"/>
    </row>
    <row r="108" spans="18:31" x14ac:dyDescent="0.35">
      <c r="R108" s="407"/>
      <c r="S108" s="408"/>
      <c r="T108" s="324"/>
      <c r="U108" s="327"/>
      <c r="V108" s="324"/>
      <c r="X108" s="324"/>
      <c r="Y108" s="327"/>
      <c r="Z108" s="326"/>
      <c r="AA108" s="324"/>
      <c r="AB108" s="324"/>
      <c r="AC108" s="324"/>
      <c r="AD108" s="327"/>
      <c r="AE108" s="324"/>
    </row>
    <row r="109" spans="18:31" x14ac:dyDescent="0.35">
      <c r="R109" s="407"/>
      <c r="S109" s="408"/>
      <c r="T109" s="324"/>
      <c r="U109" s="327"/>
      <c r="V109" s="324"/>
      <c r="X109" s="324"/>
      <c r="Y109" s="327"/>
      <c r="Z109" s="326"/>
      <c r="AA109" s="324"/>
      <c r="AB109" s="324"/>
      <c r="AC109" s="324"/>
      <c r="AD109" s="327"/>
      <c r="AE109" s="324"/>
    </row>
    <row r="110" spans="18:31" x14ac:dyDescent="0.35">
      <c r="R110" s="407"/>
      <c r="S110" s="408"/>
      <c r="T110" s="324"/>
      <c r="U110" s="327"/>
      <c r="V110" s="324"/>
      <c r="X110" s="324"/>
      <c r="Y110" s="327"/>
      <c r="Z110" s="326"/>
      <c r="AA110" s="324"/>
      <c r="AB110" s="324"/>
      <c r="AC110" s="324"/>
      <c r="AD110" s="327"/>
      <c r="AE110" s="324"/>
    </row>
    <row r="111" spans="18:31" x14ac:dyDescent="0.35">
      <c r="R111" s="407"/>
      <c r="S111" s="408"/>
      <c r="T111" s="324"/>
      <c r="U111" s="327"/>
      <c r="V111" s="324"/>
      <c r="X111" s="324"/>
      <c r="Y111" s="327"/>
      <c r="Z111" s="326"/>
      <c r="AA111" s="324"/>
      <c r="AB111" s="324"/>
      <c r="AC111" s="324"/>
      <c r="AD111" s="327"/>
      <c r="AE111" s="324"/>
    </row>
    <row r="112" spans="18:31" x14ac:dyDescent="0.35">
      <c r="R112" s="407"/>
      <c r="S112" s="408"/>
      <c r="T112" s="324"/>
      <c r="U112" s="327"/>
      <c r="V112" s="324"/>
      <c r="X112" s="324"/>
      <c r="Y112" s="327"/>
      <c r="Z112" s="326"/>
      <c r="AA112" s="324"/>
      <c r="AB112" s="324"/>
      <c r="AC112" s="324"/>
      <c r="AD112" s="327"/>
      <c r="AE112" s="324"/>
    </row>
    <row r="113" spans="2:31" x14ac:dyDescent="0.35">
      <c r="R113" s="407"/>
      <c r="S113" s="408"/>
      <c r="T113" s="324"/>
      <c r="U113" s="327"/>
      <c r="V113" s="324"/>
      <c r="X113" s="324"/>
      <c r="Y113" s="327"/>
      <c r="Z113" s="326"/>
      <c r="AA113" s="324"/>
      <c r="AB113" s="324"/>
      <c r="AC113" s="324"/>
      <c r="AD113" s="327"/>
      <c r="AE113" s="324"/>
    </row>
    <row r="114" spans="2:31" x14ac:dyDescent="0.35">
      <c r="R114" s="407"/>
      <c r="S114" s="408"/>
      <c r="T114" s="324"/>
      <c r="U114" s="327"/>
      <c r="V114" s="324"/>
      <c r="X114" s="324"/>
      <c r="Y114" s="327"/>
      <c r="Z114" s="326"/>
      <c r="AA114" s="324"/>
      <c r="AB114" s="324"/>
      <c r="AC114" s="324"/>
      <c r="AD114" s="327"/>
      <c r="AE114" s="324"/>
    </row>
    <row r="115" spans="2:31" x14ac:dyDescent="0.35">
      <c r="R115" s="407"/>
      <c r="S115" s="408"/>
      <c r="T115" s="324"/>
      <c r="U115" s="327"/>
      <c r="V115" s="324"/>
      <c r="X115" s="324"/>
      <c r="Y115" s="327"/>
      <c r="Z115" s="326"/>
      <c r="AA115" s="324"/>
      <c r="AB115" s="324"/>
      <c r="AC115" s="324"/>
      <c r="AD115" s="327"/>
      <c r="AE115" s="324"/>
    </row>
    <row r="116" spans="2:31" x14ac:dyDescent="0.35">
      <c r="V116" s="324"/>
      <c r="X116" s="324"/>
      <c r="Y116" s="327"/>
      <c r="Z116" s="326"/>
      <c r="AA116" s="324"/>
      <c r="AB116" s="324"/>
      <c r="AC116" s="324"/>
      <c r="AD116" s="327"/>
      <c r="AE116" s="324"/>
    </row>
    <row r="117" spans="2:31" x14ac:dyDescent="0.35">
      <c r="V117" s="324"/>
      <c r="X117" s="324"/>
      <c r="Y117" s="327"/>
      <c r="Z117" s="326"/>
      <c r="AA117" s="324"/>
      <c r="AB117" s="324"/>
      <c r="AC117" s="324"/>
      <c r="AD117" s="327"/>
      <c r="AE117" s="324"/>
    </row>
    <row r="118" spans="2:31" x14ac:dyDescent="0.35">
      <c r="V118" s="324"/>
      <c r="X118" s="324"/>
      <c r="Y118" s="327"/>
      <c r="Z118" s="326"/>
      <c r="AA118" s="324"/>
      <c r="AB118" s="324"/>
      <c r="AC118" s="324"/>
      <c r="AD118" s="327"/>
      <c r="AE118" s="324"/>
    </row>
    <row r="119" spans="2:31" x14ac:dyDescent="0.35">
      <c r="V119" s="324"/>
      <c r="X119" s="324"/>
      <c r="Y119" s="327"/>
      <c r="Z119" s="326"/>
      <c r="AA119" s="324"/>
      <c r="AB119" s="324"/>
      <c r="AC119" s="324"/>
      <c r="AD119" s="327"/>
      <c r="AE119" s="324"/>
    </row>
    <row r="120" spans="2:31" ht="13.15" thickBot="1" x14ac:dyDescent="0.4">
      <c r="V120" s="324"/>
      <c r="X120" s="324"/>
      <c r="Y120" s="327"/>
      <c r="Z120" s="326"/>
      <c r="AA120" s="324"/>
      <c r="AB120" s="324"/>
      <c r="AC120" s="324"/>
      <c r="AD120" s="327"/>
      <c r="AE120" s="324"/>
    </row>
    <row r="121" spans="2:31" ht="13.15" thickBot="1" x14ac:dyDescent="0.4">
      <c r="C121" s="409" t="s">
        <v>110</v>
      </c>
      <c r="D121" s="410" t="s">
        <v>111</v>
      </c>
      <c r="E121" s="409" t="s">
        <v>112</v>
      </c>
      <c r="F121" s="410" t="s">
        <v>113</v>
      </c>
      <c r="G121" s="411" t="s">
        <v>76</v>
      </c>
      <c r="H121" s="411" t="s">
        <v>114</v>
      </c>
      <c r="I121" s="411" t="s">
        <v>114</v>
      </c>
      <c r="J121" s="409" t="s">
        <v>115</v>
      </c>
      <c r="K121" s="410" t="s">
        <v>116</v>
      </c>
      <c r="L121" s="412" t="s">
        <v>82</v>
      </c>
      <c r="M121" s="413" t="s">
        <v>83</v>
      </c>
      <c r="N121" s="414" t="s">
        <v>84</v>
      </c>
      <c r="O121" s="415" t="s">
        <v>85</v>
      </c>
      <c r="P121" s="415" t="s">
        <v>86</v>
      </c>
      <c r="Q121" s="415" t="s">
        <v>87</v>
      </c>
      <c r="V121" s="324"/>
      <c r="X121" s="324"/>
      <c r="Y121" s="327"/>
      <c r="Z121" s="326"/>
      <c r="AA121" s="324"/>
      <c r="AB121" s="324"/>
      <c r="AC121" s="324"/>
      <c r="AD121" s="327"/>
      <c r="AE121" s="324"/>
    </row>
    <row r="122" spans="2:31" ht="13.15" thickBot="1" x14ac:dyDescent="0.4">
      <c r="B122" s="416">
        <v>1</v>
      </c>
      <c r="C122" s="417">
        <f t="shared" ref="C122:C161" ca="1" si="0">IF(ISNUMBER(C4),INDIRECT("Knoten!C" &amp;C4+ 2),0)</f>
        <v>-3.75</v>
      </c>
      <c r="D122" s="418">
        <f ca="1">IF(ISNUMBER(D4),INDIRECT("Knoten!"&amp;ADDRESS(D4+2,COLUMN(Knoten!C3))),0)</f>
        <v>-0.89999997615814209</v>
      </c>
      <c r="E122" s="419">
        <f ca="1">IF(ISNUMBER(C4),INDIRECT("Knoten!"&amp;ADDRESS(C4+2,COLUMN(Knoten!D4))),0)</f>
        <v>0.89999997615814209</v>
      </c>
      <c r="F122" s="418">
        <f ca="1">IF(ISNUMBER(D4),INDIRECT("Knoten!"&amp;ADDRESS(D4+2,COLUMN(Knoten!D2))),0)</f>
        <v>0.89999997615814209</v>
      </c>
      <c r="G122" s="420">
        <f t="shared" ref="G122:G161" ca="1" si="1">IF(ISNUMBER(C4),SQRT((D122-C122)^2+(F122-E122)^2),"")</f>
        <v>2.8500000238418579</v>
      </c>
      <c r="H122" s="420">
        <f t="shared" ref="H122:I161" ca="1" si="2">IF(ISNUMBER(G122),IF(J122&gt;=0,ACOS(K122),-ACOS(K122))*180/PI(),"")</f>
        <v>0</v>
      </c>
      <c r="I122" s="420">
        <f t="shared" ca="1" si="2"/>
        <v>90</v>
      </c>
      <c r="J122" s="419">
        <f t="shared" ref="J122:J161" ca="1" si="3">IF(ISNUMBER(G122),-(F122-E122)/G122,"")</f>
        <v>0</v>
      </c>
      <c r="K122" s="418">
        <f t="shared" ref="K122:K161" ca="1" si="4">IF(ISNUMBER(G122),(D122-C122)/G122,"")</f>
        <v>1</v>
      </c>
      <c r="L122" s="421">
        <f t="shared" ref="L122:M137" si="5">L4+N4</f>
        <v>0</v>
      </c>
      <c r="M122" s="422">
        <f t="shared" si="5"/>
        <v>0</v>
      </c>
      <c r="N122" s="419">
        <f t="shared" ref="N122:Q161" si="6">P4+T4</f>
        <v>0</v>
      </c>
      <c r="O122" s="423">
        <f t="shared" si="6"/>
        <v>0</v>
      </c>
      <c r="P122" s="423">
        <f t="shared" si="6"/>
        <v>0</v>
      </c>
      <c r="Q122" s="423">
        <f t="shared" si="6"/>
        <v>0</v>
      </c>
      <c r="V122" s="324"/>
      <c r="X122" s="324"/>
      <c r="Y122" s="327"/>
      <c r="Z122" s="65"/>
      <c r="AA122" s="65"/>
      <c r="AB122" s="65"/>
      <c r="AC122" s="65"/>
      <c r="AD122" s="65"/>
    </row>
    <row r="123" spans="2:31" ht="13.15" thickBot="1" x14ac:dyDescent="0.4">
      <c r="B123" s="416">
        <v>2</v>
      </c>
      <c r="C123" s="417">
        <f t="shared" ca="1" si="0"/>
        <v>-0.89999997615814209</v>
      </c>
      <c r="D123" s="418">
        <f ca="1">IF(ISNUMBER(D5),INDIRECT("Knoten!"&amp;ADDRESS(D5+2,COLUMN(Knoten!C4))),0)</f>
        <v>2.5508170127868652</v>
      </c>
      <c r="E123" s="419">
        <f ca="1">IF(ISNUMBER(C5),INDIRECT("Knoten!"&amp;ADDRESS(C5+2,COLUMN(Knoten!D5))),0)</f>
        <v>0.89999997615814209</v>
      </c>
      <c r="F123" s="418">
        <f ca="1">IF(ISNUMBER(D5),INDIRECT("Knoten!"&amp;ADDRESS(D5+2,COLUMN(Knoten!D3))),0)</f>
        <v>0.89983600378036499</v>
      </c>
      <c r="G123" s="420">
        <f t="shared" ca="1" si="1"/>
        <v>3.4508169928407431</v>
      </c>
      <c r="H123" s="420">
        <f t="shared" ca="1" si="2"/>
        <v>2.7225220460928849E-3</v>
      </c>
      <c r="I123" s="420">
        <f t="shared" ca="1" si="2"/>
        <v>90</v>
      </c>
      <c r="J123" s="419">
        <f t="shared" ca="1" si="3"/>
        <v>4.7516972971121285E-5</v>
      </c>
      <c r="K123" s="418">
        <f t="shared" ca="1" si="4"/>
        <v>0.99999999887106861</v>
      </c>
      <c r="L123" s="421">
        <f t="shared" si="5"/>
        <v>0</v>
      </c>
      <c r="M123" s="422">
        <f t="shared" si="5"/>
        <v>0</v>
      </c>
      <c r="N123" s="419">
        <f t="shared" si="6"/>
        <v>0</v>
      </c>
      <c r="O123" s="423">
        <f t="shared" si="6"/>
        <v>0</v>
      </c>
      <c r="P123" s="423">
        <f t="shared" si="6"/>
        <v>0</v>
      </c>
      <c r="Q123" s="423">
        <f t="shared" si="6"/>
        <v>0</v>
      </c>
    </row>
    <row r="124" spans="2:31" ht="13.15" thickBot="1" x14ac:dyDescent="0.4">
      <c r="B124" s="416">
        <v>3</v>
      </c>
      <c r="C124" s="417">
        <f t="shared" ca="1" si="0"/>
        <v>-0.89999997615814209</v>
      </c>
      <c r="D124" s="418">
        <f ca="1">IF(ISNUMBER(D6),INDIRECT("Knoten!"&amp;ADDRESS(D6+2,COLUMN(Knoten!C5))),0)</f>
        <v>3.9000000953674316</v>
      </c>
      <c r="E124" s="419">
        <f ca="1">IF(ISNUMBER(C6),INDIRECT("Knoten!"&amp;ADDRESS(C6+2,COLUMN(Knoten!D6))),0)</f>
        <v>0.89999997615814209</v>
      </c>
      <c r="F124" s="418">
        <f ca="1">IF(ISNUMBER(D6),INDIRECT("Knoten!"&amp;ADDRESS(D6+2,COLUMN(Knoten!D4))),0)</f>
        <v>-2.0999999046325684</v>
      </c>
      <c r="G124" s="420">
        <f t="shared" ca="1" si="1"/>
        <v>5.6603886767067317</v>
      </c>
      <c r="H124" s="420">
        <f t="shared" ca="1" si="2"/>
        <v>32.005381801115682</v>
      </c>
      <c r="I124" s="420">
        <f t="shared" ca="1" si="2"/>
        <v>90</v>
      </c>
      <c r="J124" s="419">
        <f t="shared" ca="1" si="3"/>
        <v>0.52999891917954634</v>
      </c>
      <c r="K124" s="418">
        <f t="shared" ca="1" si="4"/>
        <v>0.84799831701985873</v>
      </c>
      <c r="L124" s="421">
        <f t="shared" si="5"/>
        <v>0</v>
      </c>
      <c r="M124" s="422">
        <f t="shared" si="5"/>
        <v>0</v>
      </c>
      <c r="N124" s="419">
        <f t="shared" si="6"/>
        <v>0</v>
      </c>
      <c r="O124" s="423">
        <f t="shared" si="6"/>
        <v>0</v>
      </c>
      <c r="P124" s="423">
        <f t="shared" si="6"/>
        <v>0</v>
      </c>
      <c r="Q124" s="423">
        <f t="shared" si="6"/>
        <v>0</v>
      </c>
    </row>
    <row r="125" spans="2:31" ht="13.15" thickBot="1" x14ac:dyDescent="0.4">
      <c r="B125" s="416">
        <v>4</v>
      </c>
      <c r="C125" s="417">
        <f t="shared" ca="1" si="0"/>
        <v>8.6999998092651367</v>
      </c>
      <c r="D125" s="418">
        <f ca="1">IF(ISNUMBER(D7),INDIRECT("Knoten!"&amp;ADDRESS(D7+2,COLUMN(Knoten!C6))),0)</f>
        <v>3.9000000953674316</v>
      </c>
      <c r="E125" s="419">
        <f ca="1">IF(ISNUMBER(C7),INDIRECT("Knoten!"&amp;ADDRESS(C7+2,COLUMN(Knoten!D7))),0)</f>
        <v>0.89999997615814209</v>
      </c>
      <c r="F125" s="418">
        <f ca="1">IF(ISNUMBER(D7),INDIRECT("Knoten!"&amp;ADDRESS(D7+2,COLUMN(Knoten!D5))),0)</f>
        <v>-2.0999999046325684</v>
      </c>
      <c r="G125" s="420">
        <f t="shared" ca="1" si="1"/>
        <v>5.6603883734389049</v>
      </c>
      <c r="H125" s="420">
        <f t="shared" ca="1" si="2"/>
        <v>147.99461628029184</v>
      </c>
      <c r="I125" s="420">
        <f t="shared" ca="1" si="2"/>
        <v>-90</v>
      </c>
      <c r="J125" s="419">
        <f t="shared" ca="1" si="3"/>
        <v>0.52999894757541066</v>
      </c>
      <c r="K125" s="418">
        <f t="shared" ca="1" si="4"/>
        <v>-0.84799829927244363</v>
      </c>
      <c r="L125" s="421">
        <f t="shared" si="5"/>
        <v>0</v>
      </c>
      <c r="M125" s="422">
        <f t="shared" si="5"/>
        <v>0</v>
      </c>
      <c r="N125" s="419">
        <f>P7+T7</f>
        <v>0</v>
      </c>
      <c r="O125" s="423">
        <f>Q7+U7</f>
        <v>0</v>
      </c>
      <c r="P125" s="423">
        <f>R7+V7</f>
        <v>0</v>
      </c>
      <c r="Q125" s="423">
        <f>S7+W7</f>
        <v>0</v>
      </c>
    </row>
    <row r="126" spans="2:31" ht="13.15" thickBot="1" x14ac:dyDescent="0.4">
      <c r="B126" s="416">
        <v>5</v>
      </c>
      <c r="C126" s="417">
        <f t="shared" ca="1" si="0"/>
        <v>3.9000000953674316</v>
      </c>
      <c r="D126" s="418">
        <f ca="1">IF(ISNUMBER(D8),INDIRECT("Knoten!"&amp;ADDRESS(D8+2,COLUMN(Knoten!C7))),0)</f>
        <v>5.2717561721801758</v>
      </c>
      <c r="E126" s="419">
        <f ca="1">IF(ISNUMBER(C8),INDIRECT("Knoten!"&amp;ADDRESS(C8+2,COLUMN(Knoten!D8))),0)</f>
        <v>0.89999997615814209</v>
      </c>
      <c r="F126" s="418">
        <f ca="1">IF(ISNUMBER(D8),INDIRECT("Knoten!"&amp;ADDRESS(D8+2,COLUMN(Knoten!D6))),0)</f>
        <v>0.89983600378036499</v>
      </c>
      <c r="G126" s="420">
        <f t="shared" ca="1" si="1"/>
        <v>1.3717560866129341</v>
      </c>
      <c r="H126" s="420">
        <f t="shared" ca="1" si="2"/>
        <v>6.8488306954565615E-3</v>
      </c>
      <c r="I126" s="420">
        <f t="shared" ca="1" si="2"/>
        <v>90</v>
      </c>
      <c r="J126" s="419">
        <f t="shared" ca="1" si="3"/>
        <v>1.195346456832361E-4</v>
      </c>
      <c r="K126" s="418">
        <f t="shared" ca="1" si="4"/>
        <v>0.99999999285573427</v>
      </c>
      <c r="L126" s="421">
        <f t="shared" si="5"/>
        <v>0</v>
      </c>
      <c r="M126" s="422">
        <f t="shared" si="5"/>
        <v>0</v>
      </c>
      <c r="N126" s="419">
        <f t="shared" si="6"/>
        <v>0</v>
      </c>
      <c r="O126" s="423">
        <f t="shared" si="6"/>
        <v>0</v>
      </c>
      <c r="P126" s="423">
        <f t="shared" si="6"/>
        <v>0</v>
      </c>
      <c r="Q126" s="423">
        <f t="shared" si="6"/>
        <v>0</v>
      </c>
    </row>
    <row r="127" spans="2:31" ht="13.15" thickBot="1" x14ac:dyDescent="0.4">
      <c r="B127" s="416">
        <v>6</v>
      </c>
      <c r="C127" s="417">
        <f t="shared" ca="1" si="0"/>
        <v>3.2999999523162842</v>
      </c>
      <c r="D127" s="418">
        <f ca="1">IF(ISNUMBER(D9),INDIRECT("Knoten!"&amp;ADDRESS(D9+2,COLUMN(Knoten!C8))),0)</f>
        <v>3.3856499195098877</v>
      </c>
      <c r="E127" s="419">
        <f ca="1">IF(ISNUMBER(C9),INDIRECT("Knoten!"&amp;ADDRESS(C9+2,COLUMN(Knoten!D9))),0)</f>
        <v>3.5999999046325684</v>
      </c>
      <c r="F127" s="418">
        <f ca="1">IF(ISNUMBER(D9),INDIRECT("Knoten!"&amp;ADDRESS(D9+2,COLUMN(Knoten!D7))),0)</f>
        <v>2.7293310165405273</v>
      </c>
      <c r="G127" s="420">
        <f t="shared" ca="1" si="1"/>
        <v>0.87487155032707309</v>
      </c>
      <c r="H127" s="420">
        <f t="shared" ca="1" si="2"/>
        <v>84.381741290913084</v>
      </c>
      <c r="I127" s="420">
        <f t="shared" ca="1" si="2"/>
        <v>90</v>
      </c>
      <c r="J127" s="419">
        <f t="shared" ca="1" si="3"/>
        <v>0.99519625225730468</v>
      </c>
      <c r="K127" s="418">
        <f t="shared" ca="1" si="4"/>
        <v>9.7900048483212238E-2</v>
      </c>
      <c r="L127" s="421">
        <f t="shared" si="5"/>
        <v>0</v>
      </c>
      <c r="M127" s="422">
        <f t="shared" si="5"/>
        <v>0</v>
      </c>
      <c r="N127" s="419">
        <f>P9+T9</f>
        <v>0</v>
      </c>
      <c r="O127" s="423">
        <f>Q9+U9</f>
        <v>0</v>
      </c>
      <c r="P127" s="423">
        <f>R9+V9</f>
        <v>0</v>
      </c>
      <c r="Q127" s="423">
        <f>S9+W9</f>
        <v>0</v>
      </c>
    </row>
    <row r="128" spans="2:31" ht="13.15" thickBot="1" x14ac:dyDescent="0.4">
      <c r="B128" s="416">
        <v>7</v>
      </c>
      <c r="C128" s="417">
        <f t="shared" ca="1" si="0"/>
        <v>4.5</v>
      </c>
      <c r="D128" s="418">
        <f ca="1">IF(ISNUMBER(D10),INDIRECT("Knoten!"&amp;ADDRESS(D10+2,COLUMN(Knoten!C9))),0)</f>
        <v>4.4060029983520508</v>
      </c>
      <c r="E128" s="419">
        <f ca="1">IF(ISNUMBER(C10),INDIRECT("Knoten!"&amp;ADDRESS(C10+2,COLUMN(Knoten!D10))),0)</f>
        <v>3.5999999046325684</v>
      </c>
      <c r="F128" s="418">
        <f ca="1">IF(ISNUMBER(D10),INDIRECT("Knoten!"&amp;ADDRESS(D10+2,COLUMN(Knoten!D8))),0)</f>
        <v>2.7448270320892334</v>
      </c>
      <c r="G128" s="420">
        <f t="shared" ca="1" si="1"/>
        <v>0.86032324056300113</v>
      </c>
      <c r="H128" s="420">
        <f t="shared" ca="1" si="2"/>
        <v>96.272531236594972</v>
      </c>
      <c r="I128" s="420">
        <f t="shared" ca="1" si="2"/>
        <v>-90</v>
      </c>
      <c r="J128" s="419">
        <f t="shared" ca="1" si="3"/>
        <v>0.99401345008848563</v>
      </c>
      <c r="K128" s="418">
        <f t="shared" ca="1" si="4"/>
        <v>-0.10925777337647763</v>
      </c>
      <c r="L128" s="421">
        <f t="shared" si="5"/>
        <v>0</v>
      </c>
      <c r="M128" s="422">
        <f t="shared" si="5"/>
        <v>0</v>
      </c>
      <c r="N128" s="419">
        <f t="shared" si="6"/>
        <v>0</v>
      </c>
      <c r="O128" s="423">
        <f t="shared" si="6"/>
        <v>0</v>
      </c>
      <c r="P128" s="423">
        <f t="shared" si="6"/>
        <v>0</v>
      </c>
      <c r="Q128" s="423">
        <f t="shared" si="6"/>
        <v>0</v>
      </c>
    </row>
    <row r="129" spans="2:17" ht="13.15" thickBot="1" x14ac:dyDescent="0.4">
      <c r="B129" s="416">
        <v>8</v>
      </c>
      <c r="C129" s="417">
        <f t="shared" ca="1" si="0"/>
        <v>2.5508170127868652</v>
      </c>
      <c r="D129" s="418">
        <f ca="1">IF(ISNUMBER(D11),INDIRECT("Knoten!"&amp;ADDRESS(D11+2,COLUMN(Knoten!C10))),0)</f>
        <v>3.9000000953674316</v>
      </c>
      <c r="E129" s="419">
        <f ca="1">IF(ISNUMBER(C11),INDIRECT("Knoten!"&amp;ADDRESS(C11+2,COLUMN(Knoten!D11))),0)</f>
        <v>0.89983600378036499</v>
      </c>
      <c r="F129" s="418">
        <f ca="1">IF(ISNUMBER(D11),INDIRECT("Knoten!"&amp;ADDRESS(D11+2,COLUMN(Knoten!D9))),0)</f>
        <v>0.89999997615814209</v>
      </c>
      <c r="G129" s="420">
        <f t="shared" ca="1" si="1"/>
        <v>1.3491830925447221</v>
      </c>
      <c r="H129" s="420">
        <f t="shared" ca="1" si="2"/>
        <v>-6.9634175892229694E-3</v>
      </c>
      <c r="I129" s="420">
        <f t="shared" ca="1" si="2"/>
        <v>90</v>
      </c>
      <c r="J129" s="419">
        <f t="shared" ca="1" si="3"/>
        <v>-1.2153456316134819E-4</v>
      </c>
      <c r="K129" s="418">
        <f t="shared" ca="1" si="4"/>
        <v>0.99999999261467487</v>
      </c>
      <c r="L129" s="421">
        <f t="shared" si="5"/>
        <v>0</v>
      </c>
      <c r="M129" s="422">
        <f t="shared" si="5"/>
        <v>0</v>
      </c>
      <c r="N129" s="419">
        <f t="shared" si="6"/>
        <v>0</v>
      </c>
      <c r="O129" s="423">
        <f t="shared" si="6"/>
        <v>0</v>
      </c>
      <c r="P129" s="423">
        <f t="shared" si="6"/>
        <v>0</v>
      </c>
      <c r="Q129" s="423">
        <f t="shared" si="6"/>
        <v>0</v>
      </c>
    </row>
    <row r="130" spans="2:17" ht="13.15" thickBot="1" x14ac:dyDescent="0.4">
      <c r="B130" s="416">
        <v>9</v>
      </c>
      <c r="C130" s="417">
        <f t="shared" ca="1" si="0"/>
        <v>5.2717561721801758</v>
      </c>
      <c r="D130" s="418">
        <f ca="1">IF(ISNUMBER(D12),INDIRECT("Knoten!"&amp;ADDRESS(D12+2,COLUMN(Knoten!C11))),0)</f>
        <v>8.6999998092651367</v>
      </c>
      <c r="E130" s="419">
        <f ca="1">IF(ISNUMBER(C12),INDIRECT("Knoten!"&amp;ADDRESS(C12+2,COLUMN(Knoten!D12))),0)</f>
        <v>0.89983600378036499</v>
      </c>
      <c r="F130" s="418">
        <f ca="1">IF(ISNUMBER(D12),INDIRECT("Knoten!"&amp;ADDRESS(D12+2,COLUMN(Knoten!D10))),0)</f>
        <v>0.89999997615814209</v>
      </c>
      <c r="G130" s="420">
        <f t="shared" ca="1" si="1"/>
        <v>3.4282436410063482</v>
      </c>
      <c r="H130" s="420">
        <f t="shared" ca="1" si="2"/>
        <v>-2.7404486294330672E-3</v>
      </c>
      <c r="I130" s="420">
        <f t="shared" ca="1" si="2"/>
        <v>90</v>
      </c>
      <c r="J130" s="419">
        <f t="shared" ca="1" si="3"/>
        <v>-4.7829849610387122E-5</v>
      </c>
      <c r="K130" s="418">
        <f t="shared" ca="1" si="4"/>
        <v>0.99999999885615265</v>
      </c>
      <c r="L130" s="421">
        <f t="shared" si="5"/>
        <v>0</v>
      </c>
      <c r="M130" s="422">
        <f t="shared" si="5"/>
        <v>0</v>
      </c>
      <c r="N130" s="419">
        <f t="shared" si="6"/>
        <v>0</v>
      </c>
      <c r="O130" s="423">
        <f t="shared" si="6"/>
        <v>0</v>
      </c>
      <c r="P130" s="423">
        <f t="shared" si="6"/>
        <v>0</v>
      </c>
      <c r="Q130" s="423">
        <f t="shared" si="6"/>
        <v>0</v>
      </c>
    </row>
    <row r="131" spans="2:17" ht="13.15" thickBot="1" x14ac:dyDescent="0.4">
      <c r="B131" s="416">
        <v>10</v>
      </c>
      <c r="C131" s="417">
        <f t="shared" ca="1" si="0"/>
        <v>3.3856499195098877</v>
      </c>
      <c r="D131" s="418">
        <f ca="1">IF(ISNUMBER(D13),INDIRECT("Knoten!"&amp;ADDRESS(D13+2,COLUMN(Knoten!C12))),0)</f>
        <v>3.9000000953674316</v>
      </c>
      <c r="E131" s="419">
        <f ca="1">IF(ISNUMBER(C13),INDIRECT("Knoten!"&amp;ADDRESS(C13+2,COLUMN(Knoten!D13))),0)</f>
        <v>2.7293310165405273</v>
      </c>
      <c r="F131" s="418">
        <f ca="1">IF(ISNUMBER(D13),INDIRECT("Knoten!"&amp;ADDRESS(D13+2,COLUMN(Knoten!D11))),0)</f>
        <v>-2.0999999046325684</v>
      </c>
      <c r="G131" s="420">
        <f t="shared" ca="1" si="1"/>
        <v>4.8566442374960168</v>
      </c>
      <c r="H131" s="420">
        <f t="shared" ca="1" si="2"/>
        <v>83.92060379657282</v>
      </c>
      <c r="I131" s="420">
        <f t="shared" ca="1" si="2"/>
        <v>90</v>
      </c>
      <c r="J131" s="419">
        <f t="shared" ca="1" si="3"/>
        <v>0.9943760928354507</v>
      </c>
      <c r="K131" s="418">
        <f t="shared" ca="1" si="4"/>
        <v>0.10590649648299791</v>
      </c>
      <c r="L131" s="421">
        <f t="shared" si="5"/>
        <v>0</v>
      </c>
      <c r="M131" s="422">
        <f t="shared" si="5"/>
        <v>0</v>
      </c>
      <c r="N131" s="419">
        <f t="shared" si="6"/>
        <v>0</v>
      </c>
      <c r="O131" s="423">
        <f t="shared" si="6"/>
        <v>0</v>
      </c>
      <c r="P131" s="423">
        <f t="shared" si="6"/>
        <v>0</v>
      </c>
      <c r="Q131" s="423">
        <f t="shared" si="6"/>
        <v>0</v>
      </c>
    </row>
    <row r="132" spans="2:17" ht="13.15" thickBot="1" x14ac:dyDescent="0.4">
      <c r="B132" s="416">
        <v>11</v>
      </c>
      <c r="C132" s="417">
        <f t="shared" ca="1" si="0"/>
        <v>4.4060029983520508</v>
      </c>
      <c r="D132" s="418">
        <f ca="1">IF(ISNUMBER(D14),INDIRECT("Knoten!"&amp;ADDRESS(D14+2,COLUMN(Knoten!C13))),0)</f>
        <v>3.9000000953674316</v>
      </c>
      <c r="E132" s="419">
        <f ca="1">IF(ISNUMBER(C14),INDIRECT("Knoten!"&amp;ADDRESS(C14+2,COLUMN(Knoten!D14))),0)</f>
        <v>2.7448270320892334</v>
      </c>
      <c r="F132" s="418">
        <f ca="1">IF(ISNUMBER(D14),INDIRECT("Knoten!"&amp;ADDRESS(D14+2,COLUMN(Knoten!D12))),0)</f>
        <v>-2.0999999046325684</v>
      </c>
      <c r="G132" s="420">
        <f t="shared" ca="1" si="1"/>
        <v>4.8711792191022925</v>
      </c>
      <c r="H132" s="420">
        <f t="shared" ca="1" si="2"/>
        <v>95.962462722769544</v>
      </c>
      <c r="I132" s="420">
        <f t="shared" ca="1" si="2"/>
        <v>-90</v>
      </c>
      <c r="J132" s="419">
        <f t="shared" ca="1" si="3"/>
        <v>0.99459016365541419</v>
      </c>
      <c r="K132" s="418">
        <f t="shared" ca="1" si="4"/>
        <v>-0.10387688077669829</v>
      </c>
      <c r="L132" s="421">
        <f t="shared" si="5"/>
        <v>0</v>
      </c>
      <c r="M132" s="422">
        <f t="shared" si="5"/>
        <v>0</v>
      </c>
      <c r="N132" s="419">
        <f t="shared" si="6"/>
        <v>0</v>
      </c>
      <c r="O132" s="423">
        <f t="shared" si="6"/>
        <v>0</v>
      </c>
      <c r="P132" s="423">
        <f t="shared" si="6"/>
        <v>0</v>
      </c>
      <c r="Q132" s="423">
        <f t="shared" si="6"/>
        <v>0</v>
      </c>
    </row>
    <row r="133" spans="2:17" ht="13.15" thickBot="1" x14ac:dyDescent="0.4">
      <c r="B133" s="416">
        <v>12</v>
      </c>
      <c r="C133" s="417">
        <f t="shared" ca="1" si="0"/>
        <v>3.3856499195098877</v>
      </c>
      <c r="D133" s="418">
        <f ca="1">IF(ISNUMBER(D15),INDIRECT("Knoten!"&amp;ADDRESS(D15+2,COLUMN(Knoten!C14))),0)</f>
        <v>2.5508170127868652</v>
      </c>
      <c r="E133" s="419">
        <f ca="1">IF(ISNUMBER(C15),INDIRECT("Knoten!"&amp;ADDRESS(C15+2,COLUMN(Knoten!D15))),0)</f>
        <v>2.7293310165405273</v>
      </c>
      <c r="F133" s="418">
        <f ca="1">IF(ISNUMBER(D15),INDIRECT("Knoten!"&amp;ADDRESS(D15+2,COLUMN(Knoten!D13))),0)</f>
        <v>0.89983600378036499</v>
      </c>
      <c r="G133" s="420">
        <f t="shared" ca="1" si="1"/>
        <v>2.0109694139548511</v>
      </c>
      <c r="H133" s="420">
        <f t="shared" ca="1" si="2"/>
        <v>114.52810395161896</v>
      </c>
      <c r="I133" s="420">
        <f t="shared" ca="1" si="2"/>
        <v>-90</v>
      </c>
      <c r="J133" s="419">
        <f t="shared" ca="1" si="3"/>
        <v>0.90975775169161122</v>
      </c>
      <c r="K133" s="418">
        <f t="shared" ca="1" si="4"/>
        <v>-0.41513953465916092</v>
      </c>
      <c r="L133" s="421">
        <f t="shared" si="5"/>
        <v>0</v>
      </c>
      <c r="M133" s="422">
        <f t="shared" si="5"/>
        <v>0</v>
      </c>
      <c r="N133" s="419">
        <f t="shared" si="6"/>
        <v>0</v>
      </c>
      <c r="O133" s="423">
        <f t="shared" si="6"/>
        <v>0</v>
      </c>
      <c r="P133" s="423">
        <f t="shared" si="6"/>
        <v>0</v>
      </c>
      <c r="Q133" s="423">
        <f t="shared" si="6"/>
        <v>0</v>
      </c>
    </row>
    <row r="134" spans="2:17" ht="13.15" thickBot="1" x14ac:dyDescent="0.4">
      <c r="B134" s="416">
        <v>13</v>
      </c>
      <c r="C134" s="417">
        <f t="shared" ca="1" si="0"/>
        <v>4.4060029983520508</v>
      </c>
      <c r="D134" s="418">
        <f ca="1">IF(ISNUMBER(D16),INDIRECT("Knoten!"&amp;ADDRESS(D16+2,COLUMN(Knoten!C15))),0)</f>
        <v>5.2717561721801758</v>
      </c>
      <c r="E134" s="419">
        <f ca="1">IF(ISNUMBER(C16),INDIRECT("Knoten!"&amp;ADDRESS(C16+2,COLUMN(Knoten!D16))),0)</f>
        <v>2.7448270320892334</v>
      </c>
      <c r="F134" s="418">
        <f ca="1">IF(ISNUMBER(D16),INDIRECT("Knoten!"&amp;ADDRESS(D16+2,COLUMN(Knoten!D14))),0)</f>
        <v>0.89983600378036499</v>
      </c>
      <c r="G134" s="420">
        <f t="shared" ca="1" si="1"/>
        <v>2.038018756668762</v>
      </c>
      <c r="H134" s="420">
        <f t="shared" ca="1" si="2"/>
        <v>64.861908137589438</v>
      </c>
      <c r="I134" s="420">
        <f t="shared" ca="1" si="2"/>
        <v>90</v>
      </c>
      <c r="J134" s="419">
        <f t="shared" ca="1" si="3"/>
        <v>0.90528657907182042</v>
      </c>
      <c r="K134" s="418">
        <f t="shared" ca="1" si="4"/>
        <v>0.42480137682502955</v>
      </c>
      <c r="L134" s="421">
        <f t="shared" si="5"/>
        <v>0</v>
      </c>
      <c r="M134" s="422">
        <f t="shared" si="5"/>
        <v>0</v>
      </c>
      <c r="N134" s="419">
        <f t="shared" si="6"/>
        <v>0</v>
      </c>
      <c r="O134" s="423">
        <f t="shared" si="6"/>
        <v>0</v>
      </c>
      <c r="P134" s="423">
        <f t="shared" si="6"/>
        <v>0</v>
      </c>
      <c r="Q134" s="423">
        <f t="shared" si="6"/>
        <v>0</v>
      </c>
    </row>
    <row r="135" spans="2:17" ht="13.15" thickBot="1" x14ac:dyDescent="0.4">
      <c r="B135" s="416">
        <v>14</v>
      </c>
      <c r="C135" s="417">
        <f t="shared" ca="1" si="0"/>
        <v>-6.4499998092651367</v>
      </c>
      <c r="D135" s="418">
        <f ca="1">IF(ISNUMBER(D17),INDIRECT("Knoten!"&amp;ADDRESS(D17+2,COLUMN(Knoten!C16))),0)</f>
        <v>-5.8499999046325684</v>
      </c>
      <c r="E135" s="419">
        <f ca="1">IF(ISNUMBER(C17),INDIRECT("Knoten!"&amp;ADDRESS(C17+2,COLUMN(Knoten!D17))),0)</f>
        <v>0.89999997615814209</v>
      </c>
      <c r="F135" s="418">
        <f ca="1">IF(ISNUMBER(D17),INDIRECT("Knoten!"&amp;ADDRESS(D17+2,COLUMN(Knoten!D15))),0)</f>
        <v>0.89999997615814209</v>
      </c>
      <c r="G135" s="420">
        <f t="shared" ca="1" si="1"/>
        <v>0.59999990463256836</v>
      </c>
      <c r="H135" s="420">
        <f t="shared" ca="1" si="2"/>
        <v>0</v>
      </c>
      <c r="I135" s="420">
        <f t="shared" ca="1" si="2"/>
        <v>90</v>
      </c>
      <c r="J135" s="419">
        <f t="shared" ca="1" si="3"/>
        <v>0</v>
      </c>
      <c r="K135" s="418">
        <f t="shared" ca="1" si="4"/>
        <v>1</v>
      </c>
      <c r="L135" s="421">
        <f t="shared" si="5"/>
        <v>0</v>
      </c>
      <c r="M135" s="422">
        <f t="shared" si="5"/>
        <v>0</v>
      </c>
      <c r="N135" s="419">
        <f t="shared" si="6"/>
        <v>0</v>
      </c>
      <c r="O135" s="423">
        <f t="shared" si="6"/>
        <v>0</v>
      </c>
      <c r="P135" s="423">
        <f t="shared" si="6"/>
        <v>0</v>
      </c>
      <c r="Q135" s="423">
        <f t="shared" si="6"/>
        <v>0</v>
      </c>
    </row>
    <row r="136" spans="2:17" ht="13.15" thickBot="1" x14ac:dyDescent="0.4">
      <c r="B136" s="416">
        <v>15</v>
      </c>
      <c r="C136" s="417">
        <f t="shared" ca="1" si="0"/>
        <v>-5.8499999046325684</v>
      </c>
      <c r="D136" s="418">
        <f ca="1">IF(ISNUMBER(D18),INDIRECT("Knoten!"&amp;ADDRESS(D18+2,COLUMN(Knoten!C17))),0)</f>
        <v>-4.3499999046325684</v>
      </c>
      <c r="E136" s="419">
        <f ca="1">IF(ISNUMBER(C18),INDIRECT("Knoten!"&amp;ADDRESS(C18+2,COLUMN(Knoten!D18))),0)</f>
        <v>0.89999997615814209</v>
      </c>
      <c r="F136" s="418">
        <f ca="1">IF(ISNUMBER(D18),INDIRECT("Knoten!"&amp;ADDRESS(D18+2,COLUMN(Knoten!D16))),0)</f>
        <v>0.89999997615814209</v>
      </c>
      <c r="G136" s="420">
        <f t="shared" ca="1" si="1"/>
        <v>1.5</v>
      </c>
      <c r="H136" s="420">
        <f t="shared" ca="1" si="2"/>
        <v>0</v>
      </c>
      <c r="I136" s="420">
        <f t="shared" ca="1" si="2"/>
        <v>90</v>
      </c>
      <c r="J136" s="419">
        <f t="shared" ca="1" si="3"/>
        <v>0</v>
      </c>
      <c r="K136" s="418">
        <f t="shared" ca="1" si="4"/>
        <v>1</v>
      </c>
      <c r="L136" s="421">
        <f t="shared" si="5"/>
        <v>0</v>
      </c>
      <c r="M136" s="422">
        <f t="shared" si="5"/>
        <v>0</v>
      </c>
      <c r="N136" s="419">
        <f t="shared" si="6"/>
        <v>0</v>
      </c>
      <c r="O136" s="423">
        <f t="shared" si="6"/>
        <v>0</v>
      </c>
      <c r="P136" s="423">
        <f t="shared" si="6"/>
        <v>0</v>
      </c>
      <c r="Q136" s="423">
        <f t="shared" si="6"/>
        <v>0</v>
      </c>
    </row>
    <row r="137" spans="2:17" ht="13.15" thickBot="1" x14ac:dyDescent="0.4">
      <c r="B137" s="416">
        <v>16</v>
      </c>
      <c r="C137" s="417">
        <f t="shared" ca="1" si="0"/>
        <v>-4.3499999046325684</v>
      </c>
      <c r="D137" s="418">
        <f ca="1">IF(ISNUMBER(D19),INDIRECT("Knoten!"&amp;ADDRESS(D19+2,COLUMN(Knoten!C18))),0)</f>
        <v>-3.75</v>
      </c>
      <c r="E137" s="419">
        <f ca="1">IF(ISNUMBER(C19),INDIRECT("Knoten!"&amp;ADDRESS(C19+2,COLUMN(Knoten!D19))),0)</f>
        <v>0.89999997615814209</v>
      </c>
      <c r="F137" s="418">
        <f ca="1">IF(ISNUMBER(D19),INDIRECT("Knoten!"&amp;ADDRESS(D19+2,COLUMN(Knoten!D17))),0)</f>
        <v>0.89999997615814209</v>
      </c>
      <c r="G137" s="420">
        <f t="shared" ca="1" si="1"/>
        <v>0.59999990463256836</v>
      </c>
      <c r="H137" s="420">
        <f t="shared" ca="1" si="2"/>
        <v>0</v>
      </c>
      <c r="I137" s="420">
        <f t="shared" ca="1" si="2"/>
        <v>90</v>
      </c>
      <c r="J137" s="419">
        <f t="shared" ca="1" si="3"/>
        <v>0</v>
      </c>
      <c r="K137" s="418">
        <f t="shared" ca="1" si="4"/>
        <v>1</v>
      </c>
      <c r="L137" s="421">
        <f t="shared" si="5"/>
        <v>0</v>
      </c>
      <c r="M137" s="422">
        <f t="shared" si="5"/>
        <v>0</v>
      </c>
      <c r="N137" s="419">
        <f t="shared" si="6"/>
        <v>0</v>
      </c>
      <c r="O137" s="423">
        <f t="shared" si="6"/>
        <v>0</v>
      </c>
      <c r="P137" s="423">
        <f t="shared" si="6"/>
        <v>0</v>
      </c>
      <c r="Q137" s="423">
        <f t="shared" si="6"/>
        <v>0</v>
      </c>
    </row>
    <row r="138" spans="2:17" ht="13.15" thickBot="1" x14ac:dyDescent="0.4">
      <c r="B138" s="416">
        <v>17</v>
      </c>
      <c r="C138" s="417">
        <f t="shared" ca="1" si="0"/>
        <v>-5.5500001907348633</v>
      </c>
      <c r="D138" s="418">
        <f ca="1">IF(ISNUMBER(D20),INDIRECT("Knoten!"&amp;ADDRESS(D20+2,COLUMN(Knoten!C19))),0)</f>
        <v>-5.8499999046325684</v>
      </c>
      <c r="E138" s="419">
        <f ca="1">IF(ISNUMBER(C20),INDIRECT("Knoten!"&amp;ADDRESS(C20+2,COLUMN(Knoten!D20))),0)</f>
        <v>2.8499999046325684</v>
      </c>
      <c r="F138" s="418">
        <f ca="1">IF(ISNUMBER(D20),INDIRECT("Knoten!"&amp;ADDRESS(D20+2,COLUMN(Knoten!D18))),0)</f>
        <v>0.89999997615814209</v>
      </c>
      <c r="G138" s="420">
        <f t="shared" ca="1" si="1"/>
        <v>1.9729418514971424</v>
      </c>
      <c r="H138" s="420">
        <f t="shared" ca="1" si="2"/>
        <v>98.746154366382299</v>
      </c>
      <c r="I138" s="420">
        <f t="shared" ca="1" si="2"/>
        <v>-90</v>
      </c>
      <c r="J138" s="419">
        <f t="shared" ca="1" si="3"/>
        <v>0.98837171860624939</v>
      </c>
      <c r="K138" s="418">
        <f t="shared" ca="1" si="4"/>
        <v>-0.15205704804226947</v>
      </c>
      <c r="L138" s="421">
        <f t="shared" ref="L138:M153" si="7">L20+N20</f>
        <v>0</v>
      </c>
      <c r="M138" s="422">
        <f t="shared" si="7"/>
        <v>0</v>
      </c>
      <c r="N138" s="419">
        <f t="shared" si="6"/>
        <v>0</v>
      </c>
      <c r="O138" s="423">
        <f t="shared" si="6"/>
        <v>0</v>
      </c>
      <c r="P138" s="423">
        <f t="shared" si="6"/>
        <v>0</v>
      </c>
      <c r="Q138" s="423">
        <f t="shared" si="6"/>
        <v>0</v>
      </c>
    </row>
    <row r="139" spans="2:17" ht="13.15" thickBot="1" x14ac:dyDescent="0.4">
      <c r="B139" s="416">
        <v>18</v>
      </c>
      <c r="C139" s="417">
        <f t="shared" ca="1" si="0"/>
        <v>-4.6500000953674316</v>
      </c>
      <c r="D139" s="418">
        <f ca="1">IF(ISNUMBER(D21),INDIRECT("Knoten!"&amp;ADDRESS(D21+2,COLUMN(Knoten!C20))),0)</f>
        <v>-4.3499999046325684</v>
      </c>
      <c r="E139" s="419">
        <f ca="1">IF(ISNUMBER(C21),INDIRECT("Knoten!"&amp;ADDRESS(C21+2,COLUMN(Knoten!D21))),0)</f>
        <v>2.8499999046325684</v>
      </c>
      <c r="F139" s="418">
        <f ca="1">IF(ISNUMBER(D21),INDIRECT("Knoten!"&amp;ADDRESS(D21+2,COLUMN(Knoten!D19))),0)</f>
        <v>0.89999997615814209</v>
      </c>
      <c r="G139" s="420">
        <f t="shared" ca="1" si="1"/>
        <v>1.9729419240036494</v>
      </c>
      <c r="H139" s="420">
        <f t="shared" ca="1" si="2"/>
        <v>81.253831946918211</v>
      </c>
      <c r="I139" s="420">
        <f t="shared" ca="1" si="2"/>
        <v>90</v>
      </c>
      <c r="J139" s="419">
        <f t="shared" ca="1" si="3"/>
        <v>0.98837168228314221</v>
      </c>
      <c r="K139" s="418">
        <f t="shared" ca="1" si="4"/>
        <v>0.15205728414249478</v>
      </c>
      <c r="L139" s="421">
        <f t="shared" si="7"/>
        <v>0</v>
      </c>
      <c r="M139" s="422">
        <f t="shared" si="7"/>
        <v>0</v>
      </c>
      <c r="N139" s="419">
        <f t="shared" si="6"/>
        <v>0</v>
      </c>
      <c r="O139" s="423">
        <f t="shared" si="6"/>
        <v>0</v>
      </c>
      <c r="P139" s="423">
        <f t="shared" si="6"/>
        <v>0</v>
      </c>
      <c r="Q139" s="423">
        <f t="shared" si="6"/>
        <v>0</v>
      </c>
    </row>
    <row r="140" spans="2:17" ht="13.15" thickBot="1" x14ac:dyDescent="0.4">
      <c r="B140" s="416">
        <v>19</v>
      </c>
      <c r="C140" s="417">
        <f t="shared" ca="1" si="0"/>
        <v>8.6999998092651367</v>
      </c>
      <c r="D140" s="418">
        <f ca="1">IF(ISNUMBER(D22),INDIRECT("Knoten!"&amp;ADDRESS(D22+2,COLUMN(Knoten!C21))),0)</f>
        <v>12.149999618530273</v>
      </c>
      <c r="E140" s="419">
        <f ca="1">IF(ISNUMBER(C22),INDIRECT("Knoten!"&amp;ADDRESS(C22+2,COLUMN(Knoten!D22))),0)</f>
        <v>0.89999997615814209</v>
      </c>
      <c r="F140" s="418">
        <f ca="1">IF(ISNUMBER(D22),INDIRECT("Knoten!"&amp;ADDRESS(D22+2,COLUMN(Knoten!D20))),0)</f>
        <v>0.89999997615814209</v>
      </c>
      <c r="G140" s="420">
        <f t="shared" ca="1" si="1"/>
        <v>3.4499998092651367</v>
      </c>
      <c r="H140" s="420">
        <f t="shared" ca="1" si="2"/>
        <v>0</v>
      </c>
      <c r="I140" s="420">
        <f t="shared" ca="1" si="2"/>
        <v>90</v>
      </c>
      <c r="J140" s="419">
        <f t="shared" ca="1" si="3"/>
        <v>0</v>
      </c>
      <c r="K140" s="418">
        <f t="shared" ca="1" si="4"/>
        <v>1</v>
      </c>
      <c r="L140" s="421">
        <f t="shared" si="7"/>
        <v>0</v>
      </c>
      <c r="M140" s="422">
        <f t="shared" si="7"/>
        <v>0</v>
      </c>
      <c r="N140" s="419">
        <f t="shared" si="6"/>
        <v>0</v>
      </c>
      <c r="O140" s="423">
        <f t="shared" si="6"/>
        <v>0</v>
      </c>
      <c r="P140" s="423">
        <f t="shared" si="6"/>
        <v>0</v>
      </c>
      <c r="Q140" s="423">
        <f t="shared" si="6"/>
        <v>0</v>
      </c>
    </row>
    <row r="141" spans="2:17" ht="13.15" thickBot="1" x14ac:dyDescent="0.4">
      <c r="B141" s="416">
        <v>20</v>
      </c>
      <c r="C141" s="417">
        <f t="shared" ca="1" si="0"/>
        <v>3.3856499195098877</v>
      </c>
      <c r="D141" s="418">
        <f ca="1">IF(ISNUMBER(D23),INDIRECT("Knoten!"&amp;ADDRESS(D23+2,COLUMN(Knoten!C22))),0)</f>
        <v>4.4060029983520508</v>
      </c>
      <c r="E141" s="419">
        <f ca="1">IF(ISNUMBER(C23),INDIRECT("Knoten!"&amp;ADDRESS(C23+2,COLUMN(Knoten!D23))),0)</f>
        <v>2.7293310165405273</v>
      </c>
      <c r="F141" s="418">
        <f ca="1">IF(ISNUMBER(D23),INDIRECT("Knoten!"&amp;ADDRESS(D23+2,COLUMN(Knoten!D21))),0)</f>
        <v>2.7448270320892334</v>
      </c>
      <c r="G141" s="420">
        <f t="shared" ca="1" si="1"/>
        <v>1.0204707403941415</v>
      </c>
      <c r="H141" s="420">
        <f t="shared" ca="1" si="2"/>
        <v>-0.87007924900223299</v>
      </c>
      <c r="I141" s="420">
        <f t="shared" ca="1" si="2"/>
        <v>90</v>
      </c>
      <c r="J141" s="419">
        <f t="shared" ca="1" si="3"/>
        <v>-1.5185163998647283E-2</v>
      </c>
      <c r="K141" s="418">
        <f t="shared" ca="1" si="4"/>
        <v>0.99988469874997787</v>
      </c>
      <c r="L141" s="421">
        <f t="shared" si="7"/>
        <v>0</v>
      </c>
      <c r="M141" s="422">
        <f t="shared" si="7"/>
        <v>0</v>
      </c>
      <c r="N141" s="419">
        <f t="shared" si="6"/>
        <v>0</v>
      </c>
      <c r="O141" s="423">
        <f t="shared" si="6"/>
        <v>0</v>
      </c>
      <c r="P141" s="423">
        <f t="shared" si="6"/>
        <v>0</v>
      </c>
      <c r="Q141" s="423">
        <f t="shared" si="6"/>
        <v>0</v>
      </c>
    </row>
    <row r="142" spans="2:17" ht="13.15" thickBot="1" x14ac:dyDescent="0.4">
      <c r="B142" s="416">
        <v>21</v>
      </c>
      <c r="C142" s="417">
        <f t="shared" ca="1" si="0"/>
        <v>12.149999618530273</v>
      </c>
      <c r="D142" s="418">
        <f ca="1">IF(ISNUMBER(D24),INDIRECT("Knoten!"&amp;ADDRESS(D24+2,COLUMN(Knoten!C23))),0)</f>
        <v>15.60081672668457</v>
      </c>
      <c r="E142" s="419">
        <f ca="1">IF(ISNUMBER(C24),INDIRECT("Knoten!"&amp;ADDRESS(C24+2,COLUMN(Knoten!D24))),0)</f>
        <v>0.89999997615814209</v>
      </c>
      <c r="F142" s="418">
        <f ca="1">IF(ISNUMBER(D24),INDIRECT("Knoten!"&amp;ADDRESS(D24+2,COLUMN(Knoten!D22))),0)</f>
        <v>0.89983600378036499</v>
      </c>
      <c r="G142" s="420">
        <f t="shared" ca="1" si="1"/>
        <v>3.4508171120500322</v>
      </c>
      <c r="H142" s="420">
        <f t="shared" ca="1" si="2"/>
        <v>2.7225219122296996E-3</v>
      </c>
      <c r="I142" s="420">
        <f t="shared" ca="1" si="2"/>
        <v>90</v>
      </c>
      <c r="J142" s="419">
        <f t="shared" ca="1" si="3"/>
        <v>4.7516971329636268E-5</v>
      </c>
      <c r="K142" s="418">
        <f t="shared" ca="1" si="4"/>
        <v>0.99999999887106872</v>
      </c>
      <c r="L142" s="421">
        <f t="shared" si="7"/>
        <v>0</v>
      </c>
      <c r="M142" s="422">
        <f t="shared" si="7"/>
        <v>0</v>
      </c>
      <c r="N142" s="419">
        <f t="shared" si="6"/>
        <v>0</v>
      </c>
      <c r="O142" s="423">
        <f t="shared" si="6"/>
        <v>0</v>
      </c>
      <c r="P142" s="423">
        <f t="shared" si="6"/>
        <v>0</v>
      </c>
      <c r="Q142" s="423">
        <f t="shared" si="6"/>
        <v>0</v>
      </c>
    </row>
    <row r="143" spans="2:17" ht="13.15" thickBot="1" x14ac:dyDescent="0.4">
      <c r="B143" s="416">
        <v>22</v>
      </c>
      <c r="C143" s="417">
        <f t="shared" ca="1" si="0"/>
        <v>12.149999618530273</v>
      </c>
      <c r="D143" s="418">
        <f ca="1">IF(ISNUMBER(D25),INDIRECT("Knoten!"&amp;ADDRESS(D25+2,COLUMN(Knoten!C24))),0)</f>
        <v>16.950000762939453</v>
      </c>
      <c r="E143" s="419">
        <f ca="1">IF(ISNUMBER(C25),INDIRECT("Knoten!"&amp;ADDRESS(C25+2,COLUMN(Knoten!D25))),0)</f>
        <v>0.89999997615814209</v>
      </c>
      <c r="F143" s="418">
        <f ca="1">IF(ISNUMBER(D25),INDIRECT("Knoten!"&amp;ADDRESS(D25+2,COLUMN(Knoten!D23))),0)</f>
        <v>-2.0999999046325684</v>
      </c>
      <c r="G143" s="420">
        <f t="shared" ca="1" si="1"/>
        <v>5.6603895865102531</v>
      </c>
      <c r="H143" s="420">
        <f t="shared" ca="1" si="2"/>
        <v>32.005376045339446</v>
      </c>
      <c r="I143" s="420">
        <f t="shared" ca="1" si="2"/>
        <v>90</v>
      </c>
      <c r="J143" s="419">
        <f t="shared" ca="1" si="3"/>
        <v>0.52999883399196768</v>
      </c>
      <c r="K143" s="418">
        <f t="shared" ca="1" si="4"/>
        <v>0.84799837026208635</v>
      </c>
      <c r="L143" s="421">
        <f t="shared" si="7"/>
        <v>0</v>
      </c>
      <c r="M143" s="422">
        <f t="shared" si="7"/>
        <v>0</v>
      </c>
      <c r="N143" s="419">
        <f t="shared" si="6"/>
        <v>0</v>
      </c>
      <c r="O143" s="423">
        <f t="shared" si="6"/>
        <v>0</v>
      </c>
      <c r="P143" s="423">
        <f t="shared" si="6"/>
        <v>0</v>
      </c>
      <c r="Q143" s="423">
        <f t="shared" si="6"/>
        <v>0</v>
      </c>
    </row>
    <row r="144" spans="2:17" ht="13.15" thickBot="1" x14ac:dyDescent="0.4">
      <c r="B144" s="416">
        <v>23</v>
      </c>
      <c r="C144" s="417">
        <f t="shared" ca="1" si="0"/>
        <v>21.75</v>
      </c>
      <c r="D144" s="418">
        <f ca="1">IF(ISNUMBER(D26),INDIRECT("Knoten!"&amp;ADDRESS(D26+2,COLUMN(Knoten!C25))),0)</f>
        <v>16.950000762939453</v>
      </c>
      <c r="E144" s="419">
        <f ca="1">IF(ISNUMBER(C26),INDIRECT("Knoten!"&amp;ADDRESS(C26+2,COLUMN(Knoten!D26))),0)</f>
        <v>0.89999997615814209</v>
      </c>
      <c r="F144" s="418">
        <f ca="1">IF(ISNUMBER(D26),INDIRECT("Knoten!"&amp;ADDRESS(D26+2,COLUMN(Knoten!D24))),0)</f>
        <v>-2.0999999046325684</v>
      </c>
      <c r="G144" s="420">
        <f t="shared" ca="1" si="1"/>
        <v>5.6603879690818113</v>
      </c>
      <c r="H144" s="420">
        <f t="shared" ca="1" si="2"/>
        <v>147.99461372216817</v>
      </c>
      <c r="I144" s="420">
        <f t="shared" ca="1" si="2"/>
        <v>-90</v>
      </c>
      <c r="J144" s="419">
        <f t="shared" ca="1" si="3"/>
        <v>0.52999898543656709</v>
      </c>
      <c r="K144" s="418">
        <f t="shared" ca="1" si="4"/>
        <v>-0.84799827560921925</v>
      </c>
      <c r="L144" s="421">
        <f t="shared" si="7"/>
        <v>0</v>
      </c>
      <c r="M144" s="422">
        <f t="shared" si="7"/>
        <v>0</v>
      </c>
      <c r="N144" s="419">
        <f t="shared" si="6"/>
        <v>0</v>
      </c>
      <c r="O144" s="423">
        <f t="shared" si="6"/>
        <v>0</v>
      </c>
      <c r="P144" s="423">
        <f t="shared" si="6"/>
        <v>0</v>
      </c>
      <c r="Q144" s="423">
        <f t="shared" si="6"/>
        <v>0</v>
      </c>
    </row>
    <row r="145" spans="2:17" ht="13.15" thickBot="1" x14ac:dyDescent="0.4">
      <c r="B145" s="416">
        <v>24</v>
      </c>
      <c r="C145" s="417">
        <f t="shared" ca="1" si="0"/>
        <v>16.950000762939453</v>
      </c>
      <c r="D145" s="418">
        <f ca="1">IF(ISNUMBER(D27),INDIRECT("Knoten!"&amp;ADDRESS(D27+2,COLUMN(Knoten!C26))),0)</f>
        <v>18.321756362915039</v>
      </c>
      <c r="E145" s="419">
        <f ca="1">IF(ISNUMBER(C27),INDIRECT("Knoten!"&amp;ADDRESS(C27+2,COLUMN(Knoten!D27))),0)</f>
        <v>0.89999997615814209</v>
      </c>
      <c r="F145" s="418">
        <f ca="1">IF(ISNUMBER(D27),INDIRECT("Knoten!"&amp;ADDRESS(D27+2,COLUMN(Knoten!D25))),0)</f>
        <v>0.89983600378036499</v>
      </c>
      <c r="G145" s="420">
        <f t="shared" ca="1" si="1"/>
        <v>1.3717556097757795</v>
      </c>
      <c r="H145" s="420">
        <f t="shared" ca="1" si="2"/>
        <v>6.8488331433641109E-3</v>
      </c>
      <c r="I145" s="420">
        <f t="shared" ca="1" si="2"/>
        <v>90</v>
      </c>
      <c r="J145" s="419">
        <f t="shared" ca="1" si="3"/>
        <v>1.1953468723477774E-4</v>
      </c>
      <c r="K145" s="418">
        <f t="shared" ca="1" si="4"/>
        <v>0.99999999285572916</v>
      </c>
      <c r="L145" s="421">
        <f t="shared" si="7"/>
        <v>0</v>
      </c>
      <c r="M145" s="422">
        <f t="shared" si="7"/>
        <v>0</v>
      </c>
      <c r="N145" s="419">
        <f t="shared" si="6"/>
        <v>0</v>
      </c>
      <c r="O145" s="423">
        <f t="shared" si="6"/>
        <v>0</v>
      </c>
      <c r="P145" s="423">
        <f t="shared" si="6"/>
        <v>0</v>
      </c>
      <c r="Q145" s="423">
        <f t="shared" si="6"/>
        <v>0</v>
      </c>
    </row>
    <row r="146" spans="2:17" ht="13.15" thickBot="1" x14ac:dyDescent="0.4">
      <c r="B146" s="416">
        <v>25</v>
      </c>
      <c r="C146" s="417">
        <f t="shared" ca="1" si="0"/>
        <v>16.350000381469727</v>
      </c>
      <c r="D146" s="418">
        <f ca="1">IF(ISNUMBER(D28),INDIRECT("Knoten!"&amp;ADDRESS(D28+2,COLUMN(Knoten!C27))),0)</f>
        <v>16.435649871826172</v>
      </c>
      <c r="E146" s="419">
        <f ca="1">IF(ISNUMBER(C28),INDIRECT("Knoten!"&amp;ADDRESS(C28+2,COLUMN(Knoten!D28))),0)</f>
        <v>3.5999999046325684</v>
      </c>
      <c r="F146" s="418">
        <f ca="1">IF(ISNUMBER(D28),INDIRECT("Knoten!"&amp;ADDRESS(D28+2,COLUMN(Knoten!D26))),0)</f>
        <v>2.7293310165405273</v>
      </c>
      <c r="G146" s="420">
        <f t="shared" ca="1" si="1"/>
        <v>0.87487150364482091</v>
      </c>
      <c r="H146" s="420">
        <f t="shared" ca="1" si="2"/>
        <v>84.381772369208065</v>
      </c>
      <c r="I146" s="420">
        <f t="shared" ca="1" si="2"/>
        <v>90</v>
      </c>
      <c r="J146" s="419">
        <f t="shared" ca="1" si="3"/>
        <v>0.99519630535996284</v>
      </c>
      <c r="K146" s="418">
        <f t="shared" ca="1" si="4"/>
        <v>9.7899508670266588E-2</v>
      </c>
      <c r="L146" s="421">
        <f t="shared" si="7"/>
        <v>0</v>
      </c>
      <c r="M146" s="422">
        <f t="shared" si="7"/>
        <v>0</v>
      </c>
      <c r="N146" s="419">
        <f t="shared" si="6"/>
        <v>0</v>
      </c>
      <c r="O146" s="423">
        <f t="shared" si="6"/>
        <v>0</v>
      </c>
      <c r="P146" s="423">
        <f t="shared" si="6"/>
        <v>0</v>
      </c>
      <c r="Q146" s="423">
        <f t="shared" si="6"/>
        <v>0</v>
      </c>
    </row>
    <row r="147" spans="2:17" ht="13.15" thickBot="1" x14ac:dyDescent="0.4">
      <c r="B147" s="416">
        <v>26</v>
      </c>
      <c r="C147" s="417">
        <f t="shared" ca="1" si="0"/>
        <v>17.549999237060547</v>
      </c>
      <c r="D147" s="418">
        <f ca="1">IF(ISNUMBER(D29),INDIRECT("Knoten!"&amp;ADDRESS(D29+2,COLUMN(Knoten!C28))),0)</f>
        <v>17.456003189086914</v>
      </c>
      <c r="E147" s="419">
        <f ca="1">IF(ISNUMBER(C29),INDIRECT("Knoten!"&amp;ADDRESS(C29+2,COLUMN(Knoten!D29))),0)</f>
        <v>3.5999999046325684</v>
      </c>
      <c r="F147" s="418">
        <f ca="1">IF(ISNUMBER(D29),INDIRECT("Knoten!"&amp;ADDRESS(D29+2,COLUMN(Knoten!D27))),0)</f>
        <v>2.7448270320892334</v>
      </c>
      <c r="G147" s="420">
        <f t="shared" ca="1" si="1"/>
        <v>0.86032313636719115</v>
      </c>
      <c r="H147" s="420">
        <f t="shared" ca="1" si="2"/>
        <v>96.272468104038239</v>
      </c>
      <c r="I147" s="420">
        <f t="shared" ca="1" si="2"/>
        <v>-90</v>
      </c>
      <c r="J147" s="419">
        <f t="shared" ca="1" si="3"/>
        <v>0.99401357047585193</v>
      </c>
      <c r="K147" s="418">
        <f t="shared" ca="1" si="4"/>
        <v>-0.10925667810183676</v>
      </c>
      <c r="L147" s="421">
        <f t="shared" si="7"/>
        <v>0</v>
      </c>
      <c r="M147" s="422">
        <f t="shared" si="7"/>
        <v>0</v>
      </c>
      <c r="N147" s="419">
        <f t="shared" si="6"/>
        <v>0</v>
      </c>
      <c r="O147" s="423">
        <f t="shared" si="6"/>
        <v>0</v>
      </c>
      <c r="P147" s="423">
        <f t="shared" si="6"/>
        <v>0</v>
      </c>
      <c r="Q147" s="423">
        <f t="shared" si="6"/>
        <v>0</v>
      </c>
    </row>
    <row r="148" spans="2:17" ht="13.15" thickBot="1" x14ac:dyDescent="0.4">
      <c r="B148" s="416">
        <v>27</v>
      </c>
      <c r="C148" s="417">
        <f t="shared" ca="1" si="0"/>
        <v>15.60081672668457</v>
      </c>
      <c r="D148" s="418">
        <f ca="1">IF(ISNUMBER(D30),INDIRECT("Knoten!"&amp;ADDRESS(D30+2,COLUMN(Knoten!C29))),0)</f>
        <v>16.950000762939453</v>
      </c>
      <c r="E148" s="419">
        <f ca="1">IF(ISNUMBER(C30),INDIRECT("Knoten!"&amp;ADDRESS(C30+2,COLUMN(Knoten!D30))),0)</f>
        <v>0.89983600378036499</v>
      </c>
      <c r="F148" s="418">
        <f ca="1">IF(ISNUMBER(D30),INDIRECT("Knoten!"&amp;ADDRESS(D30+2,COLUMN(Knoten!D28))),0)</f>
        <v>0.89999997615814209</v>
      </c>
      <c r="G148" s="420">
        <f t="shared" ca="1" si="1"/>
        <v>1.3491840462190314</v>
      </c>
      <c r="H148" s="420">
        <f t="shared" ca="1" si="2"/>
        <v>-6.9634126169346141E-3</v>
      </c>
      <c r="I148" s="420">
        <f t="shared" ca="1" si="2"/>
        <v>90</v>
      </c>
      <c r="J148" s="419">
        <f t="shared" ca="1" si="3"/>
        <v>-1.2153447725432098E-4</v>
      </c>
      <c r="K148" s="418">
        <f t="shared" ca="1" si="4"/>
        <v>0.99999999261468542</v>
      </c>
      <c r="L148" s="421">
        <f t="shared" si="7"/>
        <v>0</v>
      </c>
      <c r="M148" s="422">
        <f t="shared" si="7"/>
        <v>0</v>
      </c>
      <c r="N148" s="419">
        <f t="shared" si="6"/>
        <v>0</v>
      </c>
      <c r="O148" s="423">
        <f t="shared" si="6"/>
        <v>0</v>
      </c>
      <c r="P148" s="423">
        <f t="shared" si="6"/>
        <v>0</v>
      </c>
      <c r="Q148" s="423">
        <f t="shared" si="6"/>
        <v>0</v>
      </c>
    </row>
    <row r="149" spans="2:17" ht="13.15" thickBot="1" x14ac:dyDescent="0.4">
      <c r="B149" s="416">
        <v>28</v>
      </c>
      <c r="C149" s="417">
        <f t="shared" ca="1" si="0"/>
        <v>18.321756362915039</v>
      </c>
      <c r="D149" s="418">
        <f ca="1">IF(ISNUMBER(D31),INDIRECT("Knoten!"&amp;ADDRESS(D31+2,COLUMN(Knoten!C30))),0)</f>
        <v>21.75</v>
      </c>
      <c r="E149" s="419">
        <f ca="1">IF(ISNUMBER(C31),INDIRECT("Knoten!"&amp;ADDRESS(C31+2,COLUMN(Knoten!D31))),0)</f>
        <v>0.89983600378036499</v>
      </c>
      <c r="F149" s="418">
        <f ca="1">IF(ISNUMBER(D31),INDIRECT("Knoten!"&amp;ADDRESS(D31+2,COLUMN(Knoten!D29))),0)</f>
        <v>0.89999997615814209</v>
      </c>
      <c r="G149" s="420">
        <f t="shared" ca="1" si="1"/>
        <v>3.4282436410063482</v>
      </c>
      <c r="H149" s="420">
        <f t="shared" ca="1" si="2"/>
        <v>-2.7404486294330672E-3</v>
      </c>
      <c r="I149" s="420">
        <f t="shared" ca="1" si="2"/>
        <v>90</v>
      </c>
      <c r="J149" s="419">
        <f t="shared" ca="1" si="3"/>
        <v>-4.7829849610387122E-5</v>
      </c>
      <c r="K149" s="418">
        <f t="shared" ca="1" si="4"/>
        <v>0.99999999885615265</v>
      </c>
      <c r="L149" s="421">
        <f t="shared" si="7"/>
        <v>0</v>
      </c>
      <c r="M149" s="422">
        <f t="shared" si="7"/>
        <v>0</v>
      </c>
      <c r="N149" s="419">
        <f t="shared" si="6"/>
        <v>0</v>
      </c>
      <c r="O149" s="423">
        <f t="shared" si="6"/>
        <v>0</v>
      </c>
      <c r="P149" s="423">
        <f t="shared" si="6"/>
        <v>0</v>
      </c>
      <c r="Q149" s="423">
        <f t="shared" si="6"/>
        <v>0</v>
      </c>
    </row>
    <row r="150" spans="2:17" ht="13.15" thickBot="1" x14ac:dyDescent="0.4">
      <c r="B150" s="416">
        <v>29</v>
      </c>
      <c r="C150" s="417">
        <f t="shared" ca="1" si="0"/>
        <v>16.435649871826172</v>
      </c>
      <c r="D150" s="418">
        <f ca="1">IF(ISNUMBER(D32),INDIRECT("Knoten!"&amp;ADDRESS(D32+2,COLUMN(Knoten!C31))),0)</f>
        <v>16.950000762939453</v>
      </c>
      <c r="E150" s="419">
        <f ca="1">IF(ISNUMBER(C32),INDIRECT("Knoten!"&amp;ADDRESS(C32+2,COLUMN(Knoten!D32))),0)</f>
        <v>2.7293310165405273</v>
      </c>
      <c r="F150" s="418">
        <f ca="1">IF(ISNUMBER(D32),INDIRECT("Knoten!"&amp;ADDRESS(D32+2,COLUMN(Knoten!D30))),0)</f>
        <v>-2.0999999046325684</v>
      </c>
      <c r="G150" s="420">
        <f t="shared" ca="1" si="1"/>
        <v>4.8566443132462984</v>
      </c>
      <c r="H150" s="420">
        <f t="shared" ca="1" si="2"/>
        <v>83.920595405869634</v>
      </c>
      <c r="I150" s="420">
        <f t="shared" ca="1" si="2"/>
        <v>90</v>
      </c>
      <c r="J150" s="419">
        <f t="shared" ca="1" si="3"/>
        <v>0.99437607732592104</v>
      </c>
      <c r="K150" s="418">
        <f t="shared" ca="1" si="4"/>
        <v>0.10590664210479862</v>
      </c>
      <c r="L150" s="421">
        <f t="shared" si="7"/>
        <v>0</v>
      </c>
      <c r="M150" s="422">
        <f t="shared" si="7"/>
        <v>0</v>
      </c>
      <c r="N150" s="419">
        <f t="shared" si="6"/>
        <v>0</v>
      </c>
      <c r="O150" s="423">
        <f t="shared" si="6"/>
        <v>0</v>
      </c>
      <c r="P150" s="423">
        <f t="shared" si="6"/>
        <v>0</v>
      </c>
      <c r="Q150" s="423">
        <f t="shared" si="6"/>
        <v>0</v>
      </c>
    </row>
    <row r="151" spans="2:17" ht="13.15" thickBot="1" x14ac:dyDescent="0.4">
      <c r="B151" s="416">
        <v>30</v>
      </c>
      <c r="C151" s="417">
        <f t="shared" ca="1" si="0"/>
        <v>17.456003189086914</v>
      </c>
      <c r="D151" s="418">
        <f ca="1">IF(ISNUMBER(D33),INDIRECT("Knoten!"&amp;ADDRESS(D33+2,COLUMN(Knoten!C32))),0)</f>
        <v>16.950000762939453</v>
      </c>
      <c r="E151" s="419">
        <f ca="1">IF(ISNUMBER(C33),INDIRECT("Knoten!"&amp;ADDRESS(C33+2,COLUMN(Knoten!D33))),0)</f>
        <v>2.7448270320892334</v>
      </c>
      <c r="F151" s="418">
        <f ca="1">IF(ISNUMBER(D33),INDIRECT("Knoten!"&amp;ADDRESS(D33+2,COLUMN(Knoten!D31))),0)</f>
        <v>-2.0999999046325684</v>
      </c>
      <c r="G151" s="420">
        <f t="shared" ca="1" si="1"/>
        <v>4.8711791695699587</v>
      </c>
      <c r="H151" s="420">
        <f t="shared" ca="1" si="2"/>
        <v>95.962457144457829</v>
      </c>
      <c r="I151" s="420">
        <f t="shared" ca="1" si="2"/>
        <v>-90</v>
      </c>
      <c r="J151" s="419">
        <f t="shared" ca="1" si="3"/>
        <v>0.99459017376885295</v>
      </c>
      <c r="K151" s="418">
        <f t="shared" ca="1" si="4"/>
        <v>-0.10387678394349273</v>
      </c>
      <c r="L151" s="421">
        <f t="shared" si="7"/>
        <v>0</v>
      </c>
      <c r="M151" s="422">
        <f t="shared" si="7"/>
        <v>0</v>
      </c>
      <c r="N151" s="419">
        <f t="shared" si="6"/>
        <v>0</v>
      </c>
      <c r="O151" s="423">
        <f t="shared" si="6"/>
        <v>0</v>
      </c>
      <c r="P151" s="423">
        <f t="shared" si="6"/>
        <v>0</v>
      </c>
      <c r="Q151" s="423">
        <f t="shared" si="6"/>
        <v>0</v>
      </c>
    </row>
    <row r="152" spans="2:17" ht="13.15" thickBot="1" x14ac:dyDescent="0.4">
      <c r="B152" s="416">
        <v>31</v>
      </c>
      <c r="C152" s="417">
        <f t="shared" ca="1" si="0"/>
        <v>16.435649871826172</v>
      </c>
      <c r="D152" s="418">
        <f ca="1">IF(ISNUMBER(D34),INDIRECT("Knoten!"&amp;ADDRESS(D34+2,COLUMN(Knoten!C33))),0)</f>
        <v>15.60081672668457</v>
      </c>
      <c r="E152" s="419">
        <f ca="1">IF(ISNUMBER(C34),INDIRECT("Knoten!"&amp;ADDRESS(C34+2,COLUMN(Knoten!D34))),0)</f>
        <v>2.7293310165405273</v>
      </c>
      <c r="F152" s="418">
        <f ca="1">IF(ISNUMBER(D34),INDIRECT("Knoten!"&amp;ADDRESS(D34+2,COLUMN(Knoten!D32))),0)</f>
        <v>0.89983600378036499</v>
      </c>
      <c r="G152" s="420">
        <f t="shared" ca="1" si="1"/>
        <v>2.0109695129318408</v>
      </c>
      <c r="H152" s="420">
        <f t="shared" ca="1" si="2"/>
        <v>114.52811013154113</v>
      </c>
      <c r="I152" s="420">
        <f t="shared" ca="1" si="2"/>
        <v>-90</v>
      </c>
      <c r="J152" s="419">
        <f t="shared" ca="1" si="3"/>
        <v>0.90975770691466007</v>
      </c>
      <c r="K152" s="418">
        <f t="shared" ca="1" si="4"/>
        <v>-0.41513963278562005</v>
      </c>
      <c r="L152" s="421">
        <f t="shared" si="7"/>
        <v>0</v>
      </c>
      <c r="M152" s="422">
        <f t="shared" si="7"/>
        <v>0</v>
      </c>
      <c r="N152" s="419">
        <f t="shared" si="6"/>
        <v>0</v>
      </c>
      <c r="O152" s="423">
        <f t="shared" si="6"/>
        <v>0</v>
      </c>
      <c r="P152" s="423">
        <f t="shared" si="6"/>
        <v>0</v>
      </c>
      <c r="Q152" s="423">
        <f t="shared" si="6"/>
        <v>0</v>
      </c>
    </row>
    <row r="153" spans="2:17" ht="13.15" thickBot="1" x14ac:dyDescent="0.4">
      <c r="B153" s="416">
        <v>32</v>
      </c>
      <c r="C153" s="417">
        <f t="shared" ca="1" si="0"/>
        <v>17.456003189086914</v>
      </c>
      <c r="D153" s="418">
        <f ca="1">IF(ISNUMBER(D35),INDIRECT("Knoten!"&amp;ADDRESS(D35+2,COLUMN(Knoten!C34))),0)</f>
        <v>18.321756362915039</v>
      </c>
      <c r="E153" s="419">
        <f ca="1">IF(ISNUMBER(C35),INDIRECT("Knoten!"&amp;ADDRESS(C35+2,COLUMN(Knoten!D35))),0)</f>
        <v>2.7448270320892334</v>
      </c>
      <c r="F153" s="418">
        <f ca="1">IF(ISNUMBER(D35),INDIRECT("Knoten!"&amp;ADDRESS(D35+2,COLUMN(Knoten!D33))),0)</f>
        <v>0.89983600378036499</v>
      </c>
      <c r="G153" s="420">
        <f t="shared" ca="1" si="1"/>
        <v>2.038018756668762</v>
      </c>
      <c r="H153" s="420">
        <f t="shared" ca="1" si="2"/>
        <v>64.861908137589438</v>
      </c>
      <c r="I153" s="420">
        <f t="shared" ca="1" si="2"/>
        <v>90</v>
      </c>
      <c r="J153" s="419">
        <f t="shared" ca="1" si="3"/>
        <v>0.90528657907182042</v>
      </c>
      <c r="K153" s="418">
        <f t="shared" ca="1" si="4"/>
        <v>0.42480137682502955</v>
      </c>
      <c r="L153" s="421">
        <f t="shared" si="7"/>
        <v>0</v>
      </c>
      <c r="M153" s="422">
        <f t="shared" si="7"/>
        <v>0</v>
      </c>
      <c r="N153" s="419">
        <f t="shared" si="6"/>
        <v>0</v>
      </c>
      <c r="O153" s="423">
        <f t="shared" si="6"/>
        <v>0</v>
      </c>
      <c r="P153" s="423">
        <f t="shared" si="6"/>
        <v>0</v>
      </c>
      <c r="Q153" s="423">
        <f t="shared" si="6"/>
        <v>0</v>
      </c>
    </row>
    <row r="154" spans="2:17" ht="13.15" thickBot="1" x14ac:dyDescent="0.4">
      <c r="B154" s="416">
        <v>33</v>
      </c>
      <c r="C154" s="417">
        <f t="shared" ca="1" si="0"/>
        <v>16.435649871826172</v>
      </c>
      <c r="D154" s="418">
        <f ca="1">IF(ISNUMBER(D36),INDIRECT("Knoten!"&amp;ADDRESS(D36+2,COLUMN(Knoten!C35))),0)</f>
        <v>17.456003189086914</v>
      </c>
      <c r="E154" s="419">
        <f ca="1">IF(ISNUMBER(C36),INDIRECT("Knoten!"&amp;ADDRESS(C36+2,COLUMN(Knoten!D36))),0)</f>
        <v>2.7293310165405273</v>
      </c>
      <c r="F154" s="418">
        <f ca="1">IF(ISNUMBER(D36),INDIRECT("Knoten!"&amp;ADDRESS(D36+2,COLUMN(Knoten!D34))),0)</f>
        <v>2.7448270320892334</v>
      </c>
      <c r="G154" s="420">
        <f t="shared" ca="1" si="1"/>
        <v>1.0204709787852306</v>
      </c>
      <c r="H154" s="420">
        <f t="shared" ca="1" si="2"/>
        <v>-0.87007904572831429</v>
      </c>
      <c r="I154" s="420">
        <f t="shared" ca="1" si="2"/>
        <v>90</v>
      </c>
      <c r="J154" s="419">
        <f t="shared" ca="1" si="3"/>
        <v>-1.5185160451258029E-2</v>
      </c>
      <c r="K154" s="418">
        <f t="shared" ca="1" si="4"/>
        <v>0.99988469880385178</v>
      </c>
      <c r="L154" s="421">
        <f t="shared" ref="L154:M161" si="8">L36+N36</f>
        <v>0</v>
      </c>
      <c r="M154" s="422">
        <f t="shared" si="8"/>
        <v>0</v>
      </c>
      <c r="N154" s="419">
        <f t="shared" si="6"/>
        <v>0</v>
      </c>
      <c r="O154" s="423">
        <f t="shared" si="6"/>
        <v>0</v>
      </c>
      <c r="P154" s="423">
        <f t="shared" si="6"/>
        <v>0</v>
      </c>
      <c r="Q154" s="423">
        <f t="shared" si="6"/>
        <v>0</v>
      </c>
    </row>
    <row r="155" spans="2:17" ht="13.15" thickBot="1" x14ac:dyDescent="0.4">
      <c r="B155" s="416">
        <v>34</v>
      </c>
      <c r="C155" s="417">
        <f t="shared" ca="1" si="0"/>
        <v>0</v>
      </c>
      <c r="D155" s="418">
        <f ca="1">IF(ISNUMBER(D37),INDIRECT("Knoten!"&amp;ADDRESS(D37+2,COLUMN(Knoten!C36))),0)</f>
        <v>0</v>
      </c>
      <c r="E155" s="419">
        <f ca="1">IF(ISNUMBER(C37),INDIRECT("Knoten!"&amp;ADDRESS(C37+2,COLUMN(Knoten!D37))),0)</f>
        <v>0</v>
      </c>
      <c r="F155" s="418">
        <f ca="1">IF(ISNUMBER(D37),INDIRECT("Knoten!"&amp;ADDRESS(D37+2,COLUMN(Knoten!D35))),0)</f>
        <v>0</v>
      </c>
      <c r="G155" s="420" t="str">
        <f t="shared" si="1"/>
        <v/>
      </c>
      <c r="H155" s="420" t="str">
        <f t="shared" si="2"/>
        <v/>
      </c>
      <c r="I155" s="420" t="str">
        <f t="shared" si="2"/>
        <v/>
      </c>
      <c r="J155" s="419" t="str">
        <f t="shared" si="3"/>
        <v/>
      </c>
      <c r="K155" s="418" t="str">
        <f t="shared" si="4"/>
        <v/>
      </c>
      <c r="L155" s="421">
        <f t="shared" si="8"/>
        <v>0</v>
      </c>
      <c r="M155" s="422">
        <f t="shared" si="8"/>
        <v>0</v>
      </c>
      <c r="N155" s="419">
        <f t="shared" si="6"/>
        <v>0</v>
      </c>
      <c r="O155" s="423">
        <f t="shared" si="6"/>
        <v>0</v>
      </c>
      <c r="P155" s="423">
        <f t="shared" si="6"/>
        <v>0</v>
      </c>
      <c r="Q155" s="423">
        <f t="shared" si="6"/>
        <v>0</v>
      </c>
    </row>
    <row r="156" spans="2:17" ht="13.15" thickBot="1" x14ac:dyDescent="0.4">
      <c r="B156" s="416">
        <v>35</v>
      </c>
      <c r="C156" s="417">
        <f t="shared" ca="1" si="0"/>
        <v>0</v>
      </c>
      <c r="D156" s="418">
        <f ca="1">IF(ISNUMBER(D38),INDIRECT("Knoten!"&amp;ADDRESS(D38+2,COLUMN(Knoten!C37))),0)</f>
        <v>0</v>
      </c>
      <c r="E156" s="419">
        <f ca="1">IF(ISNUMBER(C38),INDIRECT("Knoten!"&amp;ADDRESS(C38+2,COLUMN(Knoten!D38))),0)</f>
        <v>0</v>
      </c>
      <c r="F156" s="418">
        <f ca="1">IF(ISNUMBER(D38),INDIRECT("Knoten!"&amp;ADDRESS(D38+2,COLUMN(Knoten!D36))),0)</f>
        <v>0</v>
      </c>
      <c r="G156" s="420" t="str">
        <f t="shared" si="1"/>
        <v/>
      </c>
      <c r="H156" s="420" t="str">
        <f t="shared" si="2"/>
        <v/>
      </c>
      <c r="I156" s="420" t="str">
        <f t="shared" si="2"/>
        <v/>
      </c>
      <c r="J156" s="419" t="str">
        <f t="shared" si="3"/>
        <v/>
      </c>
      <c r="K156" s="418" t="str">
        <f t="shared" si="4"/>
        <v/>
      </c>
      <c r="L156" s="421">
        <f t="shared" si="8"/>
        <v>0</v>
      </c>
      <c r="M156" s="422">
        <f t="shared" si="8"/>
        <v>0</v>
      </c>
      <c r="N156" s="419">
        <f t="shared" si="6"/>
        <v>0</v>
      </c>
      <c r="O156" s="423">
        <f t="shared" si="6"/>
        <v>0</v>
      </c>
      <c r="P156" s="423">
        <f t="shared" si="6"/>
        <v>0</v>
      </c>
      <c r="Q156" s="423">
        <f t="shared" si="6"/>
        <v>0</v>
      </c>
    </row>
    <row r="157" spans="2:17" ht="13.15" thickBot="1" x14ac:dyDescent="0.4">
      <c r="B157" s="416">
        <v>36</v>
      </c>
      <c r="C157" s="417">
        <f t="shared" ca="1" si="0"/>
        <v>0</v>
      </c>
      <c r="D157" s="418">
        <f ca="1">IF(ISNUMBER(D39),INDIRECT("Knoten!"&amp;ADDRESS(D39+2,COLUMN(Knoten!C38))),0)</f>
        <v>0</v>
      </c>
      <c r="E157" s="419">
        <f ca="1">IF(ISNUMBER(C39),INDIRECT("Knoten!"&amp;ADDRESS(C39+2,COLUMN(Knoten!D39))),0)</f>
        <v>0</v>
      </c>
      <c r="F157" s="418">
        <f ca="1">IF(ISNUMBER(D39),INDIRECT("Knoten!"&amp;ADDRESS(D39+2,COLUMN(Knoten!D37))),0)</f>
        <v>0</v>
      </c>
      <c r="G157" s="420" t="str">
        <f t="shared" si="1"/>
        <v/>
      </c>
      <c r="H157" s="420" t="str">
        <f t="shared" si="2"/>
        <v/>
      </c>
      <c r="I157" s="420" t="str">
        <f t="shared" si="2"/>
        <v/>
      </c>
      <c r="J157" s="419" t="str">
        <f t="shared" si="3"/>
        <v/>
      </c>
      <c r="K157" s="418" t="str">
        <f t="shared" si="4"/>
        <v/>
      </c>
      <c r="L157" s="421">
        <f t="shared" si="8"/>
        <v>0</v>
      </c>
      <c r="M157" s="422">
        <f t="shared" si="8"/>
        <v>0</v>
      </c>
      <c r="N157" s="419">
        <f t="shared" si="6"/>
        <v>0</v>
      </c>
      <c r="O157" s="423">
        <f t="shared" si="6"/>
        <v>0</v>
      </c>
      <c r="P157" s="423">
        <f t="shared" si="6"/>
        <v>0</v>
      </c>
      <c r="Q157" s="423">
        <f t="shared" si="6"/>
        <v>0</v>
      </c>
    </row>
    <row r="158" spans="2:17" ht="13.15" thickBot="1" x14ac:dyDescent="0.4">
      <c r="B158" s="416">
        <v>37</v>
      </c>
      <c r="C158" s="417">
        <f t="shared" ca="1" si="0"/>
        <v>0</v>
      </c>
      <c r="D158" s="418">
        <f ca="1">IF(ISNUMBER(D40),INDIRECT("Knoten!"&amp;ADDRESS(D40+2,COLUMN(Knoten!C39))),0)</f>
        <v>0</v>
      </c>
      <c r="E158" s="419">
        <f ca="1">IF(ISNUMBER(C40),INDIRECT("Knoten!"&amp;ADDRESS(C40+2,COLUMN(Knoten!D40))),0)</f>
        <v>0</v>
      </c>
      <c r="F158" s="418">
        <f ca="1">IF(ISNUMBER(D40),INDIRECT("Knoten!"&amp;ADDRESS(D40+2,COLUMN(Knoten!D38))),0)</f>
        <v>0</v>
      </c>
      <c r="G158" s="420" t="str">
        <f t="shared" si="1"/>
        <v/>
      </c>
      <c r="H158" s="420" t="str">
        <f t="shared" si="2"/>
        <v/>
      </c>
      <c r="I158" s="420" t="str">
        <f t="shared" si="2"/>
        <v/>
      </c>
      <c r="J158" s="419" t="str">
        <f t="shared" si="3"/>
        <v/>
      </c>
      <c r="K158" s="418" t="str">
        <f t="shared" si="4"/>
        <v/>
      </c>
      <c r="L158" s="421">
        <f t="shared" si="8"/>
        <v>0</v>
      </c>
      <c r="M158" s="422">
        <f t="shared" si="8"/>
        <v>0</v>
      </c>
      <c r="N158" s="419">
        <f t="shared" si="6"/>
        <v>0</v>
      </c>
      <c r="O158" s="423">
        <f t="shared" si="6"/>
        <v>0</v>
      </c>
      <c r="P158" s="423">
        <f t="shared" si="6"/>
        <v>0</v>
      </c>
      <c r="Q158" s="423">
        <f t="shared" si="6"/>
        <v>0</v>
      </c>
    </row>
    <row r="159" spans="2:17" ht="13.15" thickBot="1" x14ac:dyDescent="0.4">
      <c r="B159" s="416">
        <v>38</v>
      </c>
      <c r="C159" s="417">
        <f t="shared" ca="1" si="0"/>
        <v>0</v>
      </c>
      <c r="D159" s="418">
        <f ca="1">IF(ISNUMBER(D41),INDIRECT("Knoten!"&amp;ADDRESS(D41+2,COLUMN(Knoten!C40))),0)</f>
        <v>0</v>
      </c>
      <c r="E159" s="419">
        <f ca="1">IF(ISNUMBER(C41),INDIRECT("Knoten!"&amp;ADDRESS(C41+2,COLUMN(Knoten!D41))),0)</f>
        <v>0</v>
      </c>
      <c r="F159" s="418">
        <f ca="1">IF(ISNUMBER(D41),INDIRECT("Knoten!"&amp;ADDRESS(D41+2,COLUMN(Knoten!D39))),0)</f>
        <v>0</v>
      </c>
      <c r="G159" s="420" t="str">
        <f t="shared" si="1"/>
        <v/>
      </c>
      <c r="H159" s="420" t="str">
        <f t="shared" si="2"/>
        <v/>
      </c>
      <c r="I159" s="420" t="str">
        <f t="shared" si="2"/>
        <v/>
      </c>
      <c r="J159" s="419" t="str">
        <f t="shared" si="3"/>
        <v/>
      </c>
      <c r="K159" s="418" t="str">
        <f t="shared" si="4"/>
        <v/>
      </c>
      <c r="L159" s="421">
        <f t="shared" si="8"/>
        <v>0</v>
      </c>
      <c r="M159" s="422">
        <f t="shared" si="8"/>
        <v>0</v>
      </c>
      <c r="N159" s="419">
        <f t="shared" si="6"/>
        <v>0</v>
      </c>
      <c r="O159" s="423">
        <f t="shared" si="6"/>
        <v>0</v>
      </c>
      <c r="P159" s="423">
        <f t="shared" si="6"/>
        <v>0</v>
      </c>
      <c r="Q159" s="423">
        <f t="shared" si="6"/>
        <v>0</v>
      </c>
    </row>
    <row r="160" spans="2:17" ht="13.15" thickBot="1" x14ac:dyDescent="0.4">
      <c r="B160" s="416">
        <v>39</v>
      </c>
      <c r="C160" s="417">
        <f t="shared" ca="1" si="0"/>
        <v>0</v>
      </c>
      <c r="D160" s="418">
        <f ca="1">IF(ISNUMBER(D42),INDIRECT("Knoten!"&amp;ADDRESS(D42+2,COLUMN(Knoten!C41))),0)</f>
        <v>0</v>
      </c>
      <c r="E160" s="419">
        <f ca="1">IF(ISNUMBER(C42),INDIRECT("Knoten!"&amp;ADDRESS(C42+2,COLUMN(Knoten!D42))),0)</f>
        <v>0</v>
      </c>
      <c r="F160" s="418">
        <f ca="1">IF(ISNUMBER(D42),INDIRECT("Knoten!"&amp;ADDRESS(D42+2,COLUMN(Knoten!D40))),0)</f>
        <v>0</v>
      </c>
      <c r="G160" s="420" t="str">
        <f t="shared" si="1"/>
        <v/>
      </c>
      <c r="H160" s="420" t="str">
        <f t="shared" si="2"/>
        <v/>
      </c>
      <c r="I160" s="420" t="str">
        <f t="shared" si="2"/>
        <v/>
      </c>
      <c r="J160" s="419" t="str">
        <f t="shared" si="3"/>
        <v/>
      </c>
      <c r="K160" s="418" t="str">
        <f t="shared" si="4"/>
        <v/>
      </c>
      <c r="L160" s="421">
        <f t="shared" si="8"/>
        <v>0</v>
      </c>
      <c r="M160" s="422">
        <f t="shared" si="8"/>
        <v>0</v>
      </c>
      <c r="N160" s="419">
        <f t="shared" si="6"/>
        <v>0</v>
      </c>
      <c r="O160" s="423">
        <f t="shared" si="6"/>
        <v>0</v>
      </c>
      <c r="P160" s="423">
        <f t="shared" si="6"/>
        <v>0</v>
      </c>
      <c r="Q160" s="423">
        <f t="shared" si="6"/>
        <v>0</v>
      </c>
    </row>
    <row r="161" spans="2:17" x14ac:dyDescent="0.35">
      <c r="B161" s="416">
        <v>40</v>
      </c>
      <c r="C161" s="417">
        <f t="shared" ca="1" si="0"/>
        <v>0</v>
      </c>
      <c r="D161" s="418">
        <f ca="1">IF(ISNUMBER(D43),INDIRECT("Knoten!"&amp;ADDRESS(D43+2,COLUMN(Knoten!C42))),0)</f>
        <v>0</v>
      </c>
      <c r="E161" s="419">
        <f ca="1">IF(ISNUMBER(C43),INDIRECT("Knoten!"&amp;ADDRESS(C43+2,COLUMN(Knoten!D43))),0)</f>
        <v>0</v>
      </c>
      <c r="F161" s="418">
        <f ca="1">IF(ISNUMBER(D43),INDIRECT("Knoten!"&amp;ADDRESS(D43+2,COLUMN(Knoten!D41))),0)</f>
        <v>0</v>
      </c>
      <c r="G161" s="420" t="str">
        <f t="shared" si="1"/>
        <v/>
      </c>
      <c r="H161" s="420" t="str">
        <f t="shared" si="2"/>
        <v/>
      </c>
      <c r="I161" s="420" t="str">
        <f t="shared" si="2"/>
        <v/>
      </c>
      <c r="J161" s="419" t="str">
        <f t="shared" si="3"/>
        <v/>
      </c>
      <c r="K161" s="418" t="str">
        <f t="shared" si="4"/>
        <v/>
      </c>
      <c r="L161" s="421">
        <f t="shared" si="8"/>
        <v>0</v>
      </c>
      <c r="M161" s="422">
        <f t="shared" si="8"/>
        <v>0</v>
      </c>
      <c r="N161" s="419">
        <f t="shared" si="6"/>
        <v>0</v>
      </c>
      <c r="O161" s="423">
        <f t="shared" si="6"/>
        <v>0</v>
      </c>
      <c r="P161" s="423">
        <f t="shared" si="6"/>
        <v>0</v>
      </c>
      <c r="Q161" s="423">
        <f t="shared" si="6"/>
        <v>0</v>
      </c>
    </row>
  </sheetData>
  <sheetProtection sheet="1" objects="1" scenarios="1" formatCells="0" formatColumns="0" formatRows="0"/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I44" sqref="I44"/>
    </sheetView>
  </sheetViews>
  <sheetFormatPr baseColWidth="10" defaultColWidth="11.46484375" defaultRowHeight="12.75" x14ac:dyDescent="0.35"/>
  <cols>
    <col min="1" max="1" width="6.53125" style="425" customWidth="1"/>
    <col min="2" max="2" width="9.46484375" style="425" customWidth="1"/>
    <col min="3" max="3" width="10" style="425" customWidth="1"/>
    <col min="4" max="4" width="12.46484375" style="425" bestFit="1" customWidth="1"/>
    <col min="5" max="5" width="6.53125" style="425" customWidth="1"/>
    <col min="6" max="6" width="12.46484375" style="425" bestFit="1" customWidth="1"/>
    <col min="7" max="7" width="12.46484375" style="425" customWidth="1"/>
    <col min="8" max="8" width="3.53125" style="425" customWidth="1"/>
    <col min="9" max="9" width="8" style="425" bestFit="1" customWidth="1"/>
    <col min="10" max="20" width="13" style="425" bestFit="1" customWidth="1"/>
    <col min="21" max="21" width="12.46484375" style="425" bestFit="1" customWidth="1"/>
    <col min="22" max="22" width="12.46484375" style="433" bestFit="1" customWidth="1"/>
    <col min="23" max="23" width="12.19921875" style="425" bestFit="1" customWidth="1"/>
    <col min="24" max="24" width="14.46484375" style="425" bestFit="1" customWidth="1"/>
    <col min="25" max="26" width="14.53125" style="425" bestFit="1" customWidth="1"/>
    <col min="27" max="27" width="11.53125" style="425" bestFit="1" customWidth="1"/>
    <col min="28" max="28" width="14.796875" style="425" bestFit="1" customWidth="1"/>
    <col min="29" max="30" width="11.53125" style="425" bestFit="1" customWidth="1"/>
    <col min="31" max="16384" width="11.46484375" style="425"/>
  </cols>
  <sheetData>
    <row r="1" spans="1:52" ht="13.15" thickBot="1" x14ac:dyDescent="0.4">
      <c r="A1" s="424"/>
      <c r="B1" s="424"/>
      <c r="C1" s="424"/>
      <c r="D1" s="424"/>
      <c r="E1" s="424"/>
      <c r="F1" s="424"/>
      <c r="G1" s="424"/>
      <c r="H1" s="424"/>
      <c r="U1" s="424"/>
      <c r="V1" s="426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</row>
    <row r="2" spans="1:52" ht="15.4" thickBot="1" x14ac:dyDescent="0.45">
      <c r="A2" s="424"/>
      <c r="B2" s="427" t="s">
        <v>117</v>
      </c>
      <c r="C2" s="424"/>
      <c r="D2" s="428" t="s">
        <v>118</v>
      </c>
      <c r="E2" s="429">
        <v>1</v>
      </c>
      <c r="F2" s="430" t="s">
        <v>119</v>
      </c>
      <c r="G2" s="429">
        <v>1</v>
      </c>
      <c r="H2" s="424"/>
      <c r="I2" s="431" t="s">
        <v>120</v>
      </c>
      <c r="J2" s="432"/>
    </row>
    <row r="3" spans="1:52" ht="13.15" thickBot="1" x14ac:dyDescent="0.4">
      <c r="A3" s="424"/>
      <c r="B3" s="424"/>
      <c r="C3" s="424"/>
      <c r="D3" s="424"/>
      <c r="E3" s="424"/>
      <c r="F3" s="424"/>
      <c r="G3" s="424"/>
      <c r="H3" s="424"/>
    </row>
    <row r="4" spans="1:52" ht="18.75" customHeight="1" thickBot="1" x14ac:dyDescent="0.4">
      <c r="A4" s="424"/>
      <c r="B4" s="424"/>
      <c r="C4" s="424"/>
      <c r="D4" s="424"/>
      <c r="E4" s="424"/>
      <c r="F4" s="424"/>
      <c r="G4" s="424"/>
      <c r="H4" s="424"/>
      <c r="I4" s="434" t="s">
        <v>73</v>
      </c>
      <c r="J4" s="435">
        <v>0</v>
      </c>
      <c r="K4" s="436">
        <v>0.1</v>
      </c>
      <c r="L4" s="436">
        <v>0.2</v>
      </c>
      <c r="M4" s="436">
        <v>0.3</v>
      </c>
      <c r="N4" s="436">
        <v>0.4</v>
      </c>
      <c r="O4" s="436">
        <v>0.5</v>
      </c>
      <c r="P4" s="436">
        <v>0.6</v>
      </c>
      <c r="Q4" s="436">
        <v>0.7</v>
      </c>
      <c r="R4" s="436">
        <v>0.8</v>
      </c>
      <c r="S4" s="436">
        <v>0.9</v>
      </c>
      <c r="T4" s="437">
        <v>1</v>
      </c>
      <c r="V4" s="438" t="s">
        <v>51</v>
      </c>
    </row>
    <row r="5" spans="1:52" x14ac:dyDescent="0.35">
      <c r="A5" s="424"/>
      <c r="B5" s="424"/>
      <c r="C5" s="439" t="s">
        <v>121</v>
      </c>
      <c r="D5" s="440">
        <f>MAX(MAX(J5:T44),ABS(MIN(J5:T44)))</f>
        <v>304.61239190555864</v>
      </c>
      <c r="E5" s="424"/>
      <c r="F5" s="424"/>
      <c r="G5" s="424"/>
      <c r="H5" s="424"/>
      <c r="I5" s="441">
        <v>1</v>
      </c>
      <c r="J5" s="442">
        <v>0</v>
      </c>
      <c r="K5" s="443">
        <v>0</v>
      </c>
      <c r="L5" s="443">
        <v>0</v>
      </c>
      <c r="M5" s="443">
        <v>0</v>
      </c>
      <c r="N5" s="443">
        <v>0</v>
      </c>
      <c r="O5" s="443">
        <v>0</v>
      </c>
      <c r="P5" s="443">
        <v>0</v>
      </c>
      <c r="Q5" s="443">
        <v>0</v>
      </c>
      <c r="R5" s="443">
        <v>0</v>
      </c>
      <c r="S5" s="443">
        <v>0</v>
      </c>
      <c r="T5" s="444">
        <v>0</v>
      </c>
      <c r="V5" s="445">
        <v>2.85</v>
      </c>
    </row>
    <row r="6" spans="1:52" x14ac:dyDescent="0.35">
      <c r="A6" s="424"/>
      <c r="B6" s="424"/>
      <c r="C6" s="446" t="s">
        <v>37</v>
      </c>
      <c r="D6" s="447">
        <f>IF(D9&lt;0.000001,1,D7/D9)</f>
        <v>1.7000797046029997E-2</v>
      </c>
      <c r="E6" s="424"/>
      <c r="F6" s="424"/>
      <c r="G6" s="424"/>
      <c r="H6" s="424"/>
      <c r="I6" s="448">
        <v>2</v>
      </c>
      <c r="J6" s="449">
        <v>0</v>
      </c>
      <c r="K6" s="450">
        <v>0</v>
      </c>
      <c r="L6" s="450">
        <v>0</v>
      </c>
      <c r="M6" s="450">
        <v>0</v>
      </c>
      <c r="N6" s="450">
        <v>0</v>
      </c>
      <c r="O6" s="450">
        <v>0</v>
      </c>
      <c r="P6" s="450">
        <v>0</v>
      </c>
      <c r="Q6" s="450">
        <v>0</v>
      </c>
      <c r="R6" s="450">
        <v>0</v>
      </c>
      <c r="S6" s="450">
        <v>0</v>
      </c>
      <c r="T6" s="451">
        <v>0</v>
      </c>
      <c r="V6" s="452">
        <v>3.4508170038970478</v>
      </c>
    </row>
    <row r="7" spans="1:52" x14ac:dyDescent="0.35">
      <c r="A7" s="424"/>
      <c r="B7" s="424"/>
      <c r="C7" s="446" t="s">
        <v>36</v>
      </c>
      <c r="D7" s="447">
        <v>0.3</v>
      </c>
      <c r="E7" s="424"/>
      <c r="F7" s="424"/>
      <c r="G7" s="424"/>
      <c r="H7" s="424"/>
      <c r="I7" s="448">
        <v>3</v>
      </c>
      <c r="J7" s="449">
        <v>4.8518948499145251</v>
      </c>
      <c r="K7" s="450">
        <v>4.8518948499145251</v>
      </c>
      <c r="L7" s="450">
        <v>4.8518948499145251</v>
      </c>
      <c r="M7" s="450">
        <v>4.8518948499145251</v>
      </c>
      <c r="N7" s="450">
        <v>4.8518948499145251</v>
      </c>
      <c r="O7" s="450">
        <v>4.8518948499145251</v>
      </c>
      <c r="P7" s="450">
        <v>4.8518948499145251</v>
      </c>
      <c r="Q7" s="450">
        <v>4.8518948499145251</v>
      </c>
      <c r="R7" s="450">
        <v>4.8518948499145251</v>
      </c>
      <c r="S7" s="450">
        <v>4.8518948499145251</v>
      </c>
      <c r="T7" s="451">
        <v>4.8518948499145251</v>
      </c>
      <c r="V7" s="452">
        <v>5.6603886792339626</v>
      </c>
    </row>
    <row r="8" spans="1:52" x14ac:dyDescent="0.35">
      <c r="A8" s="424"/>
      <c r="B8" s="424"/>
      <c r="C8" s="446" t="s">
        <v>122</v>
      </c>
      <c r="D8" s="447">
        <f>PlotData!CB5</f>
        <v>17.262178174973847</v>
      </c>
      <c r="E8" s="424"/>
      <c r="F8" s="424"/>
      <c r="G8" s="424"/>
      <c r="H8" s="424"/>
      <c r="I8" s="448">
        <v>4</v>
      </c>
      <c r="J8" s="449">
        <v>304.61239190555864</v>
      </c>
      <c r="K8" s="450">
        <v>304.61239190555864</v>
      </c>
      <c r="L8" s="450">
        <v>304.61239190555864</v>
      </c>
      <c r="M8" s="450">
        <v>304.61239190555864</v>
      </c>
      <c r="N8" s="450">
        <v>304.61239190555864</v>
      </c>
      <c r="O8" s="450">
        <v>304.61239190555864</v>
      </c>
      <c r="P8" s="450">
        <v>304.61239190555864</v>
      </c>
      <c r="Q8" s="450">
        <v>304.61239190555864</v>
      </c>
      <c r="R8" s="450">
        <v>304.61239190555864</v>
      </c>
      <c r="S8" s="450">
        <v>304.61239190555864</v>
      </c>
      <c r="T8" s="451">
        <v>304.61239190555864</v>
      </c>
      <c r="V8" s="452">
        <v>5.6603886792339617</v>
      </c>
    </row>
    <row r="9" spans="1:52" ht="13.15" thickBot="1" x14ac:dyDescent="0.4">
      <c r="A9" s="424"/>
      <c r="B9" s="424"/>
      <c r="C9" s="453" t="s">
        <v>123</v>
      </c>
      <c r="D9" s="454">
        <f>D5/MAX(0.0001,D8)</f>
        <v>17.64623147889737</v>
      </c>
      <c r="E9" s="424"/>
      <c r="F9" s="424"/>
      <c r="G9" s="424"/>
      <c r="H9" s="424"/>
      <c r="I9" s="448">
        <v>5</v>
      </c>
      <c r="J9" s="449">
        <v>0</v>
      </c>
      <c r="K9" s="450">
        <v>0</v>
      </c>
      <c r="L9" s="450">
        <v>0</v>
      </c>
      <c r="M9" s="450">
        <v>0</v>
      </c>
      <c r="N9" s="450">
        <v>0</v>
      </c>
      <c r="O9" s="450">
        <v>0</v>
      </c>
      <c r="P9" s="450">
        <v>0</v>
      </c>
      <c r="Q9" s="450">
        <v>0</v>
      </c>
      <c r="R9" s="450">
        <v>0</v>
      </c>
      <c r="S9" s="450">
        <v>0</v>
      </c>
      <c r="T9" s="451">
        <v>0</v>
      </c>
      <c r="V9" s="452">
        <v>1.3717560098034927</v>
      </c>
    </row>
    <row r="10" spans="1:52" x14ac:dyDescent="0.35">
      <c r="A10" s="424"/>
      <c r="B10" s="424"/>
      <c r="C10" s="424"/>
      <c r="D10" s="424"/>
      <c r="E10" s="424"/>
      <c r="F10" s="424"/>
      <c r="G10" s="424"/>
      <c r="H10" s="424"/>
      <c r="I10" s="448">
        <v>6</v>
      </c>
      <c r="J10" s="449">
        <v>0</v>
      </c>
      <c r="K10" s="450">
        <v>0</v>
      </c>
      <c r="L10" s="450">
        <v>0</v>
      </c>
      <c r="M10" s="450">
        <v>0</v>
      </c>
      <c r="N10" s="450">
        <v>0</v>
      </c>
      <c r="O10" s="450">
        <v>0</v>
      </c>
      <c r="P10" s="450">
        <v>0</v>
      </c>
      <c r="Q10" s="450">
        <v>0</v>
      </c>
      <c r="R10" s="450">
        <v>0</v>
      </c>
      <c r="S10" s="450">
        <v>0</v>
      </c>
      <c r="T10" s="451">
        <v>0</v>
      </c>
      <c r="V10" s="452">
        <v>0.87487166490920254</v>
      </c>
    </row>
    <row r="11" spans="1:52" x14ac:dyDescent="0.35">
      <c r="A11" s="424"/>
      <c r="B11" s="424"/>
      <c r="C11" s="424"/>
      <c r="D11" s="424"/>
      <c r="E11" s="424"/>
      <c r="F11" s="424"/>
      <c r="G11" s="424"/>
      <c r="H11" s="424"/>
      <c r="I11" s="448">
        <v>7</v>
      </c>
      <c r="J11" s="449">
        <v>0</v>
      </c>
      <c r="K11" s="450">
        <v>0</v>
      </c>
      <c r="L11" s="450">
        <v>0</v>
      </c>
      <c r="M11" s="450">
        <v>0</v>
      </c>
      <c r="N11" s="450">
        <v>0</v>
      </c>
      <c r="O11" s="450">
        <v>0</v>
      </c>
      <c r="P11" s="450">
        <v>0</v>
      </c>
      <c r="Q11" s="450">
        <v>0</v>
      </c>
      <c r="R11" s="450">
        <v>0</v>
      </c>
      <c r="S11" s="450">
        <v>0</v>
      </c>
      <c r="T11" s="451">
        <v>0</v>
      </c>
      <c r="V11" s="452">
        <v>0.86032336707658952</v>
      </c>
    </row>
    <row r="12" spans="1:52" x14ac:dyDescent="0.35">
      <c r="A12" s="424"/>
      <c r="B12" s="424"/>
      <c r="C12" s="424"/>
      <c r="D12" s="424"/>
      <c r="E12" s="424"/>
      <c r="F12" s="424"/>
      <c r="G12" s="424"/>
      <c r="H12" s="424"/>
      <c r="I12" s="448">
        <v>8</v>
      </c>
      <c r="J12" s="449">
        <v>0</v>
      </c>
      <c r="K12" s="450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0">
        <v>0</v>
      </c>
      <c r="S12" s="450">
        <v>0</v>
      </c>
      <c r="T12" s="451">
        <v>0</v>
      </c>
      <c r="V12" s="452">
        <v>1.3491830099675137</v>
      </c>
    </row>
    <row r="13" spans="1:52" x14ac:dyDescent="0.35">
      <c r="A13" s="424"/>
      <c r="B13" s="424"/>
      <c r="C13" s="424"/>
      <c r="D13" s="424"/>
      <c r="E13" s="424"/>
      <c r="F13" s="424"/>
      <c r="G13" s="424"/>
      <c r="H13" s="424"/>
      <c r="I13" s="448">
        <v>9</v>
      </c>
      <c r="J13" s="449">
        <v>0</v>
      </c>
      <c r="K13" s="450">
        <v>0</v>
      </c>
      <c r="L13" s="450">
        <v>0</v>
      </c>
      <c r="M13" s="450">
        <v>0</v>
      </c>
      <c r="N13" s="450">
        <v>0</v>
      </c>
      <c r="O13" s="450">
        <v>0</v>
      </c>
      <c r="P13" s="450">
        <v>0</v>
      </c>
      <c r="Q13" s="450">
        <v>0</v>
      </c>
      <c r="R13" s="450">
        <v>0</v>
      </c>
      <c r="S13" s="450">
        <v>0</v>
      </c>
      <c r="T13" s="451">
        <v>0</v>
      </c>
      <c r="V13" s="452">
        <v>3.4282440039227073</v>
      </c>
    </row>
    <row r="14" spans="1:52" x14ac:dyDescent="0.35">
      <c r="A14" s="424"/>
      <c r="B14" s="424"/>
      <c r="C14" s="424"/>
      <c r="D14" s="424"/>
      <c r="E14" s="424"/>
      <c r="F14" s="424"/>
      <c r="G14" s="424"/>
      <c r="H14" s="424"/>
      <c r="I14" s="448">
        <v>10</v>
      </c>
      <c r="J14" s="449">
        <v>0</v>
      </c>
      <c r="K14" s="450">
        <v>0</v>
      </c>
      <c r="L14" s="450">
        <v>0</v>
      </c>
      <c r="M14" s="450">
        <v>0</v>
      </c>
      <c r="N14" s="450">
        <v>0</v>
      </c>
      <c r="O14" s="450">
        <v>0</v>
      </c>
      <c r="P14" s="450">
        <v>0</v>
      </c>
      <c r="Q14" s="450">
        <v>0</v>
      </c>
      <c r="R14" s="450">
        <v>0</v>
      </c>
      <c r="S14" s="450">
        <v>0</v>
      </c>
      <c r="T14" s="451">
        <v>0</v>
      </c>
      <c r="V14" s="452">
        <v>4.8566442972551531</v>
      </c>
    </row>
    <row r="15" spans="1:52" x14ac:dyDescent="0.35">
      <c r="A15" s="424"/>
      <c r="B15" s="424"/>
      <c r="C15" s="424"/>
      <c r="D15" s="424"/>
      <c r="E15" s="424"/>
      <c r="F15" s="424"/>
      <c r="G15" s="424"/>
      <c r="H15" s="424"/>
      <c r="I15" s="448">
        <v>11</v>
      </c>
      <c r="J15" s="449">
        <v>0</v>
      </c>
      <c r="K15" s="450">
        <v>0</v>
      </c>
      <c r="L15" s="450">
        <v>0</v>
      </c>
      <c r="M15" s="450">
        <v>0</v>
      </c>
      <c r="N15" s="450">
        <v>0</v>
      </c>
      <c r="O15" s="450">
        <v>0</v>
      </c>
      <c r="P15" s="450">
        <v>0</v>
      </c>
      <c r="Q15" s="450">
        <v>0</v>
      </c>
      <c r="R15" s="450">
        <v>0</v>
      </c>
      <c r="S15" s="450">
        <v>0</v>
      </c>
      <c r="T15" s="451">
        <v>0</v>
      </c>
      <c r="V15" s="452">
        <v>4.8711792921158219</v>
      </c>
    </row>
    <row r="16" spans="1:52" x14ac:dyDescent="0.35">
      <c r="A16" s="424"/>
      <c r="B16" s="424"/>
      <c r="C16" s="424"/>
      <c r="D16" s="424"/>
      <c r="E16" s="424"/>
      <c r="F16" s="424"/>
      <c r="G16" s="424"/>
      <c r="H16" s="424"/>
      <c r="I16" s="448">
        <v>12</v>
      </c>
      <c r="J16" s="449">
        <v>0</v>
      </c>
      <c r="K16" s="450">
        <v>0</v>
      </c>
      <c r="L16" s="450">
        <v>0</v>
      </c>
      <c r="M16" s="450">
        <v>0</v>
      </c>
      <c r="N16" s="450">
        <v>0</v>
      </c>
      <c r="O16" s="450">
        <v>0</v>
      </c>
      <c r="P16" s="450">
        <v>0</v>
      </c>
      <c r="Q16" s="450">
        <v>0</v>
      </c>
      <c r="R16" s="450">
        <v>0</v>
      </c>
      <c r="S16" s="450">
        <v>0</v>
      </c>
      <c r="T16" s="451">
        <v>0</v>
      </c>
      <c r="V16" s="452">
        <v>2.0109694410691574</v>
      </c>
    </row>
    <row r="17" spans="1:24" x14ac:dyDescent="0.35">
      <c r="A17" s="424"/>
      <c r="B17" s="424"/>
      <c r="C17" s="424"/>
      <c r="D17" s="424"/>
      <c r="E17" s="424"/>
      <c r="F17" s="424"/>
      <c r="G17" s="424"/>
      <c r="H17" s="424"/>
      <c r="I17" s="448">
        <v>13</v>
      </c>
      <c r="J17" s="449">
        <v>0</v>
      </c>
      <c r="K17" s="450">
        <v>0</v>
      </c>
      <c r="L17" s="450">
        <v>0</v>
      </c>
      <c r="M17" s="450">
        <v>0</v>
      </c>
      <c r="N17" s="450">
        <v>0</v>
      </c>
      <c r="O17" s="450">
        <v>0</v>
      </c>
      <c r="P17" s="450">
        <v>0</v>
      </c>
      <c r="Q17" s="450">
        <v>0</v>
      </c>
      <c r="R17" s="450">
        <v>0</v>
      </c>
      <c r="S17" s="450">
        <v>0</v>
      </c>
      <c r="T17" s="451">
        <v>0</v>
      </c>
      <c r="V17" s="452">
        <v>2.0380186571987018</v>
      </c>
    </row>
    <row r="18" spans="1:24" x14ac:dyDescent="0.35">
      <c r="A18" s="424"/>
      <c r="B18" s="424"/>
      <c r="C18" s="424"/>
      <c r="D18" s="424"/>
      <c r="E18" s="424"/>
      <c r="F18" s="424"/>
      <c r="G18" s="424"/>
      <c r="H18" s="424"/>
      <c r="I18" s="448">
        <v>14</v>
      </c>
      <c r="J18" s="449">
        <v>0</v>
      </c>
      <c r="K18" s="450">
        <v>0</v>
      </c>
      <c r="L18" s="450">
        <v>0</v>
      </c>
      <c r="M18" s="450">
        <v>0</v>
      </c>
      <c r="N18" s="450">
        <v>0</v>
      </c>
      <c r="O18" s="450">
        <v>0</v>
      </c>
      <c r="P18" s="450">
        <v>0</v>
      </c>
      <c r="Q18" s="450">
        <v>0</v>
      </c>
      <c r="R18" s="450">
        <v>0</v>
      </c>
      <c r="S18" s="450">
        <v>0</v>
      </c>
      <c r="T18" s="451">
        <v>0</v>
      </c>
      <c r="V18" s="452">
        <v>0.60000000000000053</v>
      </c>
    </row>
    <row r="19" spans="1:24" x14ac:dyDescent="0.35">
      <c r="A19" s="424"/>
      <c r="B19" s="424"/>
      <c r="C19" s="424"/>
      <c r="D19" s="424"/>
      <c r="E19" s="424"/>
      <c r="F19" s="424"/>
      <c r="G19" s="424"/>
      <c r="H19" s="424"/>
      <c r="I19" s="448">
        <v>15</v>
      </c>
      <c r="J19" s="449">
        <v>0</v>
      </c>
      <c r="K19" s="450">
        <v>0</v>
      </c>
      <c r="L19" s="450">
        <v>0</v>
      </c>
      <c r="M19" s="450">
        <v>0</v>
      </c>
      <c r="N19" s="450">
        <v>0</v>
      </c>
      <c r="O19" s="450">
        <v>0</v>
      </c>
      <c r="P19" s="450">
        <v>0</v>
      </c>
      <c r="Q19" s="450">
        <v>0</v>
      </c>
      <c r="R19" s="450">
        <v>0</v>
      </c>
      <c r="S19" s="450">
        <v>0</v>
      </c>
      <c r="T19" s="451">
        <v>0</v>
      </c>
      <c r="V19" s="452">
        <v>1.5</v>
      </c>
    </row>
    <row r="20" spans="1:24" x14ac:dyDescent="0.35">
      <c r="A20" s="424"/>
      <c r="B20" s="424"/>
      <c r="C20" s="424"/>
      <c r="D20" s="424"/>
      <c r="E20" s="424"/>
      <c r="F20" s="424"/>
      <c r="G20" s="424"/>
      <c r="H20" s="424"/>
      <c r="I20" s="448">
        <v>16</v>
      </c>
      <c r="J20" s="449">
        <v>0</v>
      </c>
      <c r="K20" s="450">
        <v>0</v>
      </c>
      <c r="L20" s="450">
        <v>0</v>
      </c>
      <c r="M20" s="450">
        <v>0</v>
      </c>
      <c r="N20" s="450">
        <v>0</v>
      </c>
      <c r="O20" s="450">
        <v>0</v>
      </c>
      <c r="P20" s="450">
        <v>0</v>
      </c>
      <c r="Q20" s="450">
        <v>0</v>
      </c>
      <c r="R20" s="450">
        <v>0</v>
      </c>
      <c r="S20" s="450">
        <v>0</v>
      </c>
      <c r="T20" s="451">
        <v>0</v>
      </c>
      <c r="V20" s="452">
        <v>0.59999999999999964</v>
      </c>
    </row>
    <row r="21" spans="1:24" x14ac:dyDescent="0.35">
      <c r="A21" s="424"/>
      <c r="B21" s="424"/>
      <c r="C21" s="424"/>
      <c r="D21" s="424"/>
      <c r="E21" s="424"/>
      <c r="F21" s="424"/>
      <c r="G21" s="424"/>
      <c r="H21" s="424"/>
      <c r="I21" s="448">
        <v>17</v>
      </c>
      <c r="J21" s="449">
        <v>0</v>
      </c>
      <c r="K21" s="450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1">
        <v>0</v>
      </c>
      <c r="V21" s="452">
        <v>1.9729419656948859</v>
      </c>
    </row>
    <row r="22" spans="1:24" x14ac:dyDescent="0.35">
      <c r="A22" s="424"/>
      <c r="B22" s="424"/>
      <c r="C22" s="424"/>
      <c r="D22" s="424"/>
      <c r="E22" s="424"/>
      <c r="F22" s="424"/>
      <c r="G22" s="424"/>
      <c r="H22" s="455"/>
      <c r="I22" s="448">
        <v>18</v>
      </c>
      <c r="J22" s="449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50">
        <v>0</v>
      </c>
      <c r="R22" s="450">
        <v>0</v>
      </c>
      <c r="S22" s="450">
        <v>0</v>
      </c>
      <c r="T22" s="451">
        <v>0</v>
      </c>
      <c r="V22" s="452">
        <v>1.9729419656948861</v>
      </c>
      <c r="X22" s="424"/>
    </row>
    <row r="23" spans="1:24" x14ac:dyDescent="0.35">
      <c r="A23" s="424"/>
      <c r="B23" s="424"/>
      <c r="C23" s="424"/>
      <c r="D23" s="424"/>
      <c r="E23" s="424"/>
      <c r="F23" s="424"/>
      <c r="G23" s="424"/>
      <c r="H23" s="424"/>
      <c r="I23" s="448">
        <v>19</v>
      </c>
      <c r="J23" s="449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50">
        <v>0</v>
      </c>
      <c r="R23" s="450">
        <v>0</v>
      </c>
      <c r="S23" s="450">
        <v>0</v>
      </c>
      <c r="T23" s="451">
        <v>0</v>
      </c>
      <c r="V23" s="452">
        <v>3.4500000000000011</v>
      </c>
      <c r="X23" s="424"/>
    </row>
    <row r="24" spans="1:24" x14ac:dyDescent="0.35">
      <c r="A24" s="424"/>
      <c r="B24" s="424"/>
      <c r="C24" s="424"/>
      <c r="D24" s="424"/>
      <c r="E24" s="424"/>
      <c r="F24" s="424"/>
      <c r="G24" s="424"/>
      <c r="H24" s="424"/>
      <c r="I24" s="448">
        <v>20</v>
      </c>
      <c r="J24" s="449">
        <v>0</v>
      </c>
      <c r="K24" s="450">
        <v>0</v>
      </c>
      <c r="L24" s="450">
        <v>0</v>
      </c>
      <c r="M24" s="450">
        <v>0</v>
      </c>
      <c r="N24" s="450">
        <v>0</v>
      </c>
      <c r="O24" s="450">
        <v>0</v>
      </c>
      <c r="P24" s="450">
        <v>0</v>
      </c>
      <c r="Q24" s="450">
        <v>0</v>
      </c>
      <c r="R24" s="450">
        <v>0</v>
      </c>
      <c r="S24" s="450">
        <v>0</v>
      </c>
      <c r="T24" s="451">
        <v>0</v>
      </c>
      <c r="V24" s="452">
        <v>1.0204706613249594</v>
      </c>
      <c r="X24" s="424"/>
    </row>
    <row r="25" spans="1:24" x14ac:dyDescent="0.35">
      <c r="A25" s="424"/>
      <c r="B25" s="424"/>
      <c r="C25" s="424"/>
      <c r="D25" s="424"/>
      <c r="E25" s="424"/>
      <c r="F25" s="424"/>
      <c r="G25" s="424"/>
      <c r="H25" s="424"/>
      <c r="I25" s="448">
        <v>21</v>
      </c>
      <c r="J25" s="449">
        <v>0</v>
      </c>
      <c r="K25" s="450">
        <v>0</v>
      </c>
      <c r="L25" s="450">
        <v>0</v>
      </c>
      <c r="M25" s="450">
        <v>0</v>
      </c>
      <c r="N25" s="450">
        <v>0</v>
      </c>
      <c r="O25" s="450">
        <v>0</v>
      </c>
      <c r="P25" s="450">
        <v>0</v>
      </c>
      <c r="Q25" s="450">
        <v>0</v>
      </c>
      <c r="R25" s="450">
        <v>0</v>
      </c>
      <c r="S25" s="450">
        <v>0</v>
      </c>
      <c r="T25" s="451">
        <v>0</v>
      </c>
      <c r="V25" s="452">
        <v>3.4508170038970469</v>
      </c>
      <c r="X25" s="424"/>
    </row>
    <row r="26" spans="1:24" x14ac:dyDescent="0.35">
      <c r="I26" s="448">
        <v>22</v>
      </c>
      <c r="J26" s="449">
        <v>2.9825064635620679E-3</v>
      </c>
      <c r="K26" s="450">
        <v>2.9825064635620679E-3</v>
      </c>
      <c r="L26" s="450">
        <v>2.9825064635620679E-3</v>
      </c>
      <c r="M26" s="450">
        <v>2.9825064635620679E-3</v>
      </c>
      <c r="N26" s="450">
        <v>2.9825064635620679E-3</v>
      </c>
      <c r="O26" s="450">
        <v>2.9825064635620679E-3</v>
      </c>
      <c r="P26" s="450">
        <v>2.9825064635620679E-3</v>
      </c>
      <c r="Q26" s="450">
        <v>2.9825064635620679E-3</v>
      </c>
      <c r="R26" s="450">
        <v>2.9825064635620679E-3</v>
      </c>
      <c r="S26" s="450">
        <v>2.9825064635620679E-3</v>
      </c>
      <c r="T26" s="451">
        <v>2.9825064635620679E-3</v>
      </c>
      <c r="V26" s="452">
        <v>5.6603895272322911</v>
      </c>
      <c r="X26" s="424"/>
    </row>
    <row r="27" spans="1:24" x14ac:dyDescent="0.35">
      <c r="I27" s="448">
        <v>23</v>
      </c>
      <c r="J27" s="449">
        <v>-3.0254578982873287E-3</v>
      </c>
      <c r="K27" s="450">
        <v>-3.0254578982873287E-3</v>
      </c>
      <c r="L27" s="450">
        <v>-3.0254578982873287E-3</v>
      </c>
      <c r="M27" s="450">
        <v>-3.0254578982873287E-3</v>
      </c>
      <c r="N27" s="450">
        <v>-3.0254578982873287E-3</v>
      </c>
      <c r="O27" s="450">
        <v>-3.0254578982873287E-3</v>
      </c>
      <c r="P27" s="450">
        <v>-3.0254578982873287E-3</v>
      </c>
      <c r="Q27" s="450">
        <v>-3.0254578982873287E-3</v>
      </c>
      <c r="R27" s="450">
        <v>-3.0254578982873287E-3</v>
      </c>
      <c r="S27" s="450">
        <v>-3.0254578982873287E-3</v>
      </c>
      <c r="T27" s="451">
        <v>-3.0254578982873287E-3</v>
      </c>
      <c r="U27" s="455"/>
      <c r="V27" s="452">
        <v>5.660387831235683</v>
      </c>
      <c r="X27" s="424"/>
    </row>
    <row r="28" spans="1:24" x14ac:dyDescent="0.35">
      <c r="I28" s="448">
        <v>24</v>
      </c>
      <c r="J28" s="449">
        <v>0</v>
      </c>
      <c r="K28" s="450">
        <v>0</v>
      </c>
      <c r="L28" s="450">
        <v>0</v>
      </c>
      <c r="M28" s="450">
        <v>0</v>
      </c>
      <c r="N28" s="450">
        <v>0</v>
      </c>
      <c r="O28" s="450">
        <v>0</v>
      </c>
      <c r="P28" s="450">
        <v>0</v>
      </c>
      <c r="Q28" s="450">
        <v>0</v>
      </c>
      <c r="R28" s="450">
        <v>0</v>
      </c>
      <c r="S28" s="450">
        <v>0</v>
      </c>
      <c r="T28" s="451">
        <v>0</v>
      </c>
      <c r="U28" s="455"/>
      <c r="V28" s="452">
        <v>1.3717550098035001</v>
      </c>
      <c r="X28" s="424"/>
    </row>
    <row r="29" spans="1:24" x14ac:dyDescent="0.35">
      <c r="I29" s="448">
        <v>25</v>
      </c>
      <c r="J29" s="449">
        <v>0</v>
      </c>
      <c r="K29" s="450">
        <v>0</v>
      </c>
      <c r="L29" s="450">
        <v>0</v>
      </c>
      <c r="M29" s="450">
        <v>0</v>
      </c>
      <c r="N29" s="450">
        <v>0</v>
      </c>
      <c r="O29" s="450">
        <v>0</v>
      </c>
      <c r="P29" s="450">
        <v>0</v>
      </c>
      <c r="Q29" s="450">
        <v>0</v>
      </c>
      <c r="R29" s="450">
        <v>0</v>
      </c>
      <c r="S29" s="450">
        <v>0</v>
      </c>
      <c r="T29" s="451">
        <v>0</v>
      </c>
      <c r="U29" s="455"/>
      <c r="V29" s="452">
        <v>0.87487166490920221</v>
      </c>
      <c r="X29" s="424"/>
    </row>
    <row r="30" spans="1:24" x14ac:dyDescent="0.35">
      <c r="I30" s="448">
        <v>26</v>
      </c>
      <c r="J30" s="449">
        <v>0</v>
      </c>
      <c r="K30" s="450">
        <v>0</v>
      </c>
      <c r="L30" s="450">
        <v>0</v>
      </c>
      <c r="M30" s="450">
        <v>0</v>
      </c>
      <c r="N30" s="450">
        <v>0</v>
      </c>
      <c r="O30" s="450">
        <v>0</v>
      </c>
      <c r="P30" s="450">
        <v>0</v>
      </c>
      <c r="Q30" s="450">
        <v>0</v>
      </c>
      <c r="R30" s="450">
        <v>0</v>
      </c>
      <c r="S30" s="450">
        <v>0</v>
      </c>
      <c r="T30" s="451">
        <v>0</v>
      </c>
      <c r="U30" s="455"/>
      <c r="V30" s="452">
        <v>0.86032325781940855</v>
      </c>
      <c r="X30" s="424"/>
    </row>
    <row r="31" spans="1:24" x14ac:dyDescent="0.35">
      <c r="I31" s="448">
        <v>27</v>
      </c>
      <c r="J31" s="449">
        <v>0</v>
      </c>
      <c r="K31" s="450">
        <v>0</v>
      </c>
      <c r="L31" s="450">
        <v>0</v>
      </c>
      <c r="M31" s="450">
        <v>0</v>
      </c>
      <c r="N31" s="450">
        <v>0</v>
      </c>
      <c r="O31" s="450">
        <v>0</v>
      </c>
      <c r="P31" s="450">
        <v>0</v>
      </c>
      <c r="Q31" s="450">
        <v>0</v>
      </c>
      <c r="R31" s="450">
        <v>0</v>
      </c>
      <c r="S31" s="450">
        <v>0</v>
      </c>
      <c r="T31" s="451">
        <v>0</v>
      </c>
      <c r="U31" s="455"/>
      <c r="V31" s="452">
        <v>1.3491840099675074</v>
      </c>
    </row>
    <row r="32" spans="1:24" x14ac:dyDescent="0.35">
      <c r="I32" s="448">
        <v>28</v>
      </c>
      <c r="J32" s="449">
        <v>0</v>
      </c>
      <c r="K32" s="450">
        <v>0</v>
      </c>
      <c r="L32" s="450">
        <v>0</v>
      </c>
      <c r="M32" s="450">
        <v>0</v>
      </c>
      <c r="N32" s="450">
        <v>0</v>
      </c>
      <c r="O32" s="450">
        <v>0</v>
      </c>
      <c r="P32" s="450">
        <v>0</v>
      </c>
      <c r="Q32" s="450">
        <v>0</v>
      </c>
      <c r="R32" s="450">
        <v>0</v>
      </c>
      <c r="S32" s="450">
        <v>0</v>
      </c>
      <c r="T32" s="451">
        <v>0</v>
      </c>
      <c r="U32" s="455"/>
      <c r="V32" s="452">
        <v>3.4282440039227073</v>
      </c>
    </row>
    <row r="33" spans="2:22" x14ac:dyDescent="0.35">
      <c r="I33" s="448">
        <v>29</v>
      </c>
      <c r="J33" s="449">
        <v>0</v>
      </c>
      <c r="K33" s="450">
        <v>0</v>
      </c>
      <c r="L33" s="450">
        <v>0</v>
      </c>
      <c r="M33" s="450">
        <v>0</v>
      </c>
      <c r="N33" s="450">
        <v>0</v>
      </c>
      <c r="O33" s="450">
        <v>0</v>
      </c>
      <c r="P33" s="450">
        <v>0</v>
      </c>
      <c r="Q33" s="450">
        <v>0</v>
      </c>
      <c r="R33" s="450">
        <v>0</v>
      </c>
      <c r="S33" s="450">
        <v>0</v>
      </c>
      <c r="T33" s="451">
        <v>0</v>
      </c>
      <c r="U33" s="455"/>
      <c r="V33" s="452">
        <v>4.856644403161714</v>
      </c>
    </row>
    <row r="34" spans="2:22" x14ac:dyDescent="0.35">
      <c r="I34" s="448">
        <v>30</v>
      </c>
      <c r="J34" s="449">
        <v>0</v>
      </c>
      <c r="K34" s="450">
        <v>0</v>
      </c>
      <c r="L34" s="450">
        <v>0</v>
      </c>
      <c r="M34" s="450">
        <v>0</v>
      </c>
      <c r="N34" s="450">
        <v>0</v>
      </c>
      <c r="O34" s="450">
        <v>0</v>
      </c>
      <c r="P34" s="450">
        <v>0</v>
      </c>
      <c r="Q34" s="450">
        <v>0</v>
      </c>
      <c r="R34" s="450">
        <v>0</v>
      </c>
      <c r="S34" s="450">
        <v>0</v>
      </c>
      <c r="T34" s="451">
        <v>0</v>
      </c>
      <c r="V34" s="452">
        <v>4.871179188239025</v>
      </c>
    </row>
    <row r="35" spans="2:22" ht="13.15" thickBot="1" x14ac:dyDescent="0.4">
      <c r="I35" s="448">
        <v>31</v>
      </c>
      <c r="J35" s="449">
        <v>0</v>
      </c>
      <c r="K35" s="450">
        <v>0</v>
      </c>
      <c r="L35" s="450">
        <v>0</v>
      </c>
      <c r="M35" s="450">
        <v>0</v>
      </c>
      <c r="N35" s="450">
        <v>0</v>
      </c>
      <c r="O35" s="450">
        <v>0</v>
      </c>
      <c r="P35" s="450">
        <v>0</v>
      </c>
      <c r="Q35" s="450">
        <v>0</v>
      </c>
      <c r="R35" s="450">
        <v>0</v>
      </c>
      <c r="S35" s="450">
        <v>0</v>
      </c>
      <c r="T35" s="451">
        <v>0</v>
      </c>
      <c r="V35" s="452">
        <v>2.0109694410691574</v>
      </c>
    </row>
    <row r="36" spans="2:22" x14ac:dyDescent="0.35">
      <c r="B36" s="424"/>
      <c r="C36" s="424"/>
      <c r="D36" s="456" t="s">
        <v>124</v>
      </c>
      <c r="E36" s="457">
        <f>MAX(J5:T44)</f>
        <v>304.61239190555864</v>
      </c>
      <c r="I36" s="448">
        <v>32</v>
      </c>
      <c r="J36" s="449">
        <v>0</v>
      </c>
      <c r="K36" s="450">
        <v>0</v>
      </c>
      <c r="L36" s="450">
        <v>0</v>
      </c>
      <c r="M36" s="450">
        <v>0</v>
      </c>
      <c r="N36" s="450">
        <v>0</v>
      </c>
      <c r="O36" s="450">
        <v>0</v>
      </c>
      <c r="P36" s="450">
        <v>0</v>
      </c>
      <c r="Q36" s="450">
        <v>0</v>
      </c>
      <c r="R36" s="450">
        <v>0</v>
      </c>
      <c r="S36" s="450">
        <v>0</v>
      </c>
      <c r="T36" s="451">
        <v>0</v>
      </c>
      <c r="V36" s="452">
        <v>2.0380186571987022</v>
      </c>
    </row>
    <row r="37" spans="2:22" ht="13.15" thickBot="1" x14ac:dyDescent="0.4">
      <c r="D37" s="458" t="s">
        <v>125</v>
      </c>
      <c r="E37" s="459">
        <f>MIN(J5:T44)</f>
        <v>-3.0254578982873287E-3</v>
      </c>
      <c r="I37" s="448">
        <v>33</v>
      </c>
      <c r="J37" s="449">
        <v>0</v>
      </c>
      <c r="K37" s="450">
        <v>0</v>
      </c>
      <c r="L37" s="450">
        <v>0</v>
      </c>
      <c r="M37" s="450">
        <v>0</v>
      </c>
      <c r="N37" s="450">
        <v>0</v>
      </c>
      <c r="O37" s="450">
        <v>0</v>
      </c>
      <c r="P37" s="450">
        <v>0</v>
      </c>
      <c r="Q37" s="450">
        <v>0</v>
      </c>
      <c r="R37" s="450">
        <v>0</v>
      </c>
      <c r="S37" s="450">
        <v>0</v>
      </c>
      <c r="T37" s="451">
        <v>0</v>
      </c>
      <c r="V37" s="452">
        <v>1.0204706613249594</v>
      </c>
    </row>
    <row r="38" spans="2:22" x14ac:dyDescent="0.35">
      <c r="I38" s="448">
        <v>34</v>
      </c>
      <c r="J38" s="449"/>
      <c r="K38" s="450"/>
      <c r="L38" s="450"/>
      <c r="M38" s="450"/>
      <c r="N38" s="450"/>
      <c r="O38" s="450"/>
      <c r="P38" s="450"/>
      <c r="Q38" s="450"/>
      <c r="R38" s="450"/>
      <c r="S38" s="450"/>
      <c r="T38" s="451"/>
      <c r="V38" s="452"/>
    </row>
    <row r="39" spans="2:22" x14ac:dyDescent="0.35">
      <c r="I39" s="448">
        <v>35</v>
      </c>
      <c r="J39" s="449"/>
      <c r="K39" s="450"/>
      <c r="L39" s="450"/>
      <c r="M39" s="450"/>
      <c r="N39" s="450"/>
      <c r="O39" s="450"/>
      <c r="P39" s="450"/>
      <c r="Q39" s="450"/>
      <c r="R39" s="450"/>
      <c r="S39" s="450"/>
      <c r="T39" s="451"/>
      <c r="V39" s="452"/>
    </row>
    <row r="40" spans="2:22" x14ac:dyDescent="0.35">
      <c r="I40" s="448">
        <v>36</v>
      </c>
      <c r="J40" s="449"/>
      <c r="K40" s="450"/>
      <c r="L40" s="450"/>
      <c r="M40" s="450"/>
      <c r="N40" s="450"/>
      <c r="O40" s="450"/>
      <c r="P40" s="450"/>
      <c r="Q40" s="450"/>
      <c r="R40" s="450"/>
      <c r="S40" s="450"/>
      <c r="T40" s="451"/>
      <c r="V40" s="452"/>
    </row>
    <row r="41" spans="2:22" x14ac:dyDescent="0.35">
      <c r="I41" s="448">
        <v>37</v>
      </c>
      <c r="J41" s="449"/>
      <c r="K41" s="450"/>
      <c r="L41" s="450"/>
      <c r="M41" s="450"/>
      <c r="N41" s="450"/>
      <c r="O41" s="450"/>
      <c r="P41" s="450"/>
      <c r="Q41" s="450"/>
      <c r="R41" s="450"/>
      <c r="S41" s="450"/>
      <c r="T41" s="451"/>
      <c r="V41" s="452"/>
    </row>
    <row r="42" spans="2:22" x14ac:dyDescent="0.35">
      <c r="I42" s="448">
        <v>38</v>
      </c>
      <c r="J42" s="449"/>
      <c r="K42" s="450"/>
      <c r="L42" s="450"/>
      <c r="M42" s="450"/>
      <c r="N42" s="450"/>
      <c r="O42" s="450"/>
      <c r="P42" s="450"/>
      <c r="Q42" s="450"/>
      <c r="R42" s="450"/>
      <c r="S42" s="450"/>
      <c r="T42" s="451"/>
      <c r="V42" s="452"/>
    </row>
    <row r="43" spans="2:22" x14ac:dyDescent="0.35">
      <c r="I43" s="448">
        <v>39</v>
      </c>
      <c r="J43" s="449"/>
      <c r="K43" s="450"/>
      <c r="L43" s="450"/>
      <c r="M43" s="450"/>
      <c r="N43" s="450"/>
      <c r="O43" s="450"/>
      <c r="P43" s="450"/>
      <c r="Q43" s="450"/>
      <c r="R43" s="450"/>
      <c r="S43" s="450"/>
      <c r="T43" s="451"/>
      <c r="V43" s="452"/>
    </row>
    <row r="44" spans="2:22" ht="13.15" thickBot="1" x14ac:dyDescent="0.4">
      <c r="I44" s="460">
        <v>40</v>
      </c>
      <c r="J44" s="461"/>
      <c r="K44" s="462"/>
      <c r="L44" s="462"/>
      <c r="M44" s="462"/>
      <c r="N44" s="462"/>
      <c r="O44" s="462"/>
      <c r="P44" s="462"/>
      <c r="Q44" s="462"/>
      <c r="R44" s="462"/>
      <c r="S44" s="462"/>
      <c r="T44" s="463"/>
      <c r="V44" s="464"/>
    </row>
    <row r="45" spans="2:22" x14ac:dyDescent="0.35">
      <c r="I45" s="455"/>
    </row>
    <row r="46" spans="2:22" x14ac:dyDescent="0.35">
      <c r="I46" s="455"/>
    </row>
    <row r="47" spans="2:22" x14ac:dyDescent="0.35">
      <c r="I47" s="455"/>
    </row>
    <row r="73" spans="1:33" x14ac:dyDescent="0.35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6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</row>
    <row r="74" spans="1:33" x14ac:dyDescent="0.35">
      <c r="A74" s="45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6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</row>
    <row r="75" spans="1:33" x14ac:dyDescent="0.35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6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</row>
    <row r="76" spans="1:33" x14ac:dyDescent="0.35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6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</row>
    <row r="77" spans="1:33" x14ac:dyDescent="0.35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65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</row>
    <row r="78" spans="1:33" x14ac:dyDescent="0.35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6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</row>
    <row r="79" spans="1:33" x14ac:dyDescent="0.3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6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</row>
    <row r="80" spans="1:33" x14ac:dyDescent="0.35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65"/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455"/>
    </row>
    <row r="81" spans="1:33" x14ac:dyDescent="0.35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6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</row>
    <row r="82" spans="1:33" x14ac:dyDescent="0.35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6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</row>
    <row r="83" spans="1:33" x14ac:dyDescent="0.3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65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455"/>
    </row>
    <row r="84" spans="1:33" x14ac:dyDescent="0.35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65"/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</row>
    <row r="85" spans="1:33" x14ac:dyDescent="0.3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6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</row>
    <row r="86" spans="1:33" x14ac:dyDescent="0.35">
      <c r="A86" s="455"/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65"/>
      <c r="W86" s="455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</row>
    <row r="87" spans="1:33" x14ac:dyDescent="0.35">
      <c r="A87" s="455"/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65"/>
      <c r="W87" s="455"/>
      <c r="X87" s="455"/>
      <c r="Y87" s="455"/>
      <c r="Z87" s="455"/>
      <c r="AA87" s="455"/>
      <c r="AB87" s="455"/>
      <c r="AC87" s="455"/>
      <c r="AD87" s="455"/>
      <c r="AE87" s="455"/>
      <c r="AF87" s="455"/>
      <c r="AG87" s="455"/>
    </row>
    <row r="88" spans="1:33" x14ac:dyDescent="0.35">
      <c r="A88" s="455"/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65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</row>
    <row r="89" spans="1:33" x14ac:dyDescent="0.35">
      <c r="A89" s="455"/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6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</row>
    <row r="90" spans="1:33" x14ac:dyDescent="0.35">
      <c r="A90" s="455"/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6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</row>
    <row r="91" spans="1:33" x14ac:dyDescent="0.3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6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</row>
    <row r="92" spans="1:33" x14ac:dyDescent="0.35">
      <c r="A92" s="455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6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</row>
    <row r="93" spans="1:33" x14ac:dyDescent="0.35">
      <c r="A93" s="455"/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6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</row>
    <row r="94" spans="1:33" x14ac:dyDescent="0.35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65"/>
      <c r="W94" s="455"/>
      <c r="X94" s="455"/>
      <c r="Y94" s="455"/>
      <c r="Z94" s="455"/>
      <c r="AA94" s="455"/>
      <c r="AB94" s="455"/>
      <c r="AC94" s="455"/>
      <c r="AD94" s="455"/>
      <c r="AE94" s="455"/>
      <c r="AF94" s="455"/>
      <c r="AG94" s="455"/>
    </row>
    <row r="95" spans="1:33" x14ac:dyDescent="0.35">
      <c r="A95" s="455"/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65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455"/>
    </row>
    <row r="96" spans="1:33" x14ac:dyDescent="0.35">
      <c r="A96" s="455"/>
      <c r="B96" s="455"/>
      <c r="C96" s="455"/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6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</row>
    <row r="97" spans="1:33" x14ac:dyDescent="0.35">
      <c r="A97" s="455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65"/>
      <c r="W97" s="455"/>
      <c r="X97" s="455"/>
      <c r="Y97" s="455"/>
      <c r="Z97" s="455"/>
      <c r="AA97" s="455"/>
      <c r="AB97" s="455"/>
      <c r="AC97" s="455"/>
      <c r="AD97" s="455"/>
      <c r="AE97" s="455"/>
      <c r="AF97" s="455"/>
      <c r="AG97" s="455"/>
    </row>
    <row r="98" spans="1:33" x14ac:dyDescent="0.35">
      <c r="A98" s="455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6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</row>
    <row r="99" spans="1:33" x14ac:dyDescent="0.35">
      <c r="A99" s="455"/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65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455"/>
    </row>
    <row r="100" spans="1:33" x14ac:dyDescent="0.35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65"/>
      <c r="W100" s="455"/>
      <c r="X100" s="455"/>
      <c r="Y100" s="455"/>
      <c r="Z100" s="455"/>
      <c r="AA100" s="455"/>
      <c r="AB100" s="455"/>
      <c r="AC100" s="455"/>
      <c r="AD100" s="455"/>
      <c r="AE100" s="455"/>
      <c r="AF100" s="455"/>
      <c r="AG100" s="455"/>
    </row>
    <row r="101" spans="1:33" x14ac:dyDescent="0.35">
      <c r="A101" s="455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65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45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U8" sqref="U8"/>
    </sheetView>
  </sheetViews>
  <sheetFormatPr baseColWidth="10" defaultColWidth="11.46484375" defaultRowHeight="12.75" x14ac:dyDescent="0.35"/>
  <cols>
    <col min="1" max="1" width="6.53125" style="425" customWidth="1"/>
    <col min="2" max="2" width="9.46484375" style="425" customWidth="1"/>
    <col min="3" max="3" width="10.19921875" style="425" customWidth="1"/>
    <col min="4" max="4" width="12.46484375" style="425" bestFit="1" customWidth="1"/>
    <col min="5" max="5" width="6.53125" style="425" customWidth="1"/>
    <col min="6" max="6" width="12.46484375" style="425" bestFit="1" customWidth="1"/>
    <col min="7" max="7" width="12.46484375" style="425" customWidth="1"/>
    <col min="8" max="8" width="3.53125" style="425" customWidth="1"/>
    <col min="9" max="9" width="8.53125" style="425" customWidth="1"/>
    <col min="10" max="13" width="12.46484375" style="425" bestFit="1" customWidth="1"/>
    <col min="14" max="15" width="12.53125" style="425" bestFit="1" customWidth="1"/>
    <col min="16" max="16" width="12" style="425" bestFit="1" customWidth="1"/>
    <col min="17" max="18" width="12.53125" style="425" bestFit="1" customWidth="1"/>
    <col min="19" max="20" width="12" style="425" bestFit="1" customWidth="1"/>
    <col min="21" max="22" width="12.46484375" style="425" bestFit="1" customWidth="1"/>
    <col min="23" max="23" width="12.19921875" style="425" bestFit="1" customWidth="1"/>
    <col min="24" max="24" width="14.46484375" style="425" bestFit="1" customWidth="1"/>
    <col min="25" max="26" width="14.53125" style="425" bestFit="1" customWidth="1"/>
    <col min="27" max="27" width="11.53125" style="425" bestFit="1" customWidth="1"/>
    <col min="28" max="28" width="14.796875" style="425" bestFit="1" customWidth="1"/>
    <col min="29" max="30" width="11.53125" style="425" bestFit="1" customWidth="1"/>
    <col min="31" max="16384" width="11.46484375" style="425"/>
  </cols>
  <sheetData>
    <row r="1" spans="1:52" ht="12.75" customHeight="1" thickBot="1" x14ac:dyDescent="0.4">
      <c r="A1" s="424"/>
      <c r="B1" s="424"/>
      <c r="C1" s="424"/>
      <c r="D1" s="424"/>
      <c r="E1" s="424"/>
      <c r="F1" s="424"/>
      <c r="G1" s="424"/>
      <c r="H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</row>
    <row r="2" spans="1:52" ht="15.4" thickBot="1" x14ac:dyDescent="0.45">
      <c r="A2" s="424"/>
      <c r="B2" s="427" t="s">
        <v>126</v>
      </c>
      <c r="C2" s="424"/>
      <c r="D2" s="428" t="s">
        <v>118</v>
      </c>
      <c r="E2" s="429">
        <v>1</v>
      </c>
      <c r="F2" s="430" t="s">
        <v>119</v>
      </c>
      <c r="G2" s="429">
        <v>1</v>
      </c>
      <c r="H2" s="424"/>
      <c r="I2" s="431" t="s">
        <v>120</v>
      </c>
      <c r="J2" s="432"/>
    </row>
    <row r="3" spans="1:52" ht="12.75" customHeight="1" thickBot="1" x14ac:dyDescent="0.4">
      <c r="A3" s="424"/>
      <c r="B3" s="424"/>
      <c r="C3" s="424"/>
      <c r="D3" s="424"/>
      <c r="E3" s="424"/>
      <c r="F3" s="424"/>
      <c r="G3" s="424"/>
      <c r="H3" s="424"/>
    </row>
    <row r="4" spans="1:52" s="470" customFormat="1" ht="12.75" customHeight="1" thickBot="1" x14ac:dyDescent="0.4">
      <c r="A4" s="466"/>
      <c r="B4" s="466"/>
      <c r="C4" s="466"/>
      <c r="D4" s="466"/>
      <c r="E4" s="466"/>
      <c r="F4" s="466"/>
      <c r="G4" s="466"/>
      <c r="H4" s="466"/>
      <c r="I4" s="434" t="s">
        <v>73</v>
      </c>
      <c r="J4" s="467">
        <v>0</v>
      </c>
      <c r="K4" s="468">
        <v>0.1</v>
      </c>
      <c r="L4" s="468">
        <v>0.2</v>
      </c>
      <c r="M4" s="468">
        <v>0.3</v>
      </c>
      <c r="N4" s="468">
        <v>0.4</v>
      </c>
      <c r="O4" s="468">
        <v>0.5</v>
      </c>
      <c r="P4" s="468">
        <v>0.6</v>
      </c>
      <c r="Q4" s="468">
        <v>0.7</v>
      </c>
      <c r="R4" s="468">
        <v>0.8</v>
      </c>
      <c r="S4" s="468">
        <v>0.9</v>
      </c>
      <c r="T4" s="469">
        <v>1</v>
      </c>
      <c r="V4" s="438" t="s">
        <v>51</v>
      </c>
    </row>
    <row r="5" spans="1:52" ht="12.75" customHeight="1" x14ac:dyDescent="0.35">
      <c r="A5" s="424"/>
      <c r="B5" s="424"/>
      <c r="C5" s="471" t="s">
        <v>127</v>
      </c>
      <c r="D5" s="440">
        <f>MAX(MAX(J5:T44),ABS(MIN(J5:T44)))</f>
        <v>95.067897206101634</v>
      </c>
      <c r="E5" s="424"/>
      <c r="F5" s="424"/>
      <c r="G5" s="424"/>
      <c r="H5" s="424"/>
      <c r="I5" s="472">
        <v>1</v>
      </c>
      <c r="J5" s="473">
        <v>2.7285156355321818</v>
      </c>
      <c r="K5" s="474">
        <v>2.7285156355321818</v>
      </c>
      <c r="L5" s="474">
        <v>2.7285156355321818</v>
      </c>
      <c r="M5" s="474">
        <v>2.7285156355321818</v>
      </c>
      <c r="N5" s="474">
        <v>2.7285156355321818</v>
      </c>
      <c r="O5" s="474">
        <v>2.7285156355321818</v>
      </c>
      <c r="P5" s="474">
        <v>2.7285156355321818</v>
      </c>
      <c r="Q5" s="474">
        <v>2.7285156355321818</v>
      </c>
      <c r="R5" s="474">
        <v>2.7285156355321818</v>
      </c>
      <c r="S5" s="474">
        <v>2.7285156355321818</v>
      </c>
      <c r="T5" s="475">
        <v>2.7285156355321818</v>
      </c>
      <c r="U5" s="433"/>
      <c r="V5" s="476">
        <v>2.85</v>
      </c>
    </row>
    <row r="6" spans="1:52" ht="12.75" customHeight="1" x14ac:dyDescent="0.35">
      <c r="A6" s="424"/>
      <c r="B6" s="424"/>
      <c r="C6" s="477" t="s">
        <v>37</v>
      </c>
      <c r="D6" s="447">
        <f>IF(D9&lt;0.000001,1,D7/D9)</f>
        <v>5.4473209197686751E-2</v>
      </c>
      <c r="E6" s="424"/>
      <c r="F6" s="424"/>
      <c r="G6" s="424"/>
      <c r="H6" s="424"/>
      <c r="I6" s="478">
        <v>2</v>
      </c>
      <c r="J6" s="479">
        <v>2.5603307002701006</v>
      </c>
      <c r="K6" s="450">
        <v>2.5603307002701006</v>
      </c>
      <c r="L6" s="450">
        <v>2.5603307002701006</v>
      </c>
      <c r="M6" s="450">
        <v>2.5603307002701006</v>
      </c>
      <c r="N6" s="450">
        <v>2.5603307002701006</v>
      </c>
      <c r="O6" s="450">
        <v>2.5603307002701006</v>
      </c>
      <c r="P6" s="450">
        <v>2.5603307002701006</v>
      </c>
      <c r="Q6" s="450">
        <v>2.5603307002701006</v>
      </c>
      <c r="R6" s="450">
        <v>2.5603307002701006</v>
      </c>
      <c r="S6" s="450">
        <v>2.5603307002701006</v>
      </c>
      <c r="T6" s="451">
        <v>2.5603307002701006</v>
      </c>
      <c r="U6" s="433"/>
      <c r="V6" s="452">
        <v>3.4508170038970478</v>
      </c>
    </row>
    <row r="7" spans="1:52" ht="12.75" customHeight="1" x14ac:dyDescent="0.35">
      <c r="A7" s="424"/>
      <c r="B7" s="424"/>
      <c r="C7" s="477" t="s">
        <v>36</v>
      </c>
      <c r="D7" s="447">
        <v>0.3</v>
      </c>
      <c r="E7" s="424"/>
      <c r="F7" s="424"/>
      <c r="G7" s="424"/>
      <c r="H7" s="424"/>
      <c r="I7" s="472">
        <v>3</v>
      </c>
      <c r="J7" s="479">
        <v>-0.29551219618091473</v>
      </c>
      <c r="K7" s="450">
        <v>-0.29551219618091473</v>
      </c>
      <c r="L7" s="450">
        <v>-0.29551219618091473</v>
      </c>
      <c r="M7" s="450">
        <v>-0.29551219618091473</v>
      </c>
      <c r="N7" s="450">
        <v>-0.29551219618091473</v>
      </c>
      <c r="O7" s="450">
        <v>-0.29551219618091473</v>
      </c>
      <c r="P7" s="450">
        <v>-0.29551219618091473</v>
      </c>
      <c r="Q7" s="450">
        <v>-0.29551219618091473</v>
      </c>
      <c r="R7" s="450">
        <v>-0.29551219618091473</v>
      </c>
      <c r="S7" s="450">
        <v>-0.29551219618091473</v>
      </c>
      <c r="T7" s="451">
        <v>-0.29551219618091473</v>
      </c>
      <c r="U7" s="433"/>
      <c r="V7" s="452">
        <v>5.6603886792339626</v>
      </c>
    </row>
    <row r="8" spans="1:52" ht="12.75" customHeight="1" x14ac:dyDescent="0.35">
      <c r="A8" s="424"/>
      <c r="B8" s="424"/>
      <c r="C8" s="480" t="s">
        <v>122</v>
      </c>
      <c r="D8" s="447">
        <f>PlotData!CB5</f>
        <v>17.262178174973847</v>
      </c>
      <c r="E8" s="424"/>
      <c r="F8" s="424"/>
      <c r="G8" s="424"/>
      <c r="H8" s="424"/>
      <c r="I8" s="478">
        <v>4</v>
      </c>
      <c r="J8" s="479">
        <v>18.25060359634908</v>
      </c>
      <c r="K8" s="450">
        <v>18.25060359634908</v>
      </c>
      <c r="L8" s="450">
        <v>18.25060359634908</v>
      </c>
      <c r="M8" s="450">
        <v>18.25060359634908</v>
      </c>
      <c r="N8" s="450">
        <v>18.25060359634908</v>
      </c>
      <c r="O8" s="450">
        <v>18.25060359634908</v>
      </c>
      <c r="P8" s="450">
        <v>18.25060359634908</v>
      </c>
      <c r="Q8" s="450">
        <v>18.25060359634908</v>
      </c>
      <c r="R8" s="450">
        <v>18.25060359634908</v>
      </c>
      <c r="S8" s="450">
        <v>18.25060359634908</v>
      </c>
      <c r="T8" s="451">
        <v>18.25060359634908</v>
      </c>
      <c r="U8" s="433"/>
      <c r="V8" s="452">
        <v>5.6603886792339617</v>
      </c>
    </row>
    <row r="9" spans="1:52" ht="12.75" customHeight="1" thickBot="1" x14ac:dyDescent="0.4">
      <c r="A9" s="424"/>
      <c r="B9" s="424"/>
      <c r="C9" s="481" t="s">
        <v>128</v>
      </c>
      <c r="D9" s="454">
        <f>D5/MAX(0.0001,D8)</f>
        <v>5.5072944006526372</v>
      </c>
      <c r="E9" s="424"/>
      <c r="F9" s="424"/>
      <c r="G9" s="424"/>
      <c r="H9" s="424"/>
      <c r="I9" s="472">
        <v>5</v>
      </c>
      <c r="J9" s="479">
        <v>-20.692694860194582</v>
      </c>
      <c r="K9" s="450">
        <v>-20.692694860194582</v>
      </c>
      <c r="L9" s="450">
        <v>-20.692694860194582</v>
      </c>
      <c r="M9" s="450">
        <v>-20.692694860194582</v>
      </c>
      <c r="N9" s="450">
        <v>-20.692694860194582</v>
      </c>
      <c r="O9" s="450">
        <v>-20.692694860194582</v>
      </c>
      <c r="P9" s="450">
        <v>-20.692694860194582</v>
      </c>
      <c r="Q9" s="450">
        <v>-20.692694860194582</v>
      </c>
      <c r="R9" s="450">
        <v>-20.692694860194582</v>
      </c>
      <c r="S9" s="450">
        <v>-20.692694860194582</v>
      </c>
      <c r="T9" s="451">
        <v>-20.692694860194582</v>
      </c>
      <c r="U9" s="433"/>
      <c r="V9" s="452">
        <v>1.3717560098034927</v>
      </c>
    </row>
    <row r="10" spans="1:52" ht="12.75" customHeight="1" x14ac:dyDescent="0.35">
      <c r="A10" s="424"/>
      <c r="B10" s="424"/>
      <c r="C10" s="424"/>
      <c r="D10" s="424"/>
      <c r="E10" s="424"/>
      <c r="F10" s="424"/>
      <c r="G10" s="424"/>
      <c r="H10" s="424"/>
      <c r="I10" s="478">
        <v>6</v>
      </c>
      <c r="J10" s="479">
        <v>-11.876059278410391</v>
      </c>
      <c r="K10" s="450">
        <v>-11.876059278410391</v>
      </c>
      <c r="L10" s="450">
        <v>-11.876059278410391</v>
      </c>
      <c r="M10" s="450">
        <v>-11.876059278410391</v>
      </c>
      <c r="N10" s="450">
        <v>-11.876059278410391</v>
      </c>
      <c r="O10" s="450">
        <v>-11.876059278410391</v>
      </c>
      <c r="P10" s="450">
        <v>-11.876059278410391</v>
      </c>
      <c r="Q10" s="450">
        <v>-11.876059278410391</v>
      </c>
      <c r="R10" s="450">
        <v>-11.876059278410391</v>
      </c>
      <c r="S10" s="450">
        <v>-11.876059278410391</v>
      </c>
      <c r="T10" s="451">
        <v>-11.876059278410391</v>
      </c>
      <c r="U10" s="433"/>
      <c r="V10" s="452">
        <v>0.87487166490920254</v>
      </c>
    </row>
    <row r="11" spans="1:52" ht="12.75" customHeight="1" x14ac:dyDescent="0.35">
      <c r="A11" s="424"/>
      <c r="B11" s="424"/>
      <c r="C11" s="424"/>
      <c r="D11" s="424"/>
      <c r="E11" s="424"/>
      <c r="F11" s="424"/>
      <c r="G11" s="424"/>
      <c r="H11" s="424"/>
      <c r="I11" s="472">
        <v>7</v>
      </c>
      <c r="J11" s="479">
        <v>-12.327304372692204</v>
      </c>
      <c r="K11" s="450">
        <v>-12.327304372692204</v>
      </c>
      <c r="L11" s="450">
        <v>-12.327304372692204</v>
      </c>
      <c r="M11" s="450">
        <v>-12.327304372692204</v>
      </c>
      <c r="N11" s="450">
        <v>-12.327304372692204</v>
      </c>
      <c r="O11" s="450">
        <v>-12.327304372692204</v>
      </c>
      <c r="P11" s="450">
        <v>-12.327304372692204</v>
      </c>
      <c r="Q11" s="450">
        <v>-12.327304372692204</v>
      </c>
      <c r="R11" s="450">
        <v>-12.327304372692204</v>
      </c>
      <c r="S11" s="450">
        <v>-12.327304372692204</v>
      </c>
      <c r="T11" s="451">
        <v>-12.327304372692204</v>
      </c>
      <c r="U11" s="433"/>
      <c r="V11" s="452">
        <v>0.86032336707658952</v>
      </c>
    </row>
    <row r="12" spans="1:52" ht="12.75" customHeight="1" x14ac:dyDescent="0.35">
      <c r="A12" s="424"/>
      <c r="B12" s="424"/>
      <c r="C12" s="424"/>
      <c r="D12" s="424"/>
      <c r="E12" s="424"/>
      <c r="F12" s="424"/>
      <c r="G12" s="424"/>
      <c r="H12" s="424"/>
      <c r="I12" s="478">
        <v>8</v>
      </c>
      <c r="J12" s="479">
        <v>-20.633896774821885</v>
      </c>
      <c r="K12" s="450">
        <v>-20.633896774821885</v>
      </c>
      <c r="L12" s="450">
        <v>-20.633896774821885</v>
      </c>
      <c r="M12" s="450">
        <v>-20.633896774821885</v>
      </c>
      <c r="N12" s="450">
        <v>-20.633896774821885</v>
      </c>
      <c r="O12" s="450">
        <v>-20.633896774821885</v>
      </c>
      <c r="P12" s="450">
        <v>-20.633896774821885</v>
      </c>
      <c r="Q12" s="450">
        <v>-20.633896774821885</v>
      </c>
      <c r="R12" s="450">
        <v>-20.633896774821885</v>
      </c>
      <c r="S12" s="450">
        <v>-20.633896774821885</v>
      </c>
      <c r="T12" s="451">
        <v>-20.633896774821885</v>
      </c>
      <c r="U12" s="433"/>
      <c r="V12" s="452">
        <v>1.3491830099675137</v>
      </c>
    </row>
    <row r="13" spans="1:52" ht="12.75" customHeight="1" x14ac:dyDescent="0.35">
      <c r="A13" s="424"/>
      <c r="B13" s="424"/>
      <c r="C13" s="424"/>
      <c r="D13" s="424"/>
      <c r="E13" s="424"/>
      <c r="F13" s="424"/>
      <c r="G13" s="424"/>
      <c r="H13" s="424"/>
      <c r="I13" s="472">
        <v>9</v>
      </c>
      <c r="J13" s="479">
        <v>13.823111400821919</v>
      </c>
      <c r="K13" s="450">
        <v>13.823111400821919</v>
      </c>
      <c r="L13" s="450">
        <v>13.823111400821919</v>
      </c>
      <c r="M13" s="450">
        <v>13.823111400821919</v>
      </c>
      <c r="N13" s="450">
        <v>13.823111400821919</v>
      </c>
      <c r="O13" s="450">
        <v>13.823111400821919</v>
      </c>
      <c r="P13" s="450">
        <v>13.823111400821919</v>
      </c>
      <c r="Q13" s="450">
        <v>13.823111400821919</v>
      </c>
      <c r="R13" s="450">
        <v>13.823111400821919</v>
      </c>
      <c r="S13" s="450">
        <v>13.823111400821919</v>
      </c>
      <c r="T13" s="451">
        <v>13.823111400821919</v>
      </c>
      <c r="U13" s="433"/>
      <c r="V13" s="452">
        <v>3.4282440039227073</v>
      </c>
    </row>
    <row r="14" spans="1:52" ht="12.75" customHeight="1" x14ac:dyDescent="0.35">
      <c r="A14" s="424"/>
      <c r="B14" s="424"/>
      <c r="C14" s="424"/>
      <c r="D14" s="424"/>
      <c r="E14" s="424"/>
      <c r="F14" s="424"/>
      <c r="G14" s="424"/>
      <c r="H14" s="424"/>
      <c r="I14" s="478">
        <v>10</v>
      </c>
      <c r="J14" s="479">
        <v>0.13477618144842091</v>
      </c>
      <c r="K14" s="450">
        <v>0.13477618144842091</v>
      </c>
      <c r="L14" s="450">
        <v>0.13477618144842091</v>
      </c>
      <c r="M14" s="450">
        <v>0.13477618144842091</v>
      </c>
      <c r="N14" s="450">
        <v>0.13477618144842091</v>
      </c>
      <c r="O14" s="450">
        <v>0.13477618144842091</v>
      </c>
      <c r="P14" s="450">
        <v>0.13477618144842091</v>
      </c>
      <c r="Q14" s="450">
        <v>0.13477618144842091</v>
      </c>
      <c r="R14" s="450">
        <v>0.13477618144842091</v>
      </c>
      <c r="S14" s="450">
        <v>0.13477618144842091</v>
      </c>
      <c r="T14" s="451">
        <v>0.13477618144842091</v>
      </c>
      <c r="U14" s="433"/>
      <c r="V14" s="452">
        <v>4.8566442972551531</v>
      </c>
    </row>
    <row r="15" spans="1:52" ht="12.75" customHeight="1" x14ac:dyDescent="0.35">
      <c r="A15" s="424"/>
      <c r="B15" s="424"/>
      <c r="C15" s="424"/>
      <c r="D15" s="424"/>
      <c r="E15" s="424"/>
      <c r="F15" s="424"/>
      <c r="G15" s="424"/>
      <c r="H15" s="424"/>
      <c r="I15" s="472">
        <v>11</v>
      </c>
      <c r="J15" s="479">
        <v>0.14997438954303441</v>
      </c>
      <c r="K15" s="450">
        <v>0.14997438954303441</v>
      </c>
      <c r="L15" s="450">
        <v>0.14997438954303441</v>
      </c>
      <c r="M15" s="450">
        <v>0.14997438954303441</v>
      </c>
      <c r="N15" s="450">
        <v>0.14997438954303441</v>
      </c>
      <c r="O15" s="450">
        <v>0.14997438954303441</v>
      </c>
      <c r="P15" s="450">
        <v>0.14997438954303441</v>
      </c>
      <c r="Q15" s="450">
        <v>0.14997438954303441</v>
      </c>
      <c r="R15" s="450">
        <v>0.14997438954303441</v>
      </c>
      <c r="S15" s="450">
        <v>0.14997438954303441</v>
      </c>
      <c r="T15" s="451">
        <v>0.14997438954303441</v>
      </c>
      <c r="U15" s="433"/>
      <c r="V15" s="452">
        <v>4.8711792921158219</v>
      </c>
    </row>
    <row r="16" spans="1:52" ht="12.75" customHeight="1" x14ac:dyDescent="0.35">
      <c r="A16" s="424"/>
      <c r="B16" s="424"/>
      <c r="C16" s="424"/>
      <c r="D16" s="424"/>
      <c r="E16" s="424"/>
      <c r="F16" s="424"/>
      <c r="G16" s="424"/>
      <c r="H16" s="424"/>
      <c r="I16" s="478">
        <v>12</v>
      </c>
      <c r="J16" s="479">
        <v>5.6348636083735162</v>
      </c>
      <c r="K16" s="450">
        <v>5.6348636083735162</v>
      </c>
      <c r="L16" s="450">
        <v>5.6348636083735162</v>
      </c>
      <c r="M16" s="450">
        <v>5.6348636083735162</v>
      </c>
      <c r="N16" s="450">
        <v>5.6348636083735162</v>
      </c>
      <c r="O16" s="450">
        <v>5.6348636083735162</v>
      </c>
      <c r="P16" s="450">
        <v>5.6348636083735162</v>
      </c>
      <c r="Q16" s="450">
        <v>5.6348636083735162</v>
      </c>
      <c r="R16" s="450">
        <v>5.6348636083735162</v>
      </c>
      <c r="S16" s="450">
        <v>5.6348636083735162</v>
      </c>
      <c r="T16" s="451">
        <v>5.6348636083735162</v>
      </c>
      <c r="U16" s="433"/>
      <c r="V16" s="452">
        <v>2.0109694410691574</v>
      </c>
    </row>
    <row r="17" spans="1:24" ht="12.75" customHeight="1" x14ac:dyDescent="0.35">
      <c r="A17" s="424"/>
      <c r="B17" s="424"/>
      <c r="C17" s="424"/>
      <c r="D17" s="424"/>
      <c r="E17" s="424"/>
      <c r="F17" s="424"/>
      <c r="G17" s="424"/>
      <c r="H17" s="424"/>
      <c r="I17" s="472">
        <v>13</v>
      </c>
      <c r="J17" s="479">
        <v>5.5591097963046066</v>
      </c>
      <c r="K17" s="450">
        <v>5.5591097963046066</v>
      </c>
      <c r="L17" s="450">
        <v>5.5591097963046066</v>
      </c>
      <c r="M17" s="450">
        <v>5.5591097963046066</v>
      </c>
      <c r="N17" s="450">
        <v>5.5591097963046066</v>
      </c>
      <c r="O17" s="450">
        <v>5.5591097963046066</v>
      </c>
      <c r="P17" s="450">
        <v>5.5591097963046066</v>
      </c>
      <c r="Q17" s="450">
        <v>5.5591097963046066</v>
      </c>
      <c r="R17" s="450">
        <v>5.5591097963046066</v>
      </c>
      <c r="S17" s="450">
        <v>5.5591097963046066</v>
      </c>
      <c r="T17" s="451">
        <v>5.5591097963046066</v>
      </c>
      <c r="U17" s="433"/>
      <c r="V17" s="452">
        <v>2.0380186571987018</v>
      </c>
    </row>
    <row r="18" spans="1:24" ht="12.75" customHeight="1" x14ac:dyDescent="0.35">
      <c r="A18" s="424"/>
      <c r="B18" s="424"/>
      <c r="C18" s="424"/>
      <c r="D18" s="424"/>
      <c r="E18" s="424"/>
      <c r="F18" s="424"/>
      <c r="G18" s="424"/>
      <c r="H18" s="424"/>
      <c r="I18" s="478">
        <v>14</v>
      </c>
      <c r="J18" s="479">
        <v>0</v>
      </c>
      <c r="K18" s="450">
        <v>0</v>
      </c>
      <c r="L18" s="450">
        <v>0</v>
      </c>
      <c r="M18" s="450">
        <v>0</v>
      </c>
      <c r="N18" s="450">
        <v>0</v>
      </c>
      <c r="O18" s="450">
        <v>0</v>
      </c>
      <c r="P18" s="450">
        <v>0</v>
      </c>
      <c r="Q18" s="450">
        <v>0</v>
      </c>
      <c r="R18" s="450">
        <v>0</v>
      </c>
      <c r="S18" s="450">
        <v>0</v>
      </c>
      <c r="T18" s="451">
        <v>0</v>
      </c>
      <c r="U18" s="433"/>
      <c r="V18" s="452">
        <v>0.60000000000000053</v>
      </c>
    </row>
    <row r="19" spans="1:24" ht="12.75" customHeight="1" x14ac:dyDescent="0.35">
      <c r="A19" s="424"/>
      <c r="B19" s="424"/>
      <c r="C19" s="424"/>
      <c r="D19" s="424"/>
      <c r="E19" s="424"/>
      <c r="F19" s="424"/>
      <c r="G19" s="424"/>
      <c r="H19" s="424"/>
      <c r="I19" s="472">
        <v>15</v>
      </c>
      <c r="J19" s="479">
        <v>0</v>
      </c>
      <c r="K19" s="450">
        <v>0</v>
      </c>
      <c r="L19" s="450">
        <v>0</v>
      </c>
      <c r="M19" s="450">
        <v>0</v>
      </c>
      <c r="N19" s="450">
        <v>0</v>
      </c>
      <c r="O19" s="450">
        <v>0</v>
      </c>
      <c r="P19" s="450">
        <v>0</v>
      </c>
      <c r="Q19" s="450">
        <v>0</v>
      </c>
      <c r="R19" s="450">
        <v>0</v>
      </c>
      <c r="S19" s="450">
        <v>0</v>
      </c>
      <c r="T19" s="451">
        <v>0</v>
      </c>
      <c r="U19" s="433"/>
      <c r="V19" s="452">
        <v>1.5</v>
      </c>
    </row>
    <row r="20" spans="1:24" ht="12.75" customHeight="1" x14ac:dyDescent="0.35">
      <c r="A20" s="424"/>
      <c r="B20" s="424"/>
      <c r="C20" s="424"/>
      <c r="D20" s="424"/>
      <c r="E20" s="424"/>
      <c r="F20" s="424"/>
      <c r="G20" s="424"/>
      <c r="H20" s="424"/>
      <c r="I20" s="478">
        <v>16</v>
      </c>
      <c r="J20" s="479">
        <v>0</v>
      </c>
      <c r="K20" s="450">
        <v>0</v>
      </c>
      <c r="L20" s="450">
        <v>0</v>
      </c>
      <c r="M20" s="450">
        <v>0</v>
      </c>
      <c r="N20" s="450">
        <v>0</v>
      </c>
      <c r="O20" s="450">
        <v>0</v>
      </c>
      <c r="P20" s="450">
        <v>0</v>
      </c>
      <c r="Q20" s="450">
        <v>0</v>
      </c>
      <c r="R20" s="450">
        <v>0</v>
      </c>
      <c r="S20" s="450">
        <v>0</v>
      </c>
      <c r="T20" s="451">
        <v>0</v>
      </c>
      <c r="U20" s="433"/>
      <c r="V20" s="452">
        <v>0.59999999999999964</v>
      </c>
    </row>
    <row r="21" spans="1:24" ht="12.75" customHeight="1" x14ac:dyDescent="0.35">
      <c r="A21" s="424"/>
      <c r="B21" s="424"/>
      <c r="C21" s="424"/>
      <c r="D21" s="424"/>
      <c r="E21" s="424"/>
      <c r="F21" s="424"/>
      <c r="G21" s="424"/>
      <c r="H21" s="424"/>
      <c r="I21" s="472">
        <v>17</v>
      </c>
      <c r="J21" s="479">
        <v>0</v>
      </c>
      <c r="K21" s="450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1">
        <v>0</v>
      </c>
      <c r="U21" s="433"/>
      <c r="V21" s="452">
        <v>1.9729419656948859</v>
      </c>
    </row>
    <row r="22" spans="1:24" ht="12.75" customHeight="1" x14ac:dyDescent="0.35">
      <c r="A22" s="424"/>
      <c r="B22" s="424"/>
      <c r="C22" s="424"/>
      <c r="D22" s="424"/>
      <c r="E22" s="424"/>
      <c r="F22" s="424"/>
      <c r="G22" s="424"/>
      <c r="H22" s="455"/>
      <c r="I22" s="478">
        <v>18</v>
      </c>
      <c r="J22" s="479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50">
        <v>0</v>
      </c>
      <c r="R22" s="450">
        <v>0</v>
      </c>
      <c r="S22" s="450">
        <v>0</v>
      </c>
      <c r="T22" s="451">
        <v>0</v>
      </c>
      <c r="U22" s="433"/>
      <c r="V22" s="452">
        <v>1.9729419656948861</v>
      </c>
      <c r="X22" s="424"/>
    </row>
    <row r="23" spans="1:24" ht="12.75" customHeight="1" x14ac:dyDescent="0.35">
      <c r="A23" s="424"/>
      <c r="B23" s="424"/>
      <c r="C23" s="424"/>
      <c r="D23" s="424"/>
      <c r="E23" s="424"/>
      <c r="F23" s="424"/>
      <c r="G23" s="424"/>
      <c r="H23" s="424"/>
      <c r="I23" s="472">
        <v>19</v>
      </c>
      <c r="J23" s="479">
        <v>-95.067897206101634</v>
      </c>
      <c r="K23" s="450">
        <v>-95.067897206101634</v>
      </c>
      <c r="L23" s="450">
        <v>-95.067897206101634</v>
      </c>
      <c r="M23" s="450">
        <v>-95.067897206101634</v>
      </c>
      <c r="N23" s="450">
        <v>-95.067897206101634</v>
      </c>
      <c r="O23" s="450">
        <v>-95.067897206101634</v>
      </c>
      <c r="P23" s="450">
        <v>-95.067897206101634</v>
      </c>
      <c r="Q23" s="450">
        <v>-95.067897206101634</v>
      </c>
      <c r="R23" s="450">
        <v>-95.067897206101634</v>
      </c>
      <c r="S23" s="450">
        <v>-95.067897206101634</v>
      </c>
      <c r="T23" s="451">
        <v>-95.067897206101634</v>
      </c>
      <c r="U23" s="433"/>
      <c r="V23" s="452">
        <v>3.4500000000000011</v>
      </c>
      <c r="X23" s="424"/>
    </row>
    <row r="24" spans="1:24" ht="12.75" customHeight="1" x14ac:dyDescent="0.35">
      <c r="A24" s="424"/>
      <c r="B24" s="424"/>
      <c r="C24" s="424"/>
      <c r="D24" s="424"/>
      <c r="E24" s="424"/>
      <c r="F24" s="424"/>
      <c r="G24" s="424"/>
      <c r="H24" s="424"/>
      <c r="I24" s="478">
        <v>20</v>
      </c>
      <c r="J24" s="479">
        <v>12.939481764509663</v>
      </c>
      <c r="K24" s="450">
        <v>12.939481764509663</v>
      </c>
      <c r="L24" s="450">
        <v>12.939481764509663</v>
      </c>
      <c r="M24" s="450">
        <v>12.939481764509663</v>
      </c>
      <c r="N24" s="450">
        <v>12.939481764509663</v>
      </c>
      <c r="O24" s="450">
        <v>12.939481764509663</v>
      </c>
      <c r="P24" s="450">
        <v>12.939481764509663</v>
      </c>
      <c r="Q24" s="450">
        <v>12.939481764509663</v>
      </c>
      <c r="R24" s="450">
        <v>12.939481764509663</v>
      </c>
      <c r="S24" s="450">
        <v>12.939481764509663</v>
      </c>
      <c r="T24" s="451">
        <v>12.939481764509663</v>
      </c>
      <c r="U24" s="433"/>
      <c r="V24" s="452">
        <v>1.0204706613249594</v>
      </c>
      <c r="X24" s="424"/>
    </row>
    <row r="25" spans="1:24" ht="12.75" customHeight="1" x14ac:dyDescent="0.35">
      <c r="A25" s="424"/>
      <c r="B25" s="424"/>
      <c r="C25" s="424"/>
      <c r="D25" s="424"/>
      <c r="E25" s="424"/>
      <c r="F25" s="424"/>
      <c r="G25" s="424"/>
      <c r="H25" s="424"/>
      <c r="I25" s="472">
        <v>21</v>
      </c>
      <c r="J25" s="479">
        <v>1.5814074262760066E-3</v>
      </c>
      <c r="K25" s="450">
        <v>1.5814074262760066E-3</v>
      </c>
      <c r="L25" s="450">
        <v>1.5814074262760066E-3</v>
      </c>
      <c r="M25" s="450">
        <v>1.5814074262760066E-3</v>
      </c>
      <c r="N25" s="450">
        <v>1.5814074262760066E-3</v>
      </c>
      <c r="O25" s="450">
        <v>1.5814074262760066E-3</v>
      </c>
      <c r="P25" s="450">
        <v>1.5814074262760066E-3</v>
      </c>
      <c r="Q25" s="450">
        <v>1.5814074262760066E-3</v>
      </c>
      <c r="R25" s="450">
        <v>1.5814074262760066E-3</v>
      </c>
      <c r="S25" s="450">
        <v>1.5814074262760066E-3</v>
      </c>
      <c r="T25" s="451">
        <v>1.5814074262760066E-3</v>
      </c>
      <c r="U25" s="433"/>
      <c r="V25" s="452">
        <v>3.4508170038970469</v>
      </c>
      <c r="X25" s="424"/>
    </row>
    <row r="26" spans="1:24" ht="12.75" customHeight="1" x14ac:dyDescent="0.35">
      <c r="I26" s="478">
        <v>22</v>
      </c>
      <c r="J26" s="479">
        <v>1.2576726641446371E-3</v>
      </c>
      <c r="K26" s="450">
        <v>1.2576726641446371E-3</v>
      </c>
      <c r="L26" s="450">
        <v>1.2576726641446371E-3</v>
      </c>
      <c r="M26" s="450">
        <v>1.2576726641446371E-3</v>
      </c>
      <c r="N26" s="450">
        <v>1.2576726641446371E-3</v>
      </c>
      <c r="O26" s="450">
        <v>1.2576726641446371E-3</v>
      </c>
      <c r="P26" s="450">
        <v>1.2576726641446371E-3</v>
      </c>
      <c r="Q26" s="450">
        <v>1.2576726641446371E-3</v>
      </c>
      <c r="R26" s="450">
        <v>1.2576726641446371E-3</v>
      </c>
      <c r="S26" s="450">
        <v>1.2576726641446371E-3</v>
      </c>
      <c r="T26" s="451">
        <v>1.2576726641446371E-3</v>
      </c>
      <c r="U26" s="433"/>
      <c r="V26" s="452">
        <v>5.6603895272322911</v>
      </c>
      <c r="X26" s="424"/>
    </row>
    <row r="27" spans="1:24" ht="12.75" customHeight="1" x14ac:dyDescent="0.35">
      <c r="I27" s="472">
        <v>23</v>
      </c>
      <c r="J27" s="479">
        <v>1.2551006947999033E-3</v>
      </c>
      <c r="K27" s="450">
        <v>1.2551006947999033E-3</v>
      </c>
      <c r="L27" s="450">
        <v>1.2551006947999033E-3</v>
      </c>
      <c r="M27" s="450">
        <v>1.2551006947999033E-3</v>
      </c>
      <c r="N27" s="450">
        <v>1.2551006947999033E-3</v>
      </c>
      <c r="O27" s="450">
        <v>1.2551006947999033E-3</v>
      </c>
      <c r="P27" s="450">
        <v>1.2551006947999033E-3</v>
      </c>
      <c r="Q27" s="450">
        <v>1.2551006947999033E-3</v>
      </c>
      <c r="R27" s="450">
        <v>1.2551006947999033E-3</v>
      </c>
      <c r="S27" s="450">
        <v>1.2551006947999033E-3</v>
      </c>
      <c r="T27" s="451">
        <v>1.2551006947999033E-3</v>
      </c>
      <c r="U27" s="433"/>
      <c r="V27" s="452">
        <v>5.660387831235683</v>
      </c>
      <c r="X27" s="424"/>
    </row>
    <row r="28" spans="1:24" ht="12.75" customHeight="1" x14ac:dyDescent="0.35">
      <c r="I28" s="478">
        <v>24</v>
      </c>
      <c r="J28" s="479">
        <v>-4.0247627021111777E-3</v>
      </c>
      <c r="K28" s="450">
        <v>-4.0247627021111777E-3</v>
      </c>
      <c r="L28" s="450">
        <v>-4.0247627021111777E-3</v>
      </c>
      <c r="M28" s="450">
        <v>-4.0247627021111777E-3</v>
      </c>
      <c r="N28" s="450">
        <v>-4.0247627021111777E-3</v>
      </c>
      <c r="O28" s="450">
        <v>-4.0247627021111777E-3</v>
      </c>
      <c r="P28" s="450">
        <v>-4.0247627021111777E-3</v>
      </c>
      <c r="Q28" s="450">
        <v>-4.0247627021111777E-3</v>
      </c>
      <c r="R28" s="450">
        <v>-4.0247627021111777E-3</v>
      </c>
      <c r="S28" s="450">
        <v>-4.0247627021111777E-3</v>
      </c>
      <c r="T28" s="451">
        <v>-4.0247627021111777E-3</v>
      </c>
      <c r="U28" s="433"/>
      <c r="V28" s="452">
        <v>1.3717550098035001</v>
      </c>
      <c r="X28" s="424"/>
    </row>
    <row r="29" spans="1:24" ht="12.75" customHeight="1" x14ac:dyDescent="0.35">
      <c r="I29" s="472">
        <v>25</v>
      </c>
      <c r="J29" s="479">
        <v>-4.3137904401015729E-3</v>
      </c>
      <c r="K29" s="450">
        <v>-4.3137904401015729E-3</v>
      </c>
      <c r="L29" s="450">
        <v>-4.3137904401015729E-3</v>
      </c>
      <c r="M29" s="450">
        <v>-4.3137904401015729E-3</v>
      </c>
      <c r="N29" s="450">
        <v>-4.3137904401015729E-3</v>
      </c>
      <c r="O29" s="450">
        <v>-4.3137904401015729E-3</v>
      </c>
      <c r="P29" s="450">
        <v>-4.3137904401015729E-3</v>
      </c>
      <c r="Q29" s="450">
        <v>-4.3137904401015729E-3</v>
      </c>
      <c r="R29" s="450">
        <v>-4.3137904401015729E-3</v>
      </c>
      <c r="S29" s="450">
        <v>-4.3137904401015729E-3</v>
      </c>
      <c r="T29" s="451">
        <v>-4.3137904401015729E-3</v>
      </c>
      <c r="U29" s="433"/>
      <c r="V29" s="452">
        <v>0.87487166490920221</v>
      </c>
      <c r="X29" s="424"/>
    </row>
    <row r="30" spans="1:24" ht="12.75" customHeight="1" x14ac:dyDescent="0.35">
      <c r="I30" s="478">
        <v>26</v>
      </c>
      <c r="J30" s="479">
        <v>-4.6110798015041249E-3</v>
      </c>
      <c r="K30" s="450">
        <v>-4.6110798015041249E-3</v>
      </c>
      <c r="L30" s="450">
        <v>-4.6110798015041249E-3</v>
      </c>
      <c r="M30" s="450">
        <v>-4.6110798015041249E-3</v>
      </c>
      <c r="N30" s="450">
        <v>-4.6110798015041249E-3</v>
      </c>
      <c r="O30" s="450">
        <v>-4.6110798015041249E-3</v>
      </c>
      <c r="P30" s="450">
        <v>-4.6110798015041249E-3</v>
      </c>
      <c r="Q30" s="450">
        <v>-4.6110798015041249E-3</v>
      </c>
      <c r="R30" s="450">
        <v>-4.6110798015041249E-3</v>
      </c>
      <c r="S30" s="450">
        <v>-4.6110798015041249E-3</v>
      </c>
      <c r="T30" s="451">
        <v>-4.6110798015041249E-3</v>
      </c>
      <c r="U30" s="433"/>
      <c r="V30" s="452">
        <v>0.86032325781940855</v>
      </c>
      <c r="X30" s="424"/>
    </row>
    <row r="31" spans="1:24" ht="12.75" customHeight="1" x14ac:dyDescent="0.35">
      <c r="I31" s="472">
        <v>27</v>
      </c>
      <c r="J31" s="479">
        <v>-4.0267987542343658E-3</v>
      </c>
      <c r="K31" s="450">
        <v>-4.0267987542343658E-3</v>
      </c>
      <c r="L31" s="450">
        <v>-4.0267987542343658E-3</v>
      </c>
      <c r="M31" s="450">
        <v>-4.0267987542343658E-3</v>
      </c>
      <c r="N31" s="450">
        <v>-4.0267987542343658E-3</v>
      </c>
      <c r="O31" s="450">
        <v>-4.0267987542343658E-3</v>
      </c>
      <c r="P31" s="450">
        <v>-4.0267987542343658E-3</v>
      </c>
      <c r="Q31" s="450">
        <v>-4.0267987542343658E-3</v>
      </c>
      <c r="R31" s="450">
        <v>-4.0267987542343658E-3</v>
      </c>
      <c r="S31" s="450">
        <v>-4.0267987542343658E-3</v>
      </c>
      <c r="T31" s="451">
        <v>-4.0267987542343658E-3</v>
      </c>
      <c r="U31" s="433"/>
      <c r="V31" s="452">
        <v>1.3491840099675074</v>
      </c>
    </row>
    <row r="32" spans="1:24" ht="12.75" customHeight="1" x14ac:dyDescent="0.35">
      <c r="I32" s="478">
        <v>28</v>
      </c>
      <c r="J32" s="479">
        <v>1.6033669853965456E-3</v>
      </c>
      <c r="K32" s="450">
        <v>1.6033669853965456E-3</v>
      </c>
      <c r="L32" s="450">
        <v>1.6033669853965456E-3</v>
      </c>
      <c r="M32" s="450">
        <v>1.6033669853965456E-3</v>
      </c>
      <c r="N32" s="450">
        <v>1.6033669853965456E-3</v>
      </c>
      <c r="O32" s="450">
        <v>1.6033669853965456E-3</v>
      </c>
      <c r="P32" s="450">
        <v>1.6033669853965456E-3</v>
      </c>
      <c r="Q32" s="450">
        <v>1.6033669853965456E-3</v>
      </c>
      <c r="R32" s="450">
        <v>1.6033669853965456E-3</v>
      </c>
      <c r="S32" s="450">
        <v>1.6033669853965456E-3</v>
      </c>
      <c r="T32" s="451">
        <v>1.6033669853965456E-3</v>
      </c>
      <c r="U32" s="433"/>
      <c r="V32" s="452">
        <v>3.4282440039227073</v>
      </c>
    </row>
    <row r="33" spans="2:22" ht="12.75" customHeight="1" x14ac:dyDescent="0.35">
      <c r="I33" s="472">
        <v>29</v>
      </c>
      <c r="J33" s="479">
        <v>1.9301719382976739E-4</v>
      </c>
      <c r="K33" s="450">
        <v>1.9301719382976739E-4</v>
      </c>
      <c r="L33" s="450">
        <v>1.9301719382976739E-4</v>
      </c>
      <c r="M33" s="450">
        <v>1.9301719382976739E-4</v>
      </c>
      <c r="N33" s="450">
        <v>1.9301719382976739E-4</v>
      </c>
      <c r="O33" s="450">
        <v>1.9301719382976739E-4</v>
      </c>
      <c r="P33" s="450">
        <v>1.9301719382976739E-4</v>
      </c>
      <c r="Q33" s="450">
        <v>1.9301719382976739E-4</v>
      </c>
      <c r="R33" s="450">
        <v>1.9301719382976739E-4</v>
      </c>
      <c r="S33" s="450">
        <v>1.9301719382976739E-4</v>
      </c>
      <c r="T33" s="451">
        <v>1.9301719382976739E-4</v>
      </c>
      <c r="U33" s="433"/>
      <c r="V33" s="452">
        <v>4.856644403161714</v>
      </c>
    </row>
    <row r="34" spans="2:22" ht="12.75" customHeight="1" x14ac:dyDescent="0.35">
      <c r="I34" s="478">
        <v>30</v>
      </c>
      <c r="J34" s="479">
        <v>1.9451942947052299E-4</v>
      </c>
      <c r="K34" s="450">
        <v>1.9451942947052299E-4</v>
      </c>
      <c r="L34" s="450">
        <v>1.9451942947052299E-4</v>
      </c>
      <c r="M34" s="450">
        <v>1.9451942947052299E-4</v>
      </c>
      <c r="N34" s="450">
        <v>1.9451942947052299E-4</v>
      </c>
      <c r="O34" s="450">
        <v>1.9451942947052299E-4</v>
      </c>
      <c r="P34" s="450">
        <v>1.9451942947052299E-4</v>
      </c>
      <c r="Q34" s="450">
        <v>1.9451942947052299E-4</v>
      </c>
      <c r="R34" s="450">
        <v>1.9451942947052299E-4</v>
      </c>
      <c r="S34" s="450">
        <v>1.9451942947052299E-4</v>
      </c>
      <c r="T34" s="451">
        <v>1.9451942947052299E-4</v>
      </c>
      <c r="U34" s="433"/>
      <c r="V34" s="452">
        <v>4.871179188239025</v>
      </c>
    </row>
    <row r="35" spans="2:22" ht="12.75" customHeight="1" thickBot="1" x14ac:dyDescent="0.4">
      <c r="I35" s="472">
        <v>31</v>
      </c>
      <c r="J35" s="479">
        <v>-1.3883442220096723E-2</v>
      </c>
      <c r="K35" s="450">
        <v>-1.3883442220096723E-2</v>
      </c>
      <c r="L35" s="450">
        <v>-1.3883442220096723E-2</v>
      </c>
      <c r="M35" s="450">
        <v>-1.3883442220096723E-2</v>
      </c>
      <c r="N35" s="450">
        <v>-1.3883442220096723E-2</v>
      </c>
      <c r="O35" s="450">
        <v>-1.3883442220096723E-2</v>
      </c>
      <c r="P35" s="450">
        <v>-1.3883442220096723E-2</v>
      </c>
      <c r="Q35" s="450">
        <v>-1.3883442220096723E-2</v>
      </c>
      <c r="R35" s="450">
        <v>-1.3883442220096723E-2</v>
      </c>
      <c r="S35" s="450">
        <v>-1.3883442220096723E-2</v>
      </c>
      <c r="T35" s="451">
        <v>-1.3883442220096723E-2</v>
      </c>
      <c r="U35" s="433"/>
      <c r="V35" s="452">
        <v>2.0109694410691574</v>
      </c>
    </row>
    <row r="36" spans="2:22" ht="12.75" customHeight="1" x14ac:dyDescent="0.35">
      <c r="B36" s="424"/>
      <c r="C36" s="424"/>
      <c r="D36" s="473" t="s">
        <v>129</v>
      </c>
      <c r="E36" s="482">
        <f>MAX(J5:T44)</f>
        <v>18.25060359634908</v>
      </c>
      <c r="I36" s="478">
        <v>32</v>
      </c>
      <c r="J36" s="479">
        <v>-1.3365384906086113E-2</v>
      </c>
      <c r="K36" s="450">
        <v>-1.3365384906086113E-2</v>
      </c>
      <c r="L36" s="450">
        <v>-1.3365384906086113E-2</v>
      </c>
      <c r="M36" s="450">
        <v>-1.3365384906086113E-2</v>
      </c>
      <c r="N36" s="450">
        <v>-1.3365384906086113E-2</v>
      </c>
      <c r="O36" s="450">
        <v>-1.3365384906086113E-2</v>
      </c>
      <c r="P36" s="450">
        <v>-1.3365384906086113E-2</v>
      </c>
      <c r="Q36" s="450">
        <v>-1.3365384906086113E-2</v>
      </c>
      <c r="R36" s="450">
        <v>-1.3365384906086113E-2</v>
      </c>
      <c r="S36" s="450">
        <v>-1.3365384906086113E-2</v>
      </c>
      <c r="T36" s="451">
        <v>-1.3365384906086113E-2</v>
      </c>
      <c r="U36" s="433"/>
      <c r="V36" s="452">
        <v>2.0380186571987022</v>
      </c>
    </row>
    <row r="37" spans="2:22" ht="12.75" customHeight="1" thickBot="1" x14ac:dyDescent="0.4">
      <c r="D37" s="483" t="s">
        <v>130</v>
      </c>
      <c r="E37" s="484">
        <f>MIN(J5:T44)</f>
        <v>-95.067897206101634</v>
      </c>
      <c r="I37" s="472">
        <v>33</v>
      </c>
      <c r="J37" s="479">
        <v>1.760827670967768E-2</v>
      </c>
      <c r="K37" s="450">
        <v>1.760827670967768E-2</v>
      </c>
      <c r="L37" s="450">
        <v>1.760827670967768E-2</v>
      </c>
      <c r="M37" s="450">
        <v>1.760827670967768E-2</v>
      </c>
      <c r="N37" s="450">
        <v>1.760827670967768E-2</v>
      </c>
      <c r="O37" s="450">
        <v>1.760827670967768E-2</v>
      </c>
      <c r="P37" s="450">
        <v>1.760827670967768E-2</v>
      </c>
      <c r="Q37" s="450">
        <v>1.760827670967768E-2</v>
      </c>
      <c r="R37" s="450">
        <v>1.760827670967768E-2</v>
      </c>
      <c r="S37" s="450">
        <v>1.760827670967768E-2</v>
      </c>
      <c r="T37" s="451">
        <v>1.760827670967768E-2</v>
      </c>
      <c r="U37" s="433"/>
      <c r="V37" s="452">
        <v>1.0204706613249594</v>
      </c>
    </row>
    <row r="38" spans="2:22" ht="12.75" customHeight="1" x14ac:dyDescent="0.35">
      <c r="I38" s="478">
        <v>34</v>
      </c>
      <c r="J38" s="479"/>
      <c r="K38" s="450"/>
      <c r="L38" s="450"/>
      <c r="M38" s="450"/>
      <c r="N38" s="450"/>
      <c r="O38" s="450"/>
      <c r="P38" s="450"/>
      <c r="Q38" s="450"/>
      <c r="R38" s="450"/>
      <c r="S38" s="450"/>
      <c r="T38" s="451"/>
      <c r="U38" s="433"/>
      <c r="V38" s="452"/>
    </row>
    <row r="39" spans="2:22" x14ac:dyDescent="0.35">
      <c r="I39" s="472">
        <v>35</v>
      </c>
      <c r="J39" s="479"/>
      <c r="K39" s="450"/>
      <c r="L39" s="450"/>
      <c r="M39" s="450"/>
      <c r="N39" s="450"/>
      <c r="O39" s="450"/>
      <c r="P39" s="450"/>
      <c r="Q39" s="450"/>
      <c r="R39" s="450"/>
      <c r="S39" s="450"/>
      <c r="T39" s="451"/>
      <c r="U39" s="433"/>
      <c r="V39" s="452"/>
    </row>
    <row r="40" spans="2:22" x14ac:dyDescent="0.35">
      <c r="I40" s="478">
        <v>36</v>
      </c>
      <c r="J40" s="479"/>
      <c r="K40" s="450"/>
      <c r="L40" s="450"/>
      <c r="M40" s="450"/>
      <c r="N40" s="450"/>
      <c r="O40" s="450"/>
      <c r="P40" s="450"/>
      <c r="Q40" s="450"/>
      <c r="R40" s="450"/>
      <c r="S40" s="450"/>
      <c r="T40" s="451"/>
      <c r="U40" s="433"/>
      <c r="V40" s="452"/>
    </row>
    <row r="41" spans="2:22" x14ac:dyDescent="0.35">
      <c r="I41" s="472">
        <v>37</v>
      </c>
      <c r="J41" s="479"/>
      <c r="K41" s="450"/>
      <c r="L41" s="450"/>
      <c r="M41" s="450"/>
      <c r="N41" s="450"/>
      <c r="O41" s="450"/>
      <c r="P41" s="450"/>
      <c r="Q41" s="450"/>
      <c r="R41" s="450"/>
      <c r="S41" s="450"/>
      <c r="T41" s="451"/>
      <c r="U41" s="433"/>
      <c r="V41" s="452"/>
    </row>
    <row r="42" spans="2:22" x14ac:dyDescent="0.35">
      <c r="I42" s="478">
        <v>38</v>
      </c>
      <c r="J42" s="479"/>
      <c r="K42" s="450"/>
      <c r="L42" s="450"/>
      <c r="M42" s="450"/>
      <c r="N42" s="450"/>
      <c r="O42" s="450"/>
      <c r="P42" s="450"/>
      <c r="Q42" s="450"/>
      <c r="R42" s="450"/>
      <c r="S42" s="450"/>
      <c r="T42" s="451"/>
      <c r="U42" s="433"/>
      <c r="V42" s="452"/>
    </row>
    <row r="43" spans="2:22" x14ac:dyDescent="0.35">
      <c r="I43" s="472">
        <v>39</v>
      </c>
      <c r="J43" s="479"/>
      <c r="K43" s="450"/>
      <c r="L43" s="450"/>
      <c r="M43" s="450"/>
      <c r="N43" s="450"/>
      <c r="O43" s="450"/>
      <c r="P43" s="450"/>
      <c r="Q43" s="450"/>
      <c r="R43" s="450"/>
      <c r="S43" s="450"/>
      <c r="T43" s="451"/>
      <c r="U43" s="433"/>
      <c r="V43" s="452"/>
    </row>
    <row r="44" spans="2:22" ht="13.15" thickBot="1" x14ac:dyDescent="0.4">
      <c r="I44" s="478">
        <v>40</v>
      </c>
      <c r="J44" s="479"/>
      <c r="K44" s="450"/>
      <c r="L44" s="450"/>
      <c r="M44" s="450"/>
      <c r="N44" s="450"/>
      <c r="O44" s="450"/>
      <c r="P44" s="450"/>
      <c r="Q44" s="450"/>
      <c r="R44" s="450"/>
      <c r="S44" s="450"/>
      <c r="T44" s="451"/>
      <c r="U44" s="433"/>
      <c r="V44" s="464"/>
    </row>
    <row r="45" spans="2:22" x14ac:dyDescent="0.35">
      <c r="I45" s="455"/>
      <c r="J45" s="455"/>
    </row>
    <row r="46" spans="2:22" x14ac:dyDescent="0.35">
      <c r="I46" s="455"/>
      <c r="J46" s="455"/>
    </row>
    <row r="47" spans="2:22" x14ac:dyDescent="0.35">
      <c r="I47" s="455"/>
      <c r="J47" s="455"/>
    </row>
    <row r="48" spans="2:22" x14ac:dyDescent="0.35">
      <c r="I48" s="455"/>
      <c r="J48" s="455"/>
    </row>
    <row r="49" spans="9:10" x14ac:dyDescent="0.35">
      <c r="I49" s="455"/>
      <c r="J49" s="455"/>
    </row>
    <row r="50" spans="9:10" x14ac:dyDescent="0.35">
      <c r="I50" s="455"/>
      <c r="J50" s="455"/>
    </row>
    <row r="51" spans="9:10" x14ac:dyDescent="0.35">
      <c r="I51" s="455"/>
      <c r="J51" s="455"/>
    </row>
    <row r="52" spans="9:10" x14ac:dyDescent="0.35">
      <c r="I52" s="455"/>
      <c r="J52" s="455"/>
    </row>
    <row r="53" spans="9:10" x14ac:dyDescent="0.35">
      <c r="I53" s="455"/>
      <c r="J53" s="455"/>
    </row>
    <row r="54" spans="9:10" x14ac:dyDescent="0.35">
      <c r="I54" s="455"/>
      <c r="J54" s="455"/>
    </row>
    <row r="55" spans="9:10" x14ac:dyDescent="0.35">
      <c r="I55" s="455"/>
      <c r="J55" s="455"/>
    </row>
    <row r="73" spans="1:34" x14ac:dyDescent="0.35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</row>
    <row r="74" spans="1:34" x14ac:dyDescent="0.35">
      <c r="A74" s="45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</row>
    <row r="75" spans="1:34" x14ac:dyDescent="0.35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</row>
    <row r="76" spans="1:34" x14ac:dyDescent="0.35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</row>
    <row r="77" spans="1:34" x14ac:dyDescent="0.35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</row>
    <row r="78" spans="1:34" x14ac:dyDescent="0.35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</row>
    <row r="79" spans="1:34" x14ac:dyDescent="0.3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  <c r="AH79" s="455"/>
    </row>
    <row r="80" spans="1:34" x14ac:dyDescent="0.35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455"/>
      <c r="AH80" s="455"/>
    </row>
    <row r="81" spans="1:34" x14ac:dyDescent="0.35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</row>
    <row r="82" spans="1:34" x14ac:dyDescent="0.35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</row>
    <row r="83" spans="1:34" x14ac:dyDescent="0.3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455"/>
      <c r="AH83" s="455"/>
    </row>
    <row r="84" spans="1:34" x14ac:dyDescent="0.35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  <c r="AH84" s="455"/>
    </row>
    <row r="85" spans="1:34" x14ac:dyDescent="0.3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  <c r="AH85" s="455"/>
    </row>
    <row r="86" spans="1:34" x14ac:dyDescent="0.35">
      <c r="A86" s="455"/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  <c r="AH86" s="455"/>
    </row>
    <row r="87" spans="1:34" x14ac:dyDescent="0.35">
      <c r="A87" s="455"/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5"/>
      <c r="AD87" s="455"/>
      <c r="AE87" s="455"/>
      <c r="AF87" s="455"/>
      <c r="AG87" s="455"/>
      <c r="AH87" s="455"/>
    </row>
    <row r="88" spans="1:34" x14ac:dyDescent="0.35">
      <c r="A88" s="455"/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  <c r="AH88" s="455"/>
    </row>
    <row r="89" spans="1:34" x14ac:dyDescent="0.35">
      <c r="A89" s="455"/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455"/>
    </row>
    <row r="90" spans="1:34" x14ac:dyDescent="0.35">
      <c r="A90" s="455"/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455"/>
    </row>
    <row r="91" spans="1:34" x14ac:dyDescent="0.3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455"/>
    </row>
    <row r="92" spans="1:34" x14ac:dyDescent="0.35">
      <c r="A92" s="455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</row>
    <row r="93" spans="1:34" x14ac:dyDescent="0.35">
      <c r="A93" s="455"/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</row>
    <row r="94" spans="1:34" x14ac:dyDescent="0.35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  <c r="AC94" s="455"/>
      <c r="AD94" s="455"/>
      <c r="AE94" s="455"/>
      <c r="AF94" s="455"/>
      <c r="AG94" s="455"/>
      <c r="AH94" s="455"/>
    </row>
    <row r="95" spans="1:34" x14ac:dyDescent="0.35">
      <c r="A95" s="455"/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455"/>
      <c r="AH95" s="455"/>
    </row>
    <row r="96" spans="1:34" x14ac:dyDescent="0.35">
      <c r="A96" s="455"/>
      <c r="B96" s="455"/>
      <c r="C96" s="455"/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455"/>
    </row>
    <row r="97" spans="1:34" x14ac:dyDescent="0.35">
      <c r="A97" s="455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55"/>
      <c r="W97" s="455"/>
      <c r="X97" s="455"/>
      <c r="Y97" s="455"/>
      <c r="Z97" s="455"/>
      <c r="AA97" s="455"/>
      <c r="AB97" s="455"/>
      <c r="AC97" s="455"/>
      <c r="AD97" s="455"/>
      <c r="AE97" s="455"/>
      <c r="AF97" s="455"/>
      <c r="AG97" s="455"/>
      <c r="AH97" s="455"/>
    </row>
    <row r="98" spans="1:34" x14ac:dyDescent="0.35">
      <c r="A98" s="455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  <c r="AH98" s="455"/>
    </row>
    <row r="99" spans="1:34" x14ac:dyDescent="0.35">
      <c r="A99" s="455"/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455"/>
      <c r="AH99" s="455"/>
    </row>
    <row r="100" spans="1:34" x14ac:dyDescent="0.35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55"/>
      <c r="AD100" s="455"/>
      <c r="AE100" s="455"/>
      <c r="AF100" s="455"/>
      <c r="AG100" s="455"/>
      <c r="AH100" s="455"/>
    </row>
    <row r="101" spans="1:34" x14ac:dyDescent="0.35">
      <c r="A101" s="455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455"/>
      <c r="AH101" s="455"/>
    </row>
    <row r="102" spans="1:34" x14ac:dyDescent="0.35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  <c r="AC102" s="455"/>
      <c r="AD102" s="455"/>
      <c r="AE102" s="455"/>
      <c r="AF102" s="455"/>
      <c r="AG102" s="455"/>
      <c r="AH102" s="455"/>
    </row>
    <row r="103" spans="1:34" x14ac:dyDescent="0.35">
      <c r="A103" s="455"/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455"/>
      <c r="AA103" s="455"/>
      <c r="AB103" s="455"/>
      <c r="AC103" s="455"/>
      <c r="AD103" s="455"/>
      <c r="AE103" s="455"/>
      <c r="AF103" s="455"/>
      <c r="AG103" s="455"/>
      <c r="AH103" s="45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D45" sqref="D45"/>
    </sheetView>
  </sheetViews>
  <sheetFormatPr baseColWidth="10" defaultColWidth="11.46484375" defaultRowHeight="12.75" x14ac:dyDescent="0.35"/>
  <cols>
    <col min="1" max="1" width="6.53125" style="425" customWidth="1"/>
    <col min="2" max="3" width="9.46484375" style="425" customWidth="1"/>
    <col min="4" max="4" width="12.53125" style="425" bestFit="1" customWidth="1"/>
    <col min="5" max="5" width="6.53125" style="425" customWidth="1"/>
    <col min="6" max="6" width="12.46484375" style="425" bestFit="1" customWidth="1"/>
    <col min="7" max="7" width="12.46484375" style="425" customWidth="1"/>
    <col min="8" max="8" width="3.53125" style="425" customWidth="1"/>
    <col min="9" max="9" width="8.796875" style="425" customWidth="1"/>
    <col min="10" max="13" width="12.53125" style="425" bestFit="1" customWidth="1"/>
    <col min="14" max="15" width="12.796875" style="425" bestFit="1" customWidth="1"/>
    <col min="16" max="16" width="12.19921875" style="425" bestFit="1" customWidth="1"/>
    <col min="17" max="18" width="12.796875" style="425" bestFit="1" customWidth="1"/>
    <col min="19" max="19" width="12.19921875" style="425" bestFit="1" customWidth="1"/>
    <col min="20" max="20" width="14.46484375" style="425" bestFit="1" customWidth="1"/>
    <col min="21" max="21" width="12.46484375" style="425" bestFit="1" customWidth="1"/>
    <col min="22" max="22" width="12.53125" style="425" bestFit="1" customWidth="1"/>
    <col min="23" max="23" width="12.19921875" style="425" bestFit="1" customWidth="1"/>
    <col min="24" max="24" width="14.46484375" style="425" bestFit="1" customWidth="1"/>
    <col min="25" max="26" width="14.53125" style="425" bestFit="1" customWidth="1"/>
    <col min="27" max="27" width="11.53125" style="425" bestFit="1" customWidth="1"/>
    <col min="28" max="28" width="14.796875" style="425" bestFit="1" customWidth="1"/>
    <col min="29" max="30" width="11.53125" style="425" bestFit="1" customWidth="1"/>
    <col min="31" max="16384" width="11.46484375" style="425"/>
  </cols>
  <sheetData>
    <row r="1" spans="1:52" ht="12.75" customHeight="1" thickBot="1" x14ac:dyDescent="0.4">
      <c r="A1" s="424"/>
      <c r="B1" s="424"/>
      <c r="C1" s="424"/>
      <c r="D1" s="424"/>
      <c r="E1" s="424"/>
      <c r="F1" s="424"/>
      <c r="G1" s="424"/>
      <c r="H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</row>
    <row r="2" spans="1:52" ht="15.4" thickBot="1" x14ac:dyDescent="0.45">
      <c r="A2" s="424"/>
      <c r="B2" s="427" t="s">
        <v>131</v>
      </c>
      <c r="C2" s="485"/>
      <c r="D2" s="486" t="s">
        <v>118</v>
      </c>
      <c r="E2" s="487">
        <v>1</v>
      </c>
      <c r="F2" s="488" t="s">
        <v>119</v>
      </c>
      <c r="G2" s="487">
        <v>1</v>
      </c>
      <c r="H2" s="424"/>
      <c r="I2" s="431" t="s">
        <v>120</v>
      </c>
      <c r="J2" s="432"/>
      <c r="K2" s="432"/>
      <c r="N2" s="424"/>
    </row>
    <row r="3" spans="1:52" ht="12.75" customHeight="1" thickBot="1" x14ac:dyDescent="0.4">
      <c r="A3" s="424"/>
      <c r="B3" s="424"/>
      <c r="C3" s="424"/>
      <c r="D3" s="424"/>
      <c r="E3" s="424"/>
      <c r="F3" s="424"/>
      <c r="G3" s="424"/>
      <c r="H3" s="424"/>
    </row>
    <row r="4" spans="1:52" s="494" customFormat="1" ht="12.75" customHeight="1" thickBot="1" x14ac:dyDescent="0.4">
      <c r="A4" s="489"/>
      <c r="B4" s="489"/>
      <c r="C4" s="489"/>
      <c r="D4" s="489"/>
      <c r="E4" s="489"/>
      <c r="F4" s="489"/>
      <c r="G4" s="489"/>
      <c r="H4" s="489"/>
      <c r="I4" s="490" t="s">
        <v>73</v>
      </c>
      <c r="J4" s="491">
        <v>0</v>
      </c>
      <c r="K4" s="492">
        <v>0.1</v>
      </c>
      <c r="L4" s="492">
        <v>0.2</v>
      </c>
      <c r="M4" s="492">
        <v>0.3</v>
      </c>
      <c r="N4" s="492">
        <v>0.4</v>
      </c>
      <c r="O4" s="492">
        <v>0.5</v>
      </c>
      <c r="P4" s="492">
        <v>0.6</v>
      </c>
      <c r="Q4" s="492">
        <v>0.7</v>
      </c>
      <c r="R4" s="492">
        <v>0.8</v>
      </c>
      <c r="S4" s="492">
        <v>0.9</v>
      </c>
      <c r="T4" s="493">
        <v>1</v>
      </c>
      <c r="U4" s="470"/>
      <c r="V4" s="438" t="s">
        <v>51</v>
      </c>
    </row>
    <row r="5" spans="1:52" ht="12.75" customHeight="1" x14ac:dyDescent="0.35">
      <c r="A5" s="424"/>
      <c r="B5" s="424"/>
      <c r="C5" s="471" t="s">
        <v>132</v>
      </c>
      <c r="D5" s="440">
        <f>MAX(MAX(J5:T44),ABS(MIN(J5:T44)))</f>
        <v>163.9921226805254</v>
      </c>
      <c r="E5" s="424"/>
      <c r="F5" s="424"/>
      <c r="G5" s="424"/>
      <c r="H5" s="424"/>
      <c r="I5" s="448">
        <v>1</v>
      </c>
      <c r="J5" s="495">
        <v>-3.8881347806333588</v>
      </c>
      <c r="K5" s="474">
        <v>-3.1105078245066871</v>
      </c>
      <c r="L5" s="474">
        <v>-2.3328808683800153</v>
      </c>
      <c r="M5" s="474">
        <v>-1.5552539122533431</v>
      </c>
      <c r="N5" s="474">
        <v>-0.77762695612667154</v>
      </c>
      <c r="O5" s="474">
        <v>0</v>
      </c>
      <c r="P5" s="474">
        <v>0.77762695612667154</v>
      </c>
      <c r="Q5" s="474">
        <v>1.5552539122533431</v>
      </c>
      <c r="R5" s="474">
        <v>2.3328808683800148</v>
      </c>
      <c r="S5" s="474">
        <v>3.1105078245066862</v>
      </c>
      <c r="T5" s="475">
        <v>3.8881347806333579</v>
      </c>
      <c r="U5" s="433"/>
      <c r="V5" s="476">
        <v>2.85</v>
      </c>
    </row>
    <row r="6" spans="1:52" ht="12.75" customHeight="1" x14ac:dyDescent="0.35">
      <c r="A6" s="424"/>
      <c r="B6" s="424"/>
      <c r="C6" s="477" t="s">
        <v>37</v>
      </c>
      <c r="D6" s="447">
        <f>IF(D9&lt;0.000001,1,D7/D9)</f>
        <v>3.1578671998658971E-2</v>
      </c>
      <c r="E6" s="424"/>
      <c r="F6" s="424"/>
      <c r="G6" s="424"/>
      <c r="H6" s="424"/>
      <c r="I6" s="448">
        <v>2</v>
      </c>
      <c r="J6" s="449">
        <v>0</v>
      </c>
      <c r="K6" s="450">
        <v>0.88352327160916988</v>
      </c>
      <c r="L6" s="450">
        <v>1.7670465432183393</v>
      </c>
      <c r="M6" s="450">
        <v>2.6505698148275099</v>
      </c>
      <c r="N6" s="450">
        <v>3.5340930864366795</v>
      </c>
      <c r="O6" s="450">
        <v>4.4176163580458487</v>
      </c>
      <c r="P6" s="450">
        <v>5.3011396296550179</v>
      </c>
      <c r="Q6" s="450">
        <v>6.1846629012641863</v>
      </c>
      <c r="R6" s="450">
        <v>7.068186172873359</v>
      </c>
      <c r="S6" s="450">
        <v>7.9517094444825274</v>
      </c>
      <c r="T6" s="451">
        <v>8.8352327160916921</v>
      </c>
      <c r="U6" s="433"/>
      <c r="V6" s="452">
        <v>3.4508170038970478</v>
      </c>
    </row>
    <row r="7" spans="1:52" ht="12.75" customHeight="1" x14ac:dyDescent="0.35">
      <c r="A7" s="424"/>
      <c r="B7" s="424"/>
      <c r="C7" s="477" t="s">
        <v>36</v>
      </c>
      <c r="D7" s="447">
        <v>0.3</v>
      </c>
      <c r="E7" s="424"/>
      <c r="F7" s="424"/>
      <c r="G7" s="424"/>
      <c r="H7" s="424"/>
      <c r="I7" s="448">
        <v>3</v>
      </c>
      <c r="J7" s="449">
        <v>0.83635694491900769</v>
      </c>
      <c r="K7" s="450">
        <v>0.66908555593520624</v>
      </c>
      <c r="L7" s="450">
        <v>0.50181416695140457</v>
      </c>
      <c r="M7" s="450">
        <v>0.33454277796760307</v>
      </c>
      <c r="N7" s="450">
        <v>0.16727138898380153</v>
      </c>
      <c r="O7" s="450">
        <v>0</v>
      </c>
      <c r="P7" s="450">
        <v>-0.16727138898380153</v>
      </c>
      <c r="Q7" s="450">
        <v>-0.33454277796760307</v>
      </c>
      <c r="R7" s="450">
        <v>-0.50181416695140446</v>
      </c>
      <c r="S7" s="450">
        <v>-0.66908555593520613</v>
      </c>
      <c r="T7" s="451">
        <v>-0.83635694491900758</v>
      </c>
      <c r="U7" s="433"/>
      <c r="V7" s="452">
        <v>5.6603886792339626</v>
      </c>
    </row>
    <row r="8" spans="1:52" ht="12.75" customHeight="1" x14ac:dyDescent="0.35">
      <c r="A8" s="424"/>
      <c r="B8" s="424"/>
      <c r="C8" s="480" t="s">
        <v>122</v>
      </c>
      <c r="D8" s="447">
        <f>PlotData!CB5</f>
        <v>17.262178174973847</v>
      </c>
      <c r="E8" s="424"/>
      <c r="F8" s="424"/>
      <c r="G8" s="424"/>
      <c r="H8" s="424"/>
      <c r="I8" s="448">
        <v>4</v>
      </c>
      <c r="J8" s="449">
        <v>-51.652754992980491</v>
      </c>
      <c r="K8" s="450">
        <v>-41.322203994384388</v>
      </c>
      <c r="L8" s="450">
        <v>-30.991652995788289</v>
      </c>
      <c r="M8" s="450">
        <v>-20.661101997192191</v>
      </c>
      <c r="N8" s="450">
        <v>-10.330550998596095</v>
      </c>
      <c r="O8" s="450">
        <v>0</v>
      </c>
      <c r="P8" s="450">
        <v>10.330550998596095</v>
      </c>
      <c r="Q8" s="450">
        <v>20.661101997192191</v>
      </c>
      <c r="R8" s="450">
        <v>30.991652995788282</v>
      </c>
      <c r="S8" s="450">
        <v>41.322203994384381</v>
      </c>
      <c r="T8" s="451">
        <v>51.652754992980462</v>
      </c>
      <c r="U8" s="433"/>
      <c r="V8" s="452">
        <v>5.6603886792339617</v>
      </c>
    </row>
    <row r="9" spans="1:52" ht="12.75" customHeight="1" thickBot="1" x14ac:dyDescent="0.4">
      <c r="A9" s="424"/>
      <c r="B9" s="424"/>
      <c r="C9" s="481" t="s">
        <v>128</v>
      </c>
      <c r="D9" s="454">
        <f>D5/MAX(0.0001,D8)</f>
        <v>9.5000828411258045</v>
      </c>
      <c r="E9" s="424"/>
      <c r="F9" s="424"/>
      <c r="G9" s="424"/>
      <c r="H9" s="424"/>
      <c r="I9" s="448">
        <v>5</v>
      </c>
      <c r="J9" s="449">
        <v>-19.003670241921398</v>
      </c>
      <c r="K9" s="450">
        <v>-21.842203095271589</v>
      </c>
      <c r="L9" s="450">
        <v>-24.680735948621763</v>
      </c>
      <c r="M9" s="450">
        <v>-27.51926880197194</v>
      </c>
      <c r="N9" s="450">
        <v>-30.35780165532212</v>
      </c>
      <c r="O9" s="450">
        <v>-33.196334508672301</v>
      </c>
      <c r="P9" s="450">
        <v>-36.034867362022474</v>
      </c>
      <c r="Q9" s="450">
        <v>-38.873400215372648</v>
      </c>
      <c r="R9" s="450">
        <v>-41.711933068722836</v>
      </c>
      <c r="S9" s="450">
        <v>-44.550465922073016</v>
      </c>
      <c r="T9" s="451">
        <v>-47.388998775423183</v>
      </c>
      <c r="U9" s="433"/>
      <c r="V9" s="452">
        <v>1.3717560098034927</v>
      </c>
    </row>
    <row r="10" spans="1:52" ht="12.75" customHeight="1" x14ac:dyDescent="0.35">
      <c r="A10" s="424"/>
      <c r="B10" s="424"/>
      <c r="C10" s="424"/>
      <c r="E10" s="424"/>
      <c r="F10" s="424"/>
      <c r="G10" s="424"/>
      <c r="H10" s="424"/>
      <c r="I10" s="448">
        <v>6</v>
      </c>
      <c r="J10" s="449">
        <v>0</v>
      </c>
      <c r="K10" s="450">
        <v>-1.0390027753463222</v>
      </c>
      <c r="L10" s="450">
        <v>-2.0780055506926507</v>
      </c>
      <c r="M10" s="450">
        <v>-3.1170083260389791</v>
      </c>
      <c r="N10" s="450">
        <v>-4.1560111013853076</v>
      </c>
      <c r="O10" s="450">
        <v>-5.1950138767316343</v>
      </c>
      <c r="P10" s="450">
        <v>-6.2340166520779619</v>
      </c>
      <c r="Q10" s="450">
        <v>-7.2730194274242903</v>
      </c>
      <c r="R10" s="450">
        <v>-8.312022202770617</v>
      </c>
      <c r="S10" s="450">
        <v>-9.3510249781169446</v>
      </c>
      <c r="T10" s="451">
        <v>-10.390027753463267</v>
      </c>
      <c r="U10" s="433"/>
      <c r="V10" s="452">
        <v>0.87487166490920254</v>
      </c>
    </row>
    <row r="11" spans="1:52" ht="12.75" customHeight="1" x14ac:dyDescent="0.35">
      <c r="A11" s="424"/>
      <c r="B11" s="424"/>
      <c r="C11" s="424"/>
      <c r="D11" s="424"/>
      <c r="E11" s="424"/>
      <c r="F11" s="424"/>
      <c r="G11" s="424"/>
      <c r="H11" s="424"/>
      <c r="I11" s="448">
        <v>7</v>
      </c>
      <c r="J11" s="449">
        <v>0</v>
      </c>
      <c r="K11" s="450">
        <v>-1.0605468004892527</v>
      </c>
      <c r="L11" s="450">
        <v>-2.1210936009785049</v>
      </c>
      <c r="M11" s="450">
        <v>-3.1816404014677571</v>
      </c>
      <c r="N11" s="450">
        <v>-4.2421872019570106</v>
      </c>
      <c r="O11" s="450">
        <v>-5.3027340024462628</v>
      </c>
      <c r="P11" s="450">
        <v>-6.3632808029355159</v>
      </c>
      <c r="Q11" s="450">
        <v>-7.4238276034247681</v>
      </c>
      <c r="R11" s="450">
        <v>-8.4843744039140212</v>
      </c>
      <c r="S11" s="450">
        <v>-9.5449212044032734</v>
      </c>
      <c r="T11" s="451">
        <v>-10.60546800489252</v>
      </c>
      <c r="U11" s="433"/>
      <c r="V11" s="452">
        <v>0.86032336707658952</v>
      </c>
    </row>
    <row r="12" spans="1:52" ht="12.75" customHeight="1" x14ac:dyDescent="0.35">
      <c r="A12" s="424"/>
      <c r="B12" s="424"/>
      <c r="C12" s="424"/>
      <c r="D12" s="424"/>
      <c r="E12" s="424"/>
      <c r="F12" s="424"/>
      <c r="G12" s="424"/>
      <c r="H12" s="424"/>
      <c r="I12" s="448">
        <v>8</v>
      </c>
      <c r="J12" s="449">
        <v>8.835232716091749</v>
      </c>
      <c r="K12" s="450">
        <v>6.051342420290438</v>
      </c>
      <c r="L12" s="450">
        <v>3.2674521244891204</v>
      </c>
      <c r="M12" s="450">
        <v>0.48356182868779829</v>
      </c>
      <c r="N12" s="450">
        <v>-2.3003284671135167</v>
      </c>
      <c r="O12" s="450">
        <v>-5.0842187629148308</v>
      </c>
      <c r="P12" s="450">
        <v>-7.8681090587161435</v>
      </c>
      <c r="Q12" s="450">
        <v>-10.651999354517459</v>
      </c>
      <c r="R12" s="450">
        <v>-13.43588965031878</v>
      </c>
      <c r="S12" s="450">
        <v>-16.219779946120088</v>
      </c>
      <c r="T12" s="451">
        <v>-19.003670241921412</v>
      </c>
      <c r="U12" s="433"/>
      <c r="V12" s="452">
        <v>1.3491830099675137</v>
      </c>
    </row>
    <row r="13" spans="1:52" ht="12.75" customHeight="1" x14ac:dyDescent="0.35">
      <c r="A13" s="424"/>
      <c r="B13" s="424"/>
      <c r="C13" s="424"/>
      <c r="D13" s="424"/>
      <c r="E13" s="424"/>
      <c r="F13" s="424"/>
      <c r="G13" s="424"/>
      <c r="H13" s="424"/>
      <c r="I13" s="448">
        <v>9</v>
      </c>
      <c r="J13" s="449">
        <v>-47.388998775423339</v>
      </c>
      <c r="K13" s="450">
        <v>-42.650098897880987</v>
      </c>
      <c r="L13" s="450">
        <v>-37.91119902033865</v>
      </c>
      <c r="M13" s="450">
        <v>-33.172299142796312</v>
      </c>
      <c r="N13" s="450">
        <v>-28.433399265253982</v>
      </c>
      <c r="O13" s="450">
        <v>-23.694499387711648</v>
      </c>
      <c r="P13" s="450">
        <v>-18.955599510169307</v>
      </c>
      <c r="Q13" s="450">
        <v>-14.216699632626973</v>
      </c>
      <c r="R13" s="450">
        <v>-9.4777997550846482</v>
      </c>
      <c r="S13" s="450">
        <v>-4.7388998775423019</v>
      </c>
      <c r="T13" s="451">
        <v>0</v>
      </c>
      <c r="U13" s="433"/>
      <c r="V13" s="452">
        <v>3.4282440039227073</v>
      </c>
    </row>
    <row r="14" spans="1:52" ht="12.75" customHeight="1" x14ac:dyDescent="0.35">
      <c r="A14" s="424"/>
      <c r="B14" s="424"/>
      <c r="C14" s="424"/>
      <c r="D14" s="424"/>
      <c r="E14" s="424"/>
      <c r="F14" s="424"/>
      <c r="G14" s="424"/>
      <c r="H14" s="424"/>
      <c r="I14" s="448">
        <v>10</v>
      </c>
      <c r="J14" s="449">
        <v>-0.66757026582574264</v>
      </c>
      <c r="K14" s="450">
        <v>-0.60211426852201277</v>
      </c>
      <c r="L14" s="450">
        <v>-0.5366582712182828</v>
      </c>
      <c r="M14" s="450">
        <v>-0.47120227391455294</v>
      </c>
      <c r="N14" s="450">
        <v>-0.40574627661082302</v>
      </c>
      <c r="O14" s="450">
        <v>-0.34029027930709321</v>
      </c>
      <c r="P14" s="450">
        <v>-0.27483428200336324</v>
      </c>
      <c r="Q14" s="450">
        <v>-0.2093782846996334</v>
      </c>
      <c r="R14" s="450">
        <v>-0.14392228739590357</v>
      </c>
      <c r="S14" s="450">
        <v>-7.8466290092173679E-2</v>
      </c>
      <c r="T14" s="451">
        <v>-1.3010292788443942E-2</v>
      </c>
      <c r="U14" s="433"/>
      <c r="V14" s="452">
        <v>4.8566442972551531</v>
      </c>
    </row>
    <row r="15" spans="1:52" ht="12.75" customHeight="1" x14ac:dyDescent="0.35">
      <c r="A15" s="424"/>
      <c r="B15" s="424"/>
      <c r="C15" s="424"/>
      <c r="D15" s="424"/>
      <c r="E15" s="424"/>
      <c r="F15" s="424"/>
      <c r="G15" s="424"/>
      <c r="H15" s="424"/>
      <c r="I15" s="448">
        <v>11</v>
      </c>
      <c r="J15" s="449">
        <v>-0.71754184790132924</v>
      </c>
      <c r="K15" s="450">
        <v>-0.64448663383235516</v>
      </c>
      <c r="L15" s="450">
        <v>-0.57143141976338108</v>
      </c>
      <c r="M15" s="450">
        <v>-0.49837620569440699</v>
      </c>
      <c r="N15" s="450">
        <v>-0.42532099162543291</v>
      </c>
      <c r="O15" s="450">
        <v>-0.35226577755645888</v>
      </c>
      <c r="P15" s="450">
        <v>-0.2792105634874848</v>
      </c>
      <c r="Q15" s="450">
        <v>-0.20615534941851085</v>
      </c>
      <c r="R15" s="450">
        <v>-0.13310013534953669</v>
      </c>
      <c r="S15" s="450">
        <v>-6.0044921280562671E-2</v>
      </c>
      <c r="T15" s="451">
        <v>1.3010292788411329E-2</v>
      </c>
      <c r="U15" s="433"/>
      <c r="V15" s="452">
        <v>4.8711792921158219</v>
      </c>
    </row>
    <row r="16" spans="1:52" ht="12.75" customHeight="1" x14ac:dyDescent="0.35">
      <c r="A16" s="424"/>
      <c r="B16" s="424"/>
      <c r="C16" s="424"/>
      <c r="D16" s="424"/>
      <c r="E16" s="424"/>
      <c r="F16" s="424"/>
      <c r="G16" s="424"/>
      <c r="H16" s="424"/>
      <c r="I16" s="448">
        <v>12</v>
      </c>
      <c r="J16" s="449">
        <v>-5.8987049943775878</v>
      </c>
      <c r="K16" s="450">
        <v>-4.7655511422744041</v>
      </c>
      <c r="L16" s="450">
        <v>-3.6323972901712214</v>
      </c>
      <c r="M16" s="450">
        <v>-2.4992434380680386</v>
      </c>
      <c r="N16" s="450">
        <v>-1.3660895859648561</v>
      </c>
      <c r="O16" s="450">
        <v>-0.2329357338616739</v>
      </c>
      <c r="P16" s="450">
        <v>0.90021811824150844</v>
      </c>
      <c r="Q16" s="450">
        <v>2.0333719703446906</v>
      </c>
      <c r="R16" s="450">
        <v>3.166525822447873</v>
      </c>
      <c r="S16" s="450">
        <v>4.2996796745510553</v>
      </c>
      <c r="T16" s="451">
        <v>5.432833526654238</v>
      </c>
      <c r="U16" s="433"/>
      <c r="V16" s="452">
        <v>2.0109694410691574</v>
      </c>
    </row>
    <row r="17" spans="1:24" ht="12.75" customHeight="1" x14ac:dyDescent="0.35">
      <c r="A17" s="424"/>
      <c r="B17" s="424"/>
      <c r="C17" s="424"/>
      <c r="D17" s="424"/>
      <c r="E17" s="424"/>
      <c r="F17" s="424"/>
      <c r="G17" s="424"/>
      <c r="H17" s="424"/>
      <c r="I17" s="448">
        <v>13</v>
      </c>
      <c r="J17" s="449">
        <v>-5.9256790941929731</v>
      </c>
      <c r="K17" s="450">
        <v>-4.7927221459644862</v>
      </c>
      <c r="L17" s="450">
        <v>-3.6597651977360002</v>
      </c>
      <c r="M17" s="450">
        <v>-2.5268082495075133</v>
      </c>
      <c r="N17" s="450">
        <v>-1.3938513012790275</v>
      </c>
      <c r="O17" s="450">
        <v>-0.26089435305054115</v>
      </c>
      <c r="P17" s="450">
        <v>0.87206259517794493</v>
      </c>
      <c r="Q17" s="450">
        <v>2.0050195434064313</v>
      </c>
      <c r="R17" s="450">
        <v>3.1379764916349173</v>
      </c>
      <c r="S17" s="450">
        <v>4.2709334398634038</v>
      </c>
      <c r="T17" s="451">
        <v>5.4038903880918889</v>
      </c>
      <c r="U17" s="433"/>
      <c r="V17" s="452">
        <v>2.0380186571987018</v>
      </c>
    </row>
    <row r="18" spans="1:24" ht="12.75" customHeight="1" x14ac:dyDescent="0.35">
      <c r="A18" s="424"/>
      <c r="B18" s="424"/>
      <c r="C18" s="424"/>
      <c r="D18" s="424"/>
      <c r="E18" s="424"/>
      <c r="F18" s="424"/>
      <c r="G18" s="424"/>
      <c r="H18" s="424"/>
      <c r="I18" s="448">
        <v>14</v>
      </c>
      <c r="J18" s="449">
        <v>0</v>
      </c>
      <c r="K18" s="450">
        <v>0</v>
      </c>
      <c r="L18" s="450">
        <v>0</v>
      </c>
      <c r="M18" s="450">
        <v>0</v>
      </c>
      <c r="N18" s="450">
        <v>0</v>
      </c>
      <c r="O18" s="450">
        <v>0</v>
      </c>
      <c r="P18" s="450">
        <v>0</v>
      </c>
      <c r="Q18" s="450">
        <v>0</v>
      </c>
      <c r="R18" s="450">
        <v>0</v>
      </c>
      <c r="S18" s="450">
        <v>0</v>
      </c>
      <c r="T18" s="451">
        <v>0</v>
      </c>
      <c r="U18" s="433"/>
      <c r="V18" s="452">
        <v>0.60000000000000053</v>
      </c>
    </row>
    <row r="19" spans="1:24" ht="12.75" customHeight="1" x14ac:dyDescent="0.35">
      <c r="A19" s="424"/>
      <c r="B19" s="424"/>
      <c r="C19" s="424"/>
      <c r="D19" s="424"/>
      <c r="E19" s="424"/>
      <c r="F19" s="424"/>
      <c r="G19" s="424"/>
      <c r="H19" s="424"/>
      <c r="I19" s="448">
        <v>15</v>
      </c>
      <c r="J19" s="449">
        <v>0</v>
      </c>
      <c r="K19" s="450">
        <v>0</v>
      </c>
      <c r="L19" s="450">
        <v>0</v>
      </c>
      <c r="M19" s="450">
        <v>0</v>
      </c>
      <c r="N19" s="450">
        <v>0</v>
      </c>
      <c r="O19" s="450">
        <v>0</v>
      </c>
      <c r="P19" s="450">
        <v>0</v>
      </c>
      <c r="Q19" s="450">
        <v>0</v>
      </c>
      <c r="R19" s="450">
        <v>0</v>
      </c>
      <c r="S19" s="450">
        <v>0</v>
      </c>
      <c r="T19" s="451">
        <v>0</v>
      </c>
      <c r="U19" s="433"/>
      <c r="V19" s="452">
        <v>1.5</v>
      </c>
    </row>
    <row r="20" spans="1:24" ht="12.75" customHeight="1" x14ac:dyDescent="0.35">
      <c r="A20" s="424"/>
      <c r="B20" s="424"/>
      <c r="C20" s="424"/>
      <c r="D20" s="424"/>
      <c r="E20" s="424"/>
      <c r="F20" s="424"/>
      <c r="G20" s="424"/>
      <c r="H20" s="424"/>
      <c r="I20" s="448">
        <v>16</v>
      </c>
      <c r="J20" s="449">
        <v>0</v>
      </c>
      <c r="K20" s="450">
        <v>0</v>
      </c>
      <c r="L20" s="450">
        <v>0</v>
      </c>
      <c r="M20" s="450">
        <v>0</v>
      </c>
      <c r="N20" s="450">
        <v>0</v>
      </c>
      <c r="O20" s="450">
        <v>0</v>
      </c>
      <c r="P20" s="450">
        <v>0</v>
      </c>
      <c r="Q20" s="450">
        <v>0</v>
      </c>
      <c r="R20" s="450">
        <v>0</v>
      </c>
      <c r="S20" s="450">
        <v>0</v>
      </c>
      <c r="T20" s="451">
        <v>0</v>
      </c>
      <c r="U20" s="433"/>
      <c r="V20" s="452">
        <v>0.59999999999999964</v>
      </c>
    </row>
    <row r="21" spans="1:24" ht="12.75" customHeight="1" x14ac:dyDescent="0.35">
      <c r="A21" s="424"/>
      <c r="B21" s="424"/>
      <c r="C21" s="424"/>
      <c r="D21" s="424"/>
      <c r="E21" s="424"/>
      <c r="F21" s="424"/>
      <c r="G21" s="424"/>
      <c r="H21" s="424"/>
      <c r="I21" s="448">
        <v>17</v>
      </c>
      <c r="J21" s="449">
        <v>0</v>
      </c>
      <c r="K21" s="450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1">
        <v>0</v>
      </c>
      <c r="U21" s="433"/>
      <c r="V21" s="452">
        <v>1.9729419656948859</v>
      </c>
    </row>
    <row r="22" spans="1:24" ht="12.75" customHeight="1" x14ac:dyDescent="0.35">
      <c r="A22" s="424"/>
      <c r="B22" s="424"/>
      <c r="C22" s="424"/>
      <c r="D22" s="424"/>
      <c r="E22" s="424"/>
      <c r="F22" s="424"/>
      <c r="G22" s="424"/>
      <c r="H22" s="455"/>
      <c r="I22" s="448">
        <v>18</v>
      </c>
      <c r="J22" s="449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50">
        <v>0</v>
      </c>
      <c r="R22" s="450">
        <v>0</v>
      </c>
      <c r="S22" s="450">
        <v>0</v>
      </c>
      <c r="T22" s="451">
        <v>0</v>
      </c>
      <c r="U22" s="433"/>
      <c r="V22" s="452">
        <v>1.9729419656948861</v>
      </c>
      <c r="X22" s="424"/>
    </row>
    <row r="23" spans="1:24" ht="12.75" customHeight="1" x14ac:dyDescent="0.35">
      <c r="A23" s="424"/>
      <c r="B23" s="424"/>
      <c r="C23" s="424"/>
      <c r="D23" s="424"/>
      <c r="E23" s="424"/>
      <c r="F23" s="424"/>
      <c r="G23" s="424"/>
      <c r="H23" s="424"/>
      <c r="I23" s="448">
        <v>19</v>
      </c>
      <c r="J23" s="449">
        <v>163.9921226805254</v>
      </c>
      <c r="K23" s="450">
        <v>131.19369814442032</v>
      </c>
      <c r="L23" s="450">
        <v>98.395273608315222</v>
      </c>
      <c r="M23" s="450">
        <v>65.596849072210134</v>
      </c>
      <c r="N23" s="450">
        <v>32.798424536105067</v>
      </c>
      <c r="O23" s="450">
        <v>0</v>
      </c>
      <c r="P23" s="450">
        <v>-32.798424536105067</v>
      </c>
      <c r="Q23" s="450">
        <v>-65.596849072210134</v>
      </c>
      <c r="R23" s="450">
        <v>-98.395273608315222</v>
      </c>
      <c r="S23" s="450">
        <v>-131.19369814442027</v>
      </c>
      <c r="T23" s="451">
        <v>-163.99212268052534</v>
      </c>
      <c r="U23" s="433"/>
      <c r="V23" s="452">
        <v>3.4500000000000011</v>
      </c>
      <c r="X23" s="424"/>
    </row>
    <row r="24" spans="1:24" ht="12.75" customHeight="1" x14ac:dyDescent="0.35">
      <c r="A24" s="424"/>
      <c r="B24" s="424"/>
      <c r="C24" s="424"/>
      <c r="D24" s="424"/>
      <c r="E24" s="424"/>
      <c r="F24" s="424"/>
      <c r="G24" s="424"/>
      <c r="H24" s="424"/>
      <c r="I24" s="448">
        <v>20</v>
      </c>
      <c r="J24" s="449">
        <v>-6.5401692565871556</v>
      </c>
      <c r="K24" s="450">
        <v>-5.2197331052440123</v>
      </c>
      <c r="L24" s="450">
        <v>-3.8992969539008695</v>
      </c>
      <c r="M24" s="450">
        <v>-2.5788608025577262</v>
      </c>
      <c r="N24" s="450">
        <v>-1.2584246512145836</v>
      </c>
      <c r="O24" s="450">
        <v>6.2011500128559147E-2</v>
      </c>
      <c r="P24" s="450">
        <v>1.3824476514717017</v>
      </c>
      <c r="Q24" s="450">
        <v>2.7028838028148443</v>
      </c>
      <c r="R24" s="450">
        <v>4.0233199541579872</v>
      </c>
      <c r="S24" s="450">
        <v>5.3437561055011296</v>
      </c>
      <c r="T24" s="451">
        <v>6.664192256844272</v>
      </c>
      <c r="U24" s="433"/>
      <c r="V24" s="452">
        <v>1.0204706613249594</v>
      </c>
      <c r="X24" s="424"/>
    </row>
    <row r="25" spans="1:24" ht="12.75" customHeight="1" x14ac:dyDescent="0.35">
      <c r="A25" s="424"/>
      <c r="B25" s="424"/>
      <c r="C25" s="424"/>
      <c r="D25" s="424"/>
      <c r="E25" s="424"/>
      <c r="F25" s="424"/>
      <c r="G25" s="424"/>
      <c r="H25" s="424"/>
      <c r="I25" s="448">
        <v>21</v>
      </c>
      <c r="J25" s="449">
        <v>0</v>
      </c>
      <c r="K25" s="450">
        <v>5.4571476367187648E-4</v>
      </c>
      <c r="L25" s="450">
        <v>1.0914295273401081E-3</v>
      </c>
      <c r="M25" s="450">
        <v>1.6371442910083375E-3</v>
      </c>
      <c r="N25" s="450">
        <v>2.1828590546765681E-3</v>
      </c>
      <c r="O25" s="450">
        <v>2.7285738183447992E-3</v>
      </c>
      <c r="P25" s="450">
        <v>3.27428858201303E-3</v>
      </c>
      <c r="Q25" s="450">
        <v>3.8200033456812612E-3</v>
      </c>
      <c r="R25" s="450">
        <v>4.3657181093494915E-3</v>
      </c>
      <c r="S25" s="450">
        <v>4.9114328730177226E-3</v>
      </c>
      <c r="T25" s="451">
        <v>5.4571476366859512E-3</v>
      </c>
      <c r="U25" s="433"/>
      <c r="V25" s="452">
        <v>3.4508170038970469</v>
      </c>
      <c r="X25" s="424"/>
    </row>
    <row r="26" spans="1:24" ht="12.75" customHeight="1" x14ac:dyDescent="0.35">
      <c r="I26" s="448">
        <v>22</v>
      </c>
      <c r="J26" s="449">
        <v>-3.559458588405319E-3</v>
      </c>
      <c r="K26" s="450">
        <v>-2.8475668707242554E-3</v>
      </c>
      <c r="L26" s="450">
        <v>-2.1356751530431915E-3</v>
      </c>
      <c r="M26" s="450">
        <v>-1.4237834353621275E-3</v>
      </c>
      <c r="N26" s="450">
        <v>-7.1189171768106375E-4</v>
      </c>
      <c r="O26" s="450">
        <v>0</v>
      </c>
      <c r="P26" s="450">
        <v>7.1189171768106375E-4</v>
      </c>
      <c r="Q26" s="450">
        <v>1.4237834353621275E-3</v>
      </c>
      <c r="R26" s="450">
        <v>2.135675153043191E-3</v>
      </c>
      <c r="S26" s="450">
        <v>2.847566870724255E-3</v>
      </c>
      <c r="T26" s="451">
        <v>3.5594585884053185E-3</v>
      </c>
      <c r="U26" s="433"/>
      <c r="V26" s="452">
        <v>5.6603895272322911</v>
      </c>
      <c r="X26" s="424"/>
    </row>
    <row r="27" spans="1:24" ht="12.75" customHeight="1" x14ac:dyDescent="0.35">
      <c r="I27" s="448">
        <v>23</v>
      </c>
      <c r="J27" s="449">
        <v>-3.5521783499104119E-3</v>
      </c>
      <c r="K27" s="450">
        <v>-2.8417426799283293E-3</v>
      </c>
      <c r="L27" s="450">
        <v>-2.1313070099462463E-3</v>
      </c>
      <c r="M27" s="450">
        <v>-1.4208713399641642E-3</v>
      </c>
      <c r="N27" s="450">
        <v>-7.1043566998208211E-4</v>
      </c>
      <c r="O27" s="450">
        <v>0</v>
      </c>
      <c r="P27" s="450">
        <v>7.1043566998208211E-4</v>
      </c>
      <c r="Q27" s="450">
        <v>1.4208713399641642E-3</v>
      </c>
      <c r="R27" s="450">
        <v>2.1313070099462463E-3</v>
      </c>
      <c r="S27" s="450">
        <v>2.8417426799283284E-3</v>
      </c>
      <c r="T27" s="451">
        <v>3.5521783499104106E-3</v>
      </c>
      <c r="U27" s="433"/>
      <c r="V27" s="452">
        <v>5.660387831235683</v>
      </c>
      <c r="X27" s="424"/>
    </row>
    <row r="28" spans="1:24" ht="12.75" customHeight="1" x14ac:dyDescent="0.35">
      <c r="I28" s="448">
        <v>24</v>
      </c>
      <c r="J28" s="449">
        <v>2.4255146120933405E-5</v>
      </c>
      <c r="K28" s="450">
        <v>-5.2784369386819549E-4</v>
      </c>
      <c r="L28" s="450">
        <v>-1.0799425338573244E-3</v>
      </c>
      <c r="M28" s="450">
        <v>-1.6320413738464506E-3</v>
      </c>
      <c r="N28" s="450">
        <v>-2.1841402138355779E-3</v>
      </c>
      <c r="O28" s="450">
        <v>-2.736239053824707E-3</v>
      </c>
      <c r="P28" s="450">
        <v>-3.2883378938138351E-3</v>
      </c>
      <c r="Q28" s="450">
        <v>-3.8404367338029629E-3</v>
      </c>
      <c r="R28" s="450">
        <v>-4.3925355737920906E-3</v>
      </c>
      <c r="S28" s="450">
        <v>-4.9446344137812192E-3</v>
      </c>
      <c r="T28" s="451">
        <v>-5.4967332537703469E-3</v>
      </c>
      <c r="U28" s="433"/>
      <c r="V28" s="452">
        <v>1.3717550098035001</v>
      </c>
      <c r="X28" s="424"/>
    </row>
    <row r="29" spans="1:24" ht="12.75" customHeight="1" x14ac:dyDescent="0.35">
      <c r="I29" s="448">
        <v>25</v>
      </c>
      <c r="J29" s="449">
        <v>0</v>
      </c>
      <c r="K29" s="450">
        <v>-3.7740130244010679E-4</v>
      </c>
      <c r="L29" s="450">
        <v>-7.5480260488020989E-4</v>
      </c>
      <c r="M29" s="450">
        <v>-1.1322039073203166E-3</v>
      </c>
      <c r="N29" s="450">
        <v>-1.5096052097604232E-3</v>
      </c>
      <c r="O29" s="450">
        <v>-1.8870065122005288E-3</v>
      </c>
      <c r="P29" s="450">
        <v>-2.2644078146406349E-3</v>
      </c>
      <c r="Q29" s="450">
        <v>-2.6418091170807415E-3</v>
      </c>
      <c r="R29" s="450">
        <v>-3.0192104195208469E-3</v>
      </c>
      <c r="S29" s="450">
        <v>-3.3966117219609549E-3</v>
      </c>
      <c r="T29" s="451">
        <v>-3.7740130244010598E-3</v>
      </c>
      <c r="U29" s="433"/>
      <c r="V29" s="452">
        <v>0.87487166490920221</v>
      </c>
      <c r="X29" s="424"/>
    </row>
    <row r="30" spans="1:24" ht="12.75" customHeight="1" x14ac:dyDescent="0.35">
      <c r="I30" s="448">
        <v>26</v>
      </c>
      <c r="J30" s="449">
        <v>0</v>
      </c>
      <c r="K30" s="450">
        <v>-3.9670191968952816E-4</v>
      </c>
      <c r="L30" s="450">
        <v>-7.9340383937905837E-4</v>
      </c>
      <c r="M30" s="450">
        <v>-1.1901057590685896E-3</v>
      </c>
      <c r="N30" s="450">
        <v>-1.5868076787581198E-3</v>
      </c>
      <c r="O30" s="450">
        <v>-1.98350959844765E-3</v>
      </c>
      <c r="P30" s="450">
        <v>-2.3802115181371804E-3</v>
      </c>
      <c r="Q30" s="450">
        <v>-2.7769134378267109E-3</v>
      </c>
      <c r="R30" s="450">
        <v>-3.1736153575162409E-3</v>
      </c>
      <c r="S30" s="450">
        <v>-3.5703172772057722E-3</v>
      </c>
      <c r="T30" s="451">
        <v>-3.9670191968953017E-3</v>
      </c>
      <c r="U30" s="433"/>
      <c r="V30" s="452">
        <v>0.86032325781940855</v>
      </c>
      <c r="X30" s="424"/>
    </row>
    <row r="31" spans="1:24" ht="12.75" customHeight="1" x14ac:dyDescent="0.35">
      <c r="I31" s="448">
        <v>27</v>
      </c>
      <c r="J31" s="449">
        <v>5.4571476366910192E-3</v>
      </c>
      <c r="K31" s="450">
        <v>4.9138583876340101E-3</v>
      </c>
      <c r="L31" s="450">
        <v>4.3705691385770018E-3</v>
      </c>
      <c r="M31" s="450">
        <v>3.8272798895199935E-3</v>
      </c>
      <c r="N31" s="450">
        <v>3.2839906404629857E-3</v>
      </c>
      <c r="O31" s="450">
        <v>2.740701391405977E-3</v>
      </c>
      <c r="P31" s="450">
        <v>2.1974121423489687E-3</v>
      </c>
      <c r="Q31" s="450">
        <v>1.6541228932919609E-3</v>
      </c>
      <c r="R31" s="450">
        <v>1.1108336442349541E-3</v>
      </c>
      <c r="S31" s="450">
        <v>5.6754439517794474E-4</v>
      </c>
      <c r="T31" s="451">
        <v>2.4255146120936793E-5</v>
      </c>
      <c r="U31" s="433"/>
      <c r="V31" s="452">
        <v>1.3491840099675074</v>
      </c>
    </row>
    <row r="32" spans="1:24" ht="12.75" customHeight="1" x14ac:dyDescent="0.35">
      <c r="I32" s="448">
        <v>28</v>
      </c>
      <c r="J32" s="449">
        <v>-5.4967332537733315E-3</v>
      </c>
      <c r="K32" s="450">
        <v>-4.9470599283959983E-3</v>
      </c>
      <c r="L32" s="450">
        <v>-4.3973866030186642E-3</v>
      </c>
      <c r="M32" s="450">
        <v>-3.8477132776413322E-3</v>
      </c>
      <c r="N32" s="450">
        <v>-3.2980399522639994E-3</v>
      </c>
      <c r="O32" s="450">
        <v>-2.7483666268866658E-3</v>
      </c>
      <c r="P32" s="450">
        <v>-2.1986933015093321E-3</v>
      </c>
      <c r="Q32" s="450">
        <v>-1.6490199761319993E-3</v>
      </c>
      <c r="R32" s="450">
        <v>-1.0993466507546671E-3</v>
      </c>
      <c r="S32" s="450">
        <v>-5.4967332537733356E-4</v>
      </c>
      <c r="T32" s="451">
        <v>0</v>
      </c>
      <c r="U32" s="433"/>
      <c r="V32" s="452">
        <v>3.4282440039227073</v>
      </c>
    </row>
    <row r="33" spans="4:22" ht="12.75" customHeight="1" x14ac:dyDescent="0.35">
      <c r="I33" s="448">
        <v>29</v>
      </c>
      <c r="J33" s="449">
        <v>-9.3957246071007627E-4</v>
      </c>
      <c r="K33" s="450">
        <v>-8.4583087329734438E-4</v>
      </c>
      <c r="L33" s="450">
        <v>-7.5208928588461237E-4</v>
      </c>
      <c r="M33" s="450">
        <v>-6.5834769847188037E-4</v>
      </c>
      <c r="N33" s="450">
        <v>-5.6460611105914847E-4</v>
      </c>
      <c r="O33" s="450">
        <v>-4.7086452364641641E-4</v>
      </c>
      <c r="P33" s="450">
        <v>-3.7712293623368457E-4</v>
      </c>
      <c r="Q33" s="450">
        <v>-2.8338134882095262E-4</v>
      </c>
      <c r="R33" s="450">
        <v>-1.8963976140822081E-4</v>
      </c>
      <c r="S33" s="450">
        <v>-9.5898173995488775E-5</v>
      </c>
      <c r="T33" s="451">
        <v>-2.1565865827567372E-6</v>
      </c>
      <c r="U33" s="433"/>
      <c r="V33" s="452">
        <v>4.856644403161714</v>
      </c>
    </row>
    <row r="34" spans="4:22" ht="12.75" customHeight="1" x14ac:dyDescent="0.35">
      <c r="I34" s="448">
        <v>30</v>
      </c>
      <c r="J34" s="449">
        <v>-9.4538240996288583E-4</v>
      </c>
      <c r="K34" s="450">
        <v>-8.5062851030839144E-4</v>
      </c>
      <c r="L34" s="450">
        <v>-7.5587461065389737E-4</v>
      </c>
      <c r="M34" s="450">
        <v>-6.6112071099940341E-4</v>
      </c>
      <c r="N34" s="450">
        <v>-5.6636681134490945E-4</v>
      </c>
      <c r="O34" s="450">
        <v>-4.7161291169041532E-4</v>
      </c>
      <c r="P34" s="450">
        <v>-3.7685901203592136E-4</v>
      </c>
      <c r="Q34" s="450">
        <v>-2.8210511238142729E-4</v>
      </c>
      <c r="R34" s="450">
        <v>-1.873512127269335E-4</v>
      </c>
      <c r="S34" s="450">
        <v>-9.259731307243917E-5</v>
      </c>
      <c r="T34" s="451">
        <v>2.1565865820547163E-6</v>
      </c>
      <c r="U34" s="433"/>
      <c r="V34" s="452">
        <v>4.871179188239025</v>
      </c>
    </row>
    <row r="35" spans="4:22" ht="12.75" customHeight="1" thickBot="1" x14ac:dyDescent="0.4">
      <c r="I35" s="448">
        <v>31</v>
      </c>
      <c r="J35" s="449">
        <v>1.3399489545328614E-2</v>
      </c>
      <c r="K35" s="450">
        <v>1.0607571741182226E-2</v>
      </c>
      <c r="L35" s="450">
        <v>7.8156539370358418E-3</v>
      </c>
      <c r="M35" s="450">
        <v>5.0237361328894555E-3</v>
      </c>
      <c r="N35" s="450">
        <v>2.2318183287430714E-3</v>
      </c>
      <c r="O35" s="450">
        <v>-5.6009947540331317E-4</v>
      </c>
      <c r="P35" s="450">
        <v>-3.3520172795496977E-3</v>
      </c>
      <c r="Q35" s="450">
        <v>-6.1439350836960819E-3</v>
      </c>
      <c r="R35" s="450">
        <v>-8.9358528878424673E-3</v>
      </c>
      <c r="S35" s="450">
        <v>-1.172777069198885E-2</v>
      </c>
      <c r="T35" s="451">
        <v>-1.4519688496135235E-2</v>
      </c>
      <c r="U35" s="433"/>
      <c r="V35" s="452">
        <v>2.0109694410691574</v>
      </c>
    </row>
    <row r="36" spans="4:22" x14ac:dyDescent="0.35">
      <c r="D36" s="473" t="s">
        <v>133</v>
      </c>
      <c r="E36" s="482">
        <f>MAX(J5:T44)</f>
        <v>163.9921226805254</v>
      </c>
      <c r="I36" s="448">
        <v>32</v>
      </c>
      <c r="J36" s="449">
        <v>1.3061639353650288E-2</v>
      </c>
      <c r="K36" s="450">
        <v>1.0337748973725741E-2</v>
      </c>
      <c r="L36" s="450">
        <v>7.6138585938012003E-3</v>
      </c>
      <c r="M36" s="450">
        <v>4.8899682138766583E-3</v>
      </c>
      <c r="N36" s="450">
        <v>2.1660778339521159E-3</v>
      </c>
      <c r="O36" s="450">
        <v>-5.5781254597242664E-4</v>
      </c>
      <c r="P36" s="450">
        <v>-3.2817029258969694E-3</v>
      </c>
      <c r="Q36" s="450">
        <v>-6.0055933058215114E-3</v>
      </c>
      <c r="R36" s="450">
        <v>-8.7294836857460516E-3</v>
      </c>
      <c r="S36" s="450">
        <v>-1.1453374065670596E-2</v>
      </c>
      <c r="T36" s="451">
        <v>-1.4177264445595136E-2</v>
      </c>
      <c r="U36" s="433"/>
      <c r="V36" s="452">
        <v>2.0380186571987022</v>
      </c>
    </row>
    <row r="37" spans="4:22" ht="13.15" thickBot="1" x14ac:dyDescent="0.4">
      <c r="D37" s="483" t="s">
        <v>134</v>
      </c>
      <c r="E37" s="484">
        <f>MIN(J5:T44)</f>
        <v>-163.99212268052534</v>
      </c>
      <c r="I37" s="448">
        <v>33</v>
      </c>
      <c r="J37" s="449">
        <v>-8.9740858609517176E-3</v>
      </c>
      <c r="K37" s="450">
        <v>-7.1772128830799517E-3</v>
      </c>
      <c r="L37" s="450">
        <v>-5.3803399052081849E-3</v>
      </c>
      <c r="M37" s="450">
        <v>-3.5834669273364182E-3</v>
      </c>
      <c r="N37" s="450">
        <v>-1.786593949464652E-3</v>
      </c>
      <c r="O37" s="450">
        <v>1.0279028407113638E-5</v>
      </c>
      <c r="P37" s="450">
        <v>1.8071520062788793E-3</v>
      </c>
      <c r="Q37" s="450">
        <v>3.604024984150645E-3</v>
      </c>
      <c r="R37" s="450">
        <v>5.4008979620224114E-3</v>
      </c>
      <c r="S37" s="450">
        <v>7.1977709398941773E-3</v>
      </c>
      <c r="T37" s="451">
        <v>8.9946439177659415E-3</v>
      </c>
      <c r="U37" s="433"/>
      <c r="V37" s="452">
        <v>1.0204706613249594</v>
      </c>
    </row>
    <row r="38" spans="4:22" x14ac:dyDescent="0.35">
      <c r="I38" s="448">
        <v>34</v>
      </c>
      <c r="J38" s="449"/>
      <c r="K38" s="450"/>
      <c r="L38" s="450"/>
      <c r="M38" s="450"/>
      <c r="N38" s="450"/>
      <c r="O38" s="450"/>
      <c r="P38" s="450"/>
      <c r="Q38" s="450"/>
      <c r="R38" s="450"/>
      <c r="S38" s="450"/>
      <c r="T38" s="451"/>
      <c r="U38" s="433"/>
      <c r="V38" s="452"/>
    </row>
    <row r="39" spans="4:22" x14ac:dyDescent="0.35">
      <c r="I39" s="448">
        <v>35</v>
      </c>
      <c r="J39" s="449"/>
      <c r="K39" s="450"/>
      <c r="L39" s="450"/>
      <c r="M39" s="450"/>
      <c r="N39" s="450"/>
      <c r="O39" s="450"/>
      <c r="P39" s="450"/>
      <c r="Q39" s="450"/>
      <c r="R39" s="450"/>
      <c r="S39" s="450"/>
      <c r="T39" s="451"/>
      <c r="U39" s="433"/>
      <c r="V39" s="452"/>
    </row>
    <row r="40" spans="4:22" x14ac:dyDescent="0.35">
      <c r="I40" s="448">
        <v>36</v>
      </c>
      <c r="J40" s="449"/>
      <c r="K40" s="450"/>
      <c r="L40" s="450"/>
      <c r="M40" s="450"/>
      <c r="N40" s="450"/>
      <c r="O40" s="450"/>
      <c r="P40" s="450"/>
      <c r="Q40" s="450"/>
      <c r="R40" s="450"/>
      <c r="S40" s="450"/>
      <c r="T40" s="451"/>
      <c r="U40" s="433"/>
      <c r="V40" s="452"/>
    </row>
    <row r="41" spans="4:22" x14ac:dyDescent="0.35">
      <c r="I41" s="448">
        <v>37</v>
      </c>
      <c r="J41" s="449"/>
      <c r="K41" s="450"/>
      <c r="L41" s="450"/>
      <c r="M41" s="450"/>
      <c r="N41" s="450"/>
      <c r="O41" s="450"/>
      <c r="P41" s="450"/>
      <c r="Q41" s="450"/>
      <c r="R41" s="450"/>
      <c r="S41" s="450"/>
      <c r="T41" s="451"/>
      <c r="U41" s="433"/>
      <c r="V41" s="452"/>
    </row>
    <row r="42" spans="4:22" x14ac:dyDescent="0.35">
      <c r="I42" s="448">
        <v>38</v>
      </c>
      <c r="J42" s="449"/>
      <c r="K42" s="450"/>
      <c r="L42" s="450"/>
      <c r="M42" s="450"/>
      <c r="N42" s="450"/>
      <c r="O42" s="450"/>
      <c r="P42" s="450"/>
      <c r="Q42" s="450"/>
      <c r="R42" s="450"/>
      <c r="S42" s="450"/>
      <c r="T42" s="451"/>
      <c r="U42" s="433"/>
      <c r="V42" s="452"/>
    </row>
    <row r="43" spans="4:22" x14ac:dyDescent="0.35">
      <c r="I43" s="448">
        <v>39</v>
      </c>
      <c r="J43" s="449"/>
      <c r="K43" s="450"/>
      <c r="L43" s="450"/>
      <c r="M43" s="450"/>
      <c r="N43" s="450"/>
      <c r="O43" s="450"/>
      <c r="P43" s="450"/>
      <c r="Q43" s="450"/>
      <c r="R43" s="450"/>
      <c r="S43" s="450"/>
      <c r="T43" s="451"/>
      <c r="U43" s="433"/>
      <c r="V43" s="452"/>
    </row>
    <row r="44" spans="4:22" ht="13.15" thickBot="1" x14ac:dyDescent="0.4">
      <c r="I44" s="460">
        <v>40</v>
      </c>
      <c r="J44" s="461"/>
      <c r="K44" s="462"/>
      <c r="L44" s="462"/>
      <c r="M44" s="462"/>
      <c r="N44" s="462"/>
      <c r="O44" s="462"/>
      <c r="P44" s="462"/>
      <c r="Q44" s="462"/>
      <c r="R44" s="462"/>
      <c r="S44" s="462"/>
      <c r="T44" s="463"/>
      <c r="U44" s="433"/>
      <c r="V44" s="464"/>
    </row>
    <row r="45" spans="4:22" x14ac:dyDescent="0.35"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</row>
    <row r="46" spans="4:22" ht="13.15" thickBot="1" x14ac:dyDescent="0.4">
      <c r="I46" s="455"/>
      <c r="J46" s="455"/>
      <c r="K46" s="455"/>
      <c r="N46" s="455"/>
      <c r="O46" s="455"/>
      <c r="P46" s="455"/>
      <c r="Q46" s="455"/>
      <c r="R46" s="455"/>
      <c r="S46" s="455"/>
      <c r="T46" s="455"/>
    </row>
    <row r="47" spans="4:22" ht="13.15" thickBot="1" x14ac:dyDescent="0.4">
      <c r="I47" s="455"/>
      <c r="J47" s="496"/>
      <c r="K47" s="455"/>
      <c r="L47" s="455"/>
      <c r="M47" s="455"/>
      <c r="N47" s="455"/>
      <c r="O47" s="455"/>
      <c r="P47" s="455"/>
      <c r="R47" s="486"/>
      <c r="S47" s="497"/>
      <c r="T47" s="498"/>
    </row>
    <row r="48" spans="4:22" x14ac:dyDescent="0.35">
      <c r="I48" s="455"/>
      <c r="J48" s="455"/>
      <c r="K48" s="455"/>
      <c r="L48" s="455"/>
      <c r="M48" s="455"/>
      <c r="N48" s="455"/>
      <c r="O48" s="455"/>
      <c r="P48" s="455"/>
      <c r="Q48" s="455"/>
      <c r="R48" s="499"/>
      <c r="S48" s="500"/>
      <c r="T48" s="501"/>
    </row>
    <row r="49" spans="12:20" ht="13.15" thickBot="1" x14ac:dyDescent="0.4">
      <c r="L49" s="455"/>
      <c r="N49" s="455"/>
      <c r="Q49" s="455"/>
      <c r="R49" s="502"/>
      <c r="S49" s="503"/>
      <c r="T49" s="504"/>
    </row>
    <row r="50" spans="12:20" x14ac:dyDescent="0.35">
      <c r="L50" s="455"/>
      <c r="N50" s="455"/>
      <c r="S50" s="505"/>
      <c r="T50" s="506"/>
    </row>
    <row r="51" spans="12:20" ht="13.15" thickBot="1" x14ac:dyDescent="0.4">
      <c r="L51" s="455"/>
      <c r="N51" s="455"/>
      <c r="S51" s="507"/>
      <c r="T51" s="504"/>
    </row>
    <row r="52" spans="12:20" x14ac:dyDescent="0.35">
      <c r="L52" s="455"/>
      <c r="N52" s="455"/>
    </row>
    <row r="53" spans="12:20" x14ac:dyDescent="0.35">
      <c r="L53" s="455"/>
      <c r="N53" s="455"/>
    </row>
    <row r="54" spans="12:20" x14ac:dyDescent="0.35">
      <c r="L54" s="455"/>
      <c r="N54" s="455"/>
    </row>
    <row r="55" spans="12:20" x14ac:dyDescent="0.35">
      <c r="L55" s="455"/>
      <c r="N55" s="455"/>
    </row>
    <row r="56" spans="12:20" x14ac:dyDescent="0.35">
      <c r="L56" s="455"/>
      <c r="N56" s="455"/>
    </row>
    <row r="57" spans="12:20" x14ac:dyDescent="0.35">
      <c r="L57" s="455"/>
      <c r="N57" s="455"/>
    </row>
    <row r="77" spans="13:32" x14ac:dyDescent="0.35">
      <c r="AD77" s="424"/>
      <c r="AE77" s="424"/>
      <c r="AF77" s="424"/>
    </row>
    <row r="78" spans="13:32" x14ac:dyDescent="0.35">
      <c r="AD78" s="424"/>
      <c r="AE78" s="424"/>
      <c r="AF78" s="424"/>
    </row>
    <row r="79" spans="13:32" x14ac:dyDescent="0.35">
      <c r="M79" s="424"/>
      <c r="P79" s="424"/>
      <c r="Q79" s="424"/>
      <c r="X79" s="424"/>
      <c r="AD79" s="424"/>
      <c r="AE79" s="424"/>
      <c r="AF79" s="424"/>
    </row>
    <row r="80" spans="13:32" x14ac:dyDescent="0.35">
      <c r="M80" s="424"/>
      <c r="P80" s="424"/>
      <c r="Q80" s="424"/>
      <c r="X80" s="424"/>
      <c r="AD80" s="424"/>
      <c r="AE80" s="424"/>
      <c r="AF80" s="424"/>
    </row>
    <row r="81" spans="13:32" x14ac:dyDescent="0.35">
      <c r="M81" s="424"/>
      <c r="P81" s="424"/>
      <c r="Q81" s="424"/>
      <c r="X81" s="424"/>
      <c r="AD81" s="424"/>
      <c r="AE81" s="424"/>
      <c r="AF81" s="424"/>
    </row>
    <row r="82" spans="13:32" x14ac:dyDescent="0.35">
      <c r="M82" s="424"/>
      <c r="P82" s="424"/>
      <c r="Q82" s="424"/>
      <c r="X82" s="424"/>
      <c r="AD82" s="424"/>
      <c r="AE82" s="424"/>
      <c r="AF82" s="424"/>
    </row>
    <row r="83" spans="13:32" x14ac:dyDescent="0.35">
      <c r="M83" s="424"/>
      <c r="P83" s="424"/>
      <c r="Q83" s="424"/>
      <c r="X83" s="424"/>
      <c r="AD83" s="424"/>
      <c r="AE83" s="424"/>
      <c r="AF83" s="424"/>
    </row>
    <row r="84" spans="13:32" x14ac:dyDescent="0.35">
      <c r="M84" s="424"/>
      <c r="P84" s="424"/>
      <c r="Q84" s="424"/>
      <c r="X84" s="424"/>
      <c r="AD84" s="424"/>
      <c r="AE84" s="424"/>
      <c r="AF84" s="424"/>
    </row>
    <row r="85" spans="13:32" x14ac:dyDescent="0.35">
      <c r="M85" s="424"/>
      <c r="P85" s="424"/>
      <c r="Q85" s="424"/>
      <c r="X85" s="424"/>
      <c r="AD85" s="424"/>
      <c r="AE85" s="424"/>
      <c r="AF85" s="424"/>
    </row>
    <row r="86" spans="13:32" x14ac:dyDescent="0.35">
      <c r="M86" s="424"/>
      <c r="P86" s="424"/>
      <c r="Q86" s="424"/>
      <c r="X86" s="424"/>
      <c r="AD86" s="424"/>
      <c r="AE86" s="424"/>
      <c r="AF86" s="424"/>
    </row>
    <row r="87" spans="13:32" x14ac:dyDescent="0.35">
      <c r="M87" s="424"/>
      <c r="P87" s="424"/>
      <c r="Q87" s="424"/>
      <c r="X87" s="424"/>
      <c r="AD87" s="424"/>
      <c r="AE87" s="424"/>
      <c r="AF87" s="424"/>
    </row>
    <row r="88" spans="13:32" x14ac:dyDescent="0.35">
      <c r="M88" s="424"/>
      <c r="P88" s="424"/>
      <c r="Q88" s="424"/>
      <c r="X88" s="424"/>
      <c r="AD88" s="424"/>
      <c r="AE88" s="424"/>
      <c r="AF88" s="424"/>
    </row>
    <row r="89" spans="13:32" x14ac:dyDescent="0.35">
      <c r="M89" s="424"/>
      <c r="P89" s="424"/>
      <c r="Q89" s="424"/>
      <c r="X89" s="424"/>
      <c r="AD89" s="424"/>
      <c r="AE89" s="424"/>
      <c r="AF89" s="424"/>
    </row>
    <row r="90" spans="13:32" x14ac:dyDescent="0.35">
      <c r="M90" s="424"/>
      <c r="P90" s="424"/>
      <c r="Q90" s="424"/>
      <c r="X90" s="424"/>
      <c r="AD90" s="424"/>
      <c r="AE90" s="424"/>
      <c r="AF90" s="424"/>
    </row>
    <row r="91" spans="13:32" x14ac:dyDescent="0.35">
      <c r="M91" s="424"/>
      <c r="P91" s="424"/>
      <c r="Q91" s="424"/>
      <c r="X91" s="424"/>
      <c r="AD91" s="424"/>
      <c r="AE91" s="424"/>
      <c r="AF91" s="424"/>
    </row>
    <row r="92" spans="13:32" x14ac:dyDescent="0.35">
      <c r="M92" s="424"/>
      <c r="P92" s="424"/>
      <c r="Q92" s="424"/>
      <c r="X92" s="424"/>
      <c r="AD92" s="424"/>
      <c r="AE92" s="424"/>
      <c r="AF92" s="424"/>
    </row>
    <row r="93" spans="13:32" x14ac:dyDescent="0.35">
      <c r="M93" s="424"/>
      <c r="P93" s="424"/>
      <c r="Q93" s="424"/>
      <c r="X93" s="424"/>
      <c r="AD93" s="424"/>
      <c r="AE93" s="424"/>
      <c r="AF93" s="424"/>
    </row>
    <row r="94" spans="13:32" x14ac:dyDescent="0.35">
      <c r="M94" s="424"/>
      <c r="P94" s="424"/>
      <c r="Q94" s="424"/>
      <c r="X94" s="424"/>
      <c r="AD94" s="424"/>
      <c r="AE94" s="424"/>
      <c r="AF94" s="424"/>
    </row>
    <row r="95" spans="13:32" x14ac:dyDescent="0.35">
      <c r="M95" s="424"/>
      <c r="P95" s="424"/>
      <c r="Q95" s="424"/>
      <c r="X95" s="424"/>
      <c r="AD95" s="424"/>
      <c r="AE95" s="424"/>
      <c r="AF95" s="424"/>
    </row>
    <row r="96" spans="13:32" x14ac:dyDescent="0.35">
      <c r="M96" s="424"/>
      <c r="P96" s="424"/>
      <c r="Q96" s="424"/>
      <c r="X96" s="424"/>
      <c r="AD96" s="424"/>
      <c r="AE96" s="424"/>
      <c r="AF96" s="424"/>
    </row>
    <row r="97" spans="13:32" x14ac:dyDescent="0.35">
      <c r="M97" s="424"/>
      <c r="P97" s="424"/>
      <c r="Q97" s="424"/>
      <c r="X97" s="424"/>
      <c r="AD97" s="424"/>
      <c r="AE97" s="424"/>
      <c r="AF97" s="424"/>
    </row>
    <row r="98" spans="13:32" x14ac:dyDescent="0.35">
      <c r="M98" s="424"/>
      <c r="P98" s="424"/>
      <c r="Q98" s="424"/>
      <c r="X98" s="424"/>
      <c r="AD98" s="424"/>
      <c r="AE98" s="424"/>
      <c r="AF98" s="424"/>
    </row>
    <row r="99" spans="13:32" x14ac:dyDescent="0.35">
      <c r="M99" s="424"/>
      <c r="X99" s="424"/>
      <c r="AD99" s="424"/>
      <c r="AE99" s="424"/>
      <c r="AF99" s="424"/>
    </row>
    <row r="100" spans="13:32" x14ac:dyDescent="0.35">
      <c r="X100" s="424"/>
      <c r="AD100" s="424"/>
      <c r="AE100" s="424"/>
      <c r="AF100" s="42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F42" sqref="F42"/>
    </sheetView>
  </sheetViews>
  <sheetFormatPr baseColWidth="10" defaultColWidth="11.46484375" defaultRowHeight="12.75" x14ac:dyDescent="0.35"/>
  <cols>
    <col min="1" max="1" width="6.53125" style="425" customWidth="1"/>
    <col min="2" max="2" width="9.46484375" style="425" customWidth="1"/>
    <col min="3" max="3" width="10.46484375" style="425" customWidth="1"/>
    <col min="4" max="4" width="12.53125" style="425" bestFit="1" customWidth="1"/>
    <col min="5" max="5" width="6.53125" style="425" customWidth="1"/>
    <col min="6" max="6" width="12.46484375" style="425" bestFit="1" customWidth="1"/>
    <col min="7" max="7" width="12.46484375" style="425" customWidth="1"/>
    <col min="8" max="8" width="3.53125" style="425" customWidth="1"/>
    <col min="9" max="9" width="8.796875" style="425" customWidth="1"/>
    <col min="10" max="13" width="12.53125" style="425" bestFit="1" customWidth="1"/>
    <col min="14" max="15" width="12.796875" style="425" bestFit="1" customWidth="1"/>
    <col min="16" max="16" width="12.19921875" style="425" bestFit="1" customWidth="1"/>
    <col min="17" max="18" width="12.796875" style="425" bestFit="1" customWidth="1"/>
    <col min="19" max="19" width="12.19921875" style="425" bestFit="1" customWidth="1"/>
    <col min="20" max="20" width="14.46484375" style="425" bestFit="1" customWidth="1"/>
    <col min="21" max="21" width="12.46484375" style="425" bestFit="1" customWidth="1"/>
    <col min="22" max="22" width="12.53125" style="425" bestFit="1" customWidth="1"/>
    <col min="23" max="23" width="12.19921875" style="425" bestFit="1" customWidth="1"/>
    <col min="24" max="24" width="14.46484375" style="425" bestFit="1" customWidth="1"/>
    <col min="25" max="26" width="14.53125" style="425" bestFit="1" customWidth="1"/>
    <col min="27" max="27" width="11.53125" style="425" bestFit="1" customWidth="1"/>
    <col min="28" max="28" width="14.796875" style="425" bestFit="1" customWidth="1"/>
    <col min="29" max="30" width="11.53125" style="425" bestFit="1" customWidth="1"/>
    <col min="31" max="16384" width="11.46484375" style="425"/>
  </cols>
  <sheetData>
    <row r="1" spans="1:52" ht="12.75" customHeight="1" thickBot="1" x14ac:dyDescent="0.4">
      <c r="A1" s="424"/>
      <c r="B1" s="424"/>
      <c r="C1" s="424"/>
      <c r="D1" s="424"/>
      <c r="E1" s="424"/>
      <c r="F1" s="424"/>
      <c r="G1" s="424"/>
      <c r="H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</row>
    <row r="2" spans="1:52" ht="15.4" thickBot="1" x14ac:dyDescent="0.45">
      <c r="A2" s="424"/>
      <c r="B2" s="427" t="s">
        <v>72</v>
      </c>
      <c r="C2" s="485"/>
      <c r="D2" s="486" t="s">
        <v>118</v>
      </c>
      <c r="E2" s="487">
        <v>1</v>
      </c>
      <c r="F2" s="488" t="s">
        <v>119</v>
      </c>
      <c r="G2" s="487">
        <v>1</v>
      </c>
      <c r="H2" s="424"/>
      <c r="I2" s="431" t="s">
        <v>135</v>
      </c>
      <c r="J2" s="432"/>
      <c r="K2" s="431" t="s">
        <v>136</v>
      </c>
      <c r="N2" s="424"/>
    </row>
    <row r="3" spans="1:52" ht="12.75" customHeight="1" thickBot="1" x14ac:dyDescent="0.4">
      <c r="A3" s="424"/>
      <c r="B3" s="424"/>
      <c r="C3" s="424"/>
      <c r="D3" s="424"/>
      <c r="E3" s="424"/>
      <c r="F3" s="424"/>
      <c r="G3" s="424"/>
      <c r="H3" s="424"/>
    </row>
    <row r="4" spans="1:52" s="494" customFormat="1" ht="12.75" customHeight="1" thickBot="1" x14ac:dyDescent="0.4">
      <c r="A4" s="489"/>
      <c r="B4" s="489"/>
      <c r="C4" s="489"/>
      <c r="D4" s="489"/>
      <c r="E4" s="489"/>
      <c r="F4" s="489"/>
      <c r="G4" s="489"/>
      <c r="H4" s="489"/>
      <c r="I4" s="490" t="s">
        <v>73</v>
      </c>
      <c r="J4" s="491">
        <v>0</v>
      </c>
      <c r="K4" s="492">
        <v>0.1</v>
      </c>
      <c r="L4" s="492">
        <v>0.2</v>
      </c>
      <c r="M4" s="492">
        <v>0.3</v>
      </c>
      <c r="N4" s="492">
        <v>0.4</v>
      </c>
      <c r="O4" s="492">
        <v>0.5</v>
      </c>
      <c r="P4" s="492">
        <v>0.6</v>
      </c>
      <c r="Q4" s="492">
        <v>0.7</v>
      </c>
      <c r="R4" s="492">
        <v>0.8</v>
      </c>
      <c r="S4" s="492">
        <v>0.9</v>
      </c>
      <c r="T4" s="508">
        <v>1</v>
      </c>
      <c r="U4" s="509" t="s">
        <v>137</v>
      </c>
      <c r="V4" s="510" t="s">
        <v>108</v>
      </c>
    </row>
    <row r="5" spans="1:52" ht="12.75" customHeight="1" x14ac:dyDescent="0.35">
      <c r="A5" s="424"/>
      <c r="B5" s="424"/>
      <c r="C5" s="511" t="s">
        <v>132</v>
      </c>
      <c r="D5" s="512">
        <f>MAX(MAX(J5:T44),ABS(MIN(J5:T44)))</f>
        <v>0</v>
      </c>
      <c r="E5" s="424"/>
      <c r="F5" s="424"/>
      <c r="G5" s="424"/>
      <c r="H5" s="424"/>
      <c r="I5" s="448">
        <v>1</v>
      </c>
      <c r="J5" s="495"/>
      <c r="K5" s="474"/>
      <c r="L5" s="474"/>
      <c r="M5" s="474"/>
      <c r="N5" s="474"/>
      <c r="O5" s="474"/>
      <c r="P5" s="474"/>
      <c r="Q5" s="474"/>
      <c r="R5" s="474"/>
      <c r="S5" s="474"/>
      <c r="T5" s="513"/>
      <c r="U5" s="514"/>
      <c r="V5" s="515"/>
    </row>
    <row r="6" spans="1:52" ht="12.75" customHeight="1" x14ac:dyDescent="0.35">
      <c r="A6" s="424"/>
      <c r="B6" s="424"/>
      <c r="C6" s="516" t="s">
        <v>37</v>
      </c>
      <c r="D6" s="517">
        <f>IF(D9&lt;0.000001,1,D7/D9)</f>
        <v>1</v>
      </c>
      <c r="E6" s="424"/>
      <c r="F6" s="424"/>
      <c r="G6" s="424"/>
      <c r="H6" s="424"/>
      <c r="I6" s="448">
        <v>2</v>
      </c>
      <c r="J6" s="449"/>
      <c r="K6" s="450"/>
      <c r="L6" s="450"/>
      <c r="M6" s="450"/>
      <c r="N6" s="450"/>
      <c r="O6" s="450"/>
      <c r="P6" s="450"/>
      <c r="Q6" s="450"/>
      <c r="R6" s="450"/>
      <c r="S6" s="450"/>
      <c r="T6" s="518"/>
      <c r="U6" s="519"/>
      <c r="V6" s="520"/>
    </row>
    <row r="7" spans="1:52" ht="12.75" customHeight="1" x14ac:dyDescent="0.35">
      <c r="A7" s="424"/>
      <c r="B7" s="424"/>
      <c r="C7" s="516" t="s">
        <v>36</v>
      </c>
      <c r="D7" s="517">
        <v>0.3</v>
      </c>
      <c r="E7" s="424"/>
      <c r="F7" s="424"/>
      <c r="G7" s="424"/>
      <c r="H7" s="424"/>
      <c r="I7" s="448">
        <v>3</v>
      </c>
      <c r="J7" s="449"/>
      <c r="K7" s="450"/>
      <c r="L7" s="450"/>
      <c r="M7" s="450"/>
      <c r="N7" s="450"/>
      <c r="O7" s="450"/>
      <c r="P7" s="450"/>
      <c r="Q7" s="450"/>
      <c r="R7" s="450"/>
      <c r="S7" s="450"/>
      <c r="T7" s="518"/>
      <c r="U7" s="519"/>
      <c r="V7" s="520"/>
    </row>
    <row r="8" spans="1:52" ht="12.75" customHeight="1" x14ac:dyDescent="0.35">
      <c r="A8" s="424"/>
      <c r="B8" s="424"/>
      <c r="C8" s="521" t="s">
        <v>122</v>
      </c>
      <c r="D8" s="517">
        <f>PlotData!CB5</f>
        <v>17.262178174973847</v>
      </c>
      <c r="E8" s="424"/>
      <c r="F8" s="424"/>
      <c r="G8" s="424"/>
      <c r="H8" s="424"/>
      <c r="I8" s="448">
        <v>4</v>
      </c>
      <c r="J8" s="449"/>
      <c r="K8" s="450"/>
      <c r="L8" s="450"/>
      <c r="M8" s="450"/>
      <c r="N8" s="450"/>
      <c r="O8" s="450"/>
      <c r="P8" s="450"/>
      <c r="Q8" s="450"/>
      <c r="R8" s="450"/>
      <c r="S8" s="450"/>
      <c r="T8" s="518"/>
      <c r="U8" s="519"/>
      <c r="V8" s="520"/>
    </row>
    <row r="9" spans="1:52" ht="12.75" customHeight="1" thickBot="1" x14ac:dyDescent="0.4">
      <c r="A9" s="424"/>
      <c r="B9" s="424"/>
      <c r="C9" s="522" t="s">
        <v>128</v>
      </c>
      <c r="D9" s="523">
        <f>D5/MAX(0.0001,D8)</f>
        <v>0</v>
      </c>
      <c r="E9" s="424"/>
      <c r="F9" s="424"/>
      <c r="G9" s="424"/>
      <c r="H9" s="424"/>
      <c r="I9" s="448">
        <v>5</v>
      </c>
      <c r="J9" s="449"/>
      <c r="K9" s="450"/>
      <c r="L9" s="450"/>
      <c r="M9" s="450"/>
      <c r="N9" s="450"/>
      <c r="O9" s="450"/>
      <c r="P9" s="450"/>
      <c r="Q9" s="450"/>
      <c r="R9" s="450"/>
      <c r="S9" s="450"/>
      <c r="T9" s="518"/>
      <c r="U9" s="519"/>
      <c r="V9" s="520"/>
    </row>
    <row r="10" spans="1:52" ht="12.75" customHeight="1" x14ac:dyDescent="0.35">
      <c r="A10" s="424"/>
      <c r="B10" s="424"/>
      <c r="C10" s="424"/>
      <c r="D10" s="424"/>
      <c r="E10" s="424"/>
      <c r="F10" s="424"/>
      <c r="G10" s="424"/>
      <c r="H10" s="424"/>
      <c r="I10" s="448">
        <v>6</v>
      </c>
      <c r="J10" s="449"/>
      <c r="K10" s="450"/>
      <c r="L10" s="450"/>
      <c r="M10" s="450"/>
      <c r="N10" s="450"/>
      <c r="O10" s="450"/>
      <c r="P10" s="450"/>
      <c r="Q10" s="450"/>
      <c r="R10" s="450"/>
      <c r="S10" s="450"/>
      <c r="T10" s="518"/>
      <c r="U10" s="519"/>
      <c r="V10" s="520"/>
    </row>
    <row r="11" spans="1:52" ht="12.75" customHeight="1" x14ac:dyDescent="0.35">
      <c r="A11" s="424"/>
      <c r="B11" s="424"/>
      <c r="C11" s="424"/>
      <c r="D11" s="424"/>
      <c r="E11" s="424"/>
      <c r="F11" s="424"/>
      <c r="G11" s="424"/>
      <c r="H11" s="424"/>
      <c r="I11" s="448">
        <v>7</v>
      </c>
      <c r="J11" s="449"/>
      <c r="K11" s="450"/>
      <c r="L11" s="450"/>
      <c r="M11" s="450"/>
      <c r="N11" s="450"/>
      <c r="O11" s="450"/>
      <c r="P11" s="450"/>
      <c r="Q11" s="450"/>
      <c r="R11" s="450"/>
      <c r="S11" s="450"/>
      <c r="T11" s="518"/>
      <c r="U11" s="519"/>
      <c r="V11" s="520"/>
    </row>
    <row r="12" spans="1:52" ht="12.75" customHeight="1" x14ac:dyDescent="0.35">
      <c r="A12" s="424"/>
      <c r="B12" s="424"/>
      <c r="C12" s="424"/>
      <c r="D12" s="424"/>
      <c r="E12" s="424"/>
      <c r="F12" s="424"/>
      <c r="G12" s="424"/>
      <c r="H12" s="424"/>
      <c r="I12" s="448">
        <v>8</v>
      </c>
      <c r="J12" s="449"/>
      <c r="K12" s="450"/>
      <c r="L12" s="450"/>
      <c r="M12" s="450"/>
      <c r="N12" s="450"/>
      <c r="O12" s="450"/>
      <c r="P12" s="450"/>
      <c r="Q12" s="450"/>
      <c r="R12" s="450"/>
      <c r="S12" s="450"/>
      <c r="T12" s="518"/>
      <c r="U12" s="519"/>
      <c r="V12" s="520"/>
    </row>
    <row r="13" spans="1:52" ht="12.75" customHeight="1" x14ac:dyDescent="0.35">
      <c r="A13" s="424"/>
      <c r="B13" s="424"/>
      <c r="C13" s="424"/>
      <c r="D13" s="424"/>
      <c r="E13" s="424"/>
      <c r="F13" s="424"/>
      <c r="G13" s="424"/>
      <c r="H13" s="424"/>
      <c r="I13" s="448">
        <v>9</v>
      </c>
      <c r="J13" s="449"/>
      <c r="K13" s="450"/>
      <c r="L13" s="450"/>
      <c r="M13" s="450"/>
      <c r="N13" s="450"/>
      <c r="O13" s="450"/>
      <c r="P13" s="450"/>
      <c r="Q13" s="450"/>
      <c r="R13" s="450"/>
      <c r="S13" s="450"/>
      <c r="T13" s="518"/>
      <c r="U13" s="519"/>
      <c r="V13" s="520"/>
    </row>
    <row r="14" spans="1:52" ht="12.75" customHeight="1" x14ac:dyDescent="0.35">
      <c r="A14" s="424"/>
      <c r="B14" s="424"/>
      <c r="C14" s="424"/>
      <c r="D14" s="424"/>
      <c r="E14" s="424"/>
      <c r="F14" s="424"/>
      <c r="G14" s="424"/>
      <c r="H14" s="424"/>
      <c r="I14" s="448">
        <v>10</v>
      </c>
      <c r="J14" s="449"/>
      <c r="K14" s="450"/>
      <c r="L14" s="450"/>
      <c r="M14" s="450"/>
      <c r="N14" s="450"/>
      <c r="O14" s="450"/>
      <c r="P14" s="450"/>
      <c r="Q14" s="450"/>
      <c r="R14" s="450"/>
      <c r="S14" s="450"/>
      <c r="T14" s="518"/>
      <c r="U14" s="519"/>
      <c r="V14" s="520"/>
    </row>
    <row r="15" spans="1:52" ht="12.75" customHeight="1" x14ac:dyDescent="0.35">
      <c r="A15" s="424"/>
      <c r="B15" s="424"/>
      <c r="C15" s="424"/>
      <c r="D15" s="424"/>
      <c r="E15" s="424"/>
      <c r="F15" s="424"/>
      <c r="G15" s="424"/>
      <c r="H15" s="424"/>
      <c r="I15" s="448">
        <v>11</v>
      </c>
      <c r="J15" s="449"/>
      <c r="K15" s="450"/>
      <c r="L15" s="450"/>
      <c r="M15" s="450"/>
      <c r="N15" s="450"/>
      <c r="O15" s="450"/>
      <c r="P15" s="450"/>
      <c r="Q15" s="450"/>
      <c r="R15" s="450"/>
      <c r="S15" s="450"/>
      <c r="T15" s="518"/>
      <c r="U15" s="519"/>
      <c r="V15" s="520"/>
    </row>
    <row r="16" spans="1:52" ht="12.75" customHeight="1" x14ac:dyDescent="0.35">
      <c r="A16" s="424"/>
      <c r="B16" s="424"/>
      <c r="C16" s="424"/>
      <c r="D16" s="424"/>
      <c r="E16" s="424"/>
      <c r="F16" s="424"/>
      <c r="G16" s="424"/>
      <c r="H16" s="424"/>
      <c r="I16" s="448">
        <v>12</v>
      </c>
      <c r="J16" s="449"/>
      <c r="K16" s="450"/>
      <c r="L16" s="450"/>
      <c r="M16" s="450"/>
      <c r="N16" s="450"/>
      <c r="O16" s="450"/>
      <c r="P16" s="450"/>
      <c r="Q16" s="450"/>
      <c r="R16" s="450"/>
      <c r="S16" s="450"/>
      <c r="T16" s="518"/>
      <c r="U16" s="519"/>
      <c r="V16" s="520"/>
    </row>
    <row r="17" spans="1:24" ht="12.75" customHeight="1" x14ac:dyDescent="0.35">
      <c r="A17" s="424"/>
      <c r="B17" s="424"/>
      <c r="C17" s="424"/>
      <c r="D17" s="424"/>
      <c r="E17" s="424"/>
      <c r="F17" s="424"/>
      <c r="G17" s="424"/>
      <c r="H17" s="424"/>
      <c r="I17" s="448">
        <v>13</v>
      </c>
      <c r="J17" s="449"/>
      <c r="K17" s="450"/>
      <c r="L17" s="450"/>
      <c r="M17" s="450"/>
      <c r="N17" s="450"/>
      <c r="O17" s="450"/>
      <c r="P17" s="450"/>
      <c r="Q17" s="450"/>
      <c r="R17" s="450"/>
      <c r="S17" s="450"/>
      <c r="T17" s="518"/>
      <c r="U17" s="519"/>
      <c r="V17" s="520"/>
    </row>
    <row r="18" spans="1:24" ht="12.75" customHeight="1" x14ac:dyDescent="0.35">
      <c r="A18" s="424"/>
      <c r="B18" s="424"/>
      <c r="C18" s="424"/>
      <c r="D18" s="424"/>
      <c r="E18" s="424"/>
      <c r="F18" s="424"/>
      <c r="G18" s="424"/>
      <c r="H18" s="424"/>
      <c r="I18" s="448">
        <v>14</v>
      </c>
      <c r="J18" s="449"/>
      <c r="K18" s="450"/>
      <c r="L18" s="450"/>
      <c r="M18" s="450"/>
      <c r="N18" s="450"/>
      <c r="O18" s="450"/>
      <c r="P18" s="450"/>
      <c r="Q18" s="450"/>
      <c r="R18" s="450"/>
      <c r="S18" s="450"/>
      <c r="T18" s="518"/>
      <c r="U18" s="519"/>
      <c r="V18" s="520"/>
    </row>
    <row r="19" spans="1:24" ht="12.75" customHeight="1" x14ac:dyDescent="0.35">
      <c r="A19" s="424"/>
      <c r="B19" s="424"/>
      <c r="C19" s="424"/>
      <c r="D19" s="424"/>
      <c r="E19" s="424"/>
      <c r="F19" s="424"/>
      <c r="G19" s="424"/>
      <c r="H19" s="424"/>
      <c r="I19" s="448">
        <v>15</v>
      </c>
      <c r="J19" s="449"/>
      <c r="K19" s="450"/>
      <c r="L19" s="450"/>
      <c r="M19" s="450"/>
      <c r="N19" s="450"/>
      <c r="O19" s="450"/>
      <c r="P19" s="450"/>
      <c r="Q19" s="450"/>
      <c r="R19" s="450"/>
      <c r="S19" s="450"/>
      <c r="T19" s="518"/>
      <c r="U19" s="519"/>
      <c r="V19" s="520"/>
    </row>
    <row r="20" spans="1:24" ht="12.75" customHeight="1" x14ac:dyDescent="0.35">
      <c r="A20" s="424"/>
      <c r="B20" s="424"/>
      <c r="C20" s="424"/>
      <c r="D20" s="424"/>
      <c r="E20" s="424"/>
      <c r="F20" s="424"/>
      <c r="G20" s="424"/>
      <c r="H20" s="424"/>
      <c r="I20" s="448">
        <v>16</v>
      </c>
      <c r="J20" s="449"/>
      <c r="K20" s="450"/>
      <c r="L20" s="450"/>
      <c r="M20" s="450"/>
      <c r="N20" s="450"/>
      <c r="O20" s="450"/>
      <c r="P20" s="450"/>
      <c r="Q20" s="450"/>
      <c r="R20" s="450"/>
      <c r="S20" s="450"/>
      <c r="T20" s="518"/>
      <c r="U20" s="519"/>
      <c r="V20" s="520"/>
    </row>
    <row r="21" spans="1:24" ht="12.75" customHeight="1" x14ac:dyDescent="0.35">
      <c r="A21" s="424"/>
      <c r="B21" s="424"/>
      <c r="C21" s="424"/>
      <c r="D21" s="424"/>
      <c r="E21" s="424"/>
      <c r="F21" s="424"/>
      <c r="G21" s="424"/>
      <c r="H21" s="424"/>
      <c r="I21" s="448">
        <v>17</v>
      </c>
      <c r="J21" s="449"/>
      <c r="K21" s="450"/>
      <c r="L21" s="450"/>
      <c r="M21" s="450"/>
      <c r="N21" s="450"/>
      <c r="O21" s="450"/>
      <c r="P21" s="450"/>
      <c r="Q21" s="450"/>
      <c r="R21" s="450"/>
      <c r="S21" s="450"/>
      <c r="T21" s="518"/>
      <c r="U21" s="519"/>
      <c r="V21" s="520"/>
    </row>
    <row r="22" spans="1:24" ht="12.75" customHeight="1" x14ac:dyDescent="0.35">
      <c r="A22" s="424"/>
      <c r="B22" s="424"/>
      <c r="C22" s="424"/>
      <c r="D22" s="424"/>
      <c r="E22" s="424"/>
      <c r="F22" s="424"/>
      <c r="G22" s="424"/>
      <c r="H22" s="455"/>
      <c r="I22" s="448">
        <v>18</v>
      </c>
      <c r="J22" s="449"/>
      <c r="K22" s="450"/>
      <c r="L22" s="450"/>
      <c r="M22" s="450"/>
      <c r="N22" s="450"/>
      <c r="O22" s="450"/>
      <c r="P22" s="450"/>
      <c r="Q22" s="450"/>
      <c r="R22" s="450"/>
      <c r="S22" s="450"/>
      <c r="T22" s="518"/>
      <c r="U22" s="519"/>
      <c r="V22" s="520"/>
      <c r="X22" s="424"/>
    </row>
    <row r="23" spans="1:24" ht="12.75" customHeight="1" x14ac:dyDescent="0.35">
      <c r="A23" s="424"/>
      <c r="B23" s="424"/>
      <c r="C23" s="424"/>
      <c r="D23" s="424"/>
      <c r="E23" s="424"/>
      <c r="F23" s="424"/>
      <c r="G23" s="424"/>
      <c r="H23" s="424"/>
      <c r="I23" s="448">
        <v>19</v>
      </c>
      <c r="J23" s="449"/>
      <c r="K23" s="450"/>
      <c r="L23" s="450"/>
      <c r="M23" s="450"/>
      <c r="N23" s="450"/>
      <c r="O23" s="450"/>
      <c r="P23" s="450"/>
      <c r="Q23" s="450"/>
      <c r="R23" s="450"/>
      <c r="S23" s="450"/>
      <c r="T23" s="518"/>
      <c r="U23" s="519"/>
      <c r="V23" s="520"/>
      <c r="X23" s="424"/>
    </row>
    <row r="24" spans="1:24" ht="12.75" customHeight="1" x14ac:dyDescent="0.35">
      <c r="A24" s="424"/>
      <c r="B24" s="424"/>
      <c r="C24" s="424"/>
      <c r="D24" s="424"/>
      <c r="E24" s="424"/>
      <c r="F24" s="424"/>
      <c r="G24" s="424"/>
      <c r="H24" s="424"/>
      <c r="I24" s="448">
        <v>20</v>
      </c>
      <c r="J24" s="449"/>
      <c r="K24" s="450"/>
      <c r="L24" s="450"/>
      <c r="M24" s="450"/>
      <c r="N24" s="450"/>
      <c r="O24" s="450"/>
      <c r="P24" s="450"/>
      <c r="Q24" s="450"/>
      <c r="R24" s="450"/>
      <c r="S24" s="450"/>
      <c r="T24" s="518"/>
      <c r="U24" s="519"/>
      <c r="V24" s="520"/>
      <c r="X24" s="424"/>
    </row>
    <row r="25" spans="1:24" ht="12.75" customHeight="1" x14ac:dyDescent="0.35">
      <c r="A25" s="424"/>
      <c r="B25" s="424"/>
      <c r="C25" s="424"/>
      <c r="D25" s="424"/>
      <c r="E25" s="424"/>
      <c r="F25" s="424"/>
      <c r="G25" s="424"/>
      <c r="H25" s="424"/>
      <c r="I25" s="448">
        <v>21</v>
      </c>
      <c r="J25" s="449"/>
      <c r="K25" s="450"/>
      <c r="L25" s="450"/>
      <c r="M25" s="450"/>
      <c r="N25" s="450"/>
      <c r="O25" s="450"/>
      <c r="P25" s="450"/>
      <c r="Q25" s="450"/>
      <c r="R25" s="450"/>
      <c r="S25" s="450"/>
      <c r="T25" s="518"/>
      <c r="U25" s="519"/>
      <c r="V25" s="520"/>
      <c r="X25" s="424"/>
    </row>
    <row r="26" spans="1:24" ht="12.75" customHeight="1" x14ac:dyDescent="0.35">
      <c r="I26" s="448">
        <v>22</v>
      </c>
      <c r="J26" s="449"/>
      <c r="K26" s="450"/>
      <c r="L26" s="450"/>
      <c r="M26" s="450"/>
      <c r="N26" s="450"/>
      <c r="O26" s="450"/>
      <c r="P26" s="450"/>
      <c r="Q26" s="450"/>
      <c r="R26" s="450"/>
      <c r="S26" s="450"/>
      <c r="T26" s="518"/>
      <c r="U26" s="519"/>
      <c r="V26" s="520"/>
      <c r="X26" s="424"/>
    </row>
    <row r="27" spans="1:24" ht="12.75" customHeight="1" x14ac:dyDescent="0.35">
      <c r="I27" s="448">
        <v>23</v>
      </c>
      <c r="J27" s="449"/>
      <c r="K27" s="450"/>
      <c r="L27" s="450"/>
      <c r="M27" s="450"/>
      <c r="N27" s="450"/>
      <c r="O27" s="450"/>
      <c r="P27" s="450"/>
      <c r="Q27" s="450"/>
      <c r="R27" s="450"/>
      <c r="S27" s="450"/>
      <c r="T27" s="518"/>
      <c r="U27" s="519"/>
      <c r="V27" s="520"/>
      <c r="X27" s="424"/>
    </row>
    <row r="28" spans="1:24" ht="12.75" customHeight="1" x14ac:dyDescent="0.35">
      <c r="I28" s="448">
        <v>24</v>
      </c>
      <c r="J28" s="449"/>
      <c r="K28" s="450"/>
      <c r="L28" s="450"/>
      <c r="M28" s="450"/>
      <c r="N28" s="450"/>
      <c r="O28" s="450"/>
      <c r="P28" s="450"/>
      <c r="Q28" s="450"/>
      <c r="R28" s="450"/>
      <c r="S28" s="450"/>
      <c r="T28" s="518"/>
      <c r="U28" s="519"/>
      <c r="V28" s="520"/>
      <c r="X28" s="424"/>
    </row>
    <row r="29" spans="1:24" ht="12.75" customHeight="1" x14ac:dyDescent="0.35">
      <c r="I29" s="448">
        <v>25</v>
      </c>
      <c r="J29" s="449"/>
      <c r="K29" s="450"/>
      <c r="L29" s="450"/>
      <c r="M29" s="450"/>
      <c r="N29" s="450"/>
      <c r="O29" s="450"/>
      <c r="P29" s="450"/>
      <c r="Q29" s="450"/>
      <c r="R29" s="450"/>
      <c r="S29" s="450"/>
      <c r="T29" s="518"/>
      <c r="U29" s="519"/>
      <c r="V29" s="520"/>
      <c r="X29" s="424"/>
    </row>
    <row r="30" spans="1:24" ht="12.75" customHeight="1" x14ac:dyDescent="0.35">
      <c r="I30" s="448">
        <v>26</v>
      </c>
      <c r="J30" s="449"/>
      <c r="K30" s="450"/>
      <c r="L30" s="450"/>
      <c r="M30" s="450"/>
      <c r="N30" s="450"/>
      <c r="O30" s="450"/>
      <c r="P30" s="450"/>
      <c r="Q30" s="450"/>
      <c r="R30" s="450"/>
      <c r="S30" s="450"/>
      <c r="T30" s="518"/>
      <c r="U30" s="519"/>
      <c r="V30" s="520"/>
      <c r="X30" s="424"/>
    </row>
    <row r="31" spans="1:24" x14ac:dyDescent="0.35">
      <c r="I31" s="448">
        <v>27</v>
      </c>
      <c r="J31" s="449"/>
      <c r="K31" s="450"/>
      <c r="L31" s="450"/>
      <c r="M31" s="450"/>
      <c r="N31" s="450"/>
      <c r="O31" s="450"/>
      <c r="P31" s="450"/>
      <c r="Q31" s="450"/>
      <c r="R31" s="450"/>
      <c r="S31" s="450"/>
      <c r="T31" s="518"/>
      <c r="U31" s="519"/>
      <c r="V31" s="520"/>
    </row>
    <row r="32" spans="1:24" x14ac:dyDescent="0.35">
      <c r="I32" s="448">
        <v>28</v>
      </c>
      <c r="J32" s="449"/>
      <c r="K32" s="450"/>
      <c r="L32" s="450"/>
      <c r="M32" s="450"/>
      <c r="N32" s="450"/>
      <c r="O32" s="450"/>
      <c r="P32" s="450"/>
      <c r="Q32" s="450"/>
      <c r="R32" s="450"/>
      <c r="S32" s="450"/>
      <c r="T32" s="518"/>
      <c r="U32" s="519"/>
      <c r="V32" s="520"/>
    </row>
    <row r="33" spans="4:22" x14ac:dyDescent="0.35">
      <c r="I33" s="448">
        <v>29</v>
      </c>
      <c r="J33" s="449"/>
      <c r="K33" s="450"/>
      <c r="L33" s="450"/>
      <c r="M33" s="450"/>
      <c r="N33" s="450"/>
      <c r="O33" s="450"/>
      <c r="P33" s="450"/>
      <c r="Q33" s="450"/>
      <c r="R33" s="450"/>
      <c r="S33" s="450"/>
      <c r="T33" s="518"/>
      <c r="U33" s="519"/>
      <c r="V33" s="520"/>
    </row>
    <row r="34" spans="4:22" x14ac:dyDescent="0.35">
      <c r="I34" s="448">
        <v>30</v>
      </c>
      <c r="J34" s="449"/>
      <c r="K34" s="450"/>
      <c r="L34" s="450"/>
      <c r="M34" s="450"/>
      <c r="N34" s="450"/>
      <c r="O34" s="450"/>
      <c r="P34" s="450"/>
      <c r="Q34" s="450"/>
      <c r="R34" s="450"/>
      <c r="S34" s="450"/>
      <c r="T34" s="518"/>
      <c r="U34" s="519"/>
      <c r="V34" s="520"/>
    </row>
    <row r="35" spans="4:22" ht="13.15" thickBot="1" x14ac:dyDescent="0.4">
      <c r="I35" s="448">
        <v>31</v>
      </c>
      <c r="J35" s="449"/>
      <c r="K35" s="450"/>
      <c r="L35" s="450"/>
      <c r="M35" s="450"/>
      <c r="N35" s="450"/>
      <c r="O35" s="450"/>
      <c r="P35" s="450"/>
      <c r="Q35" s="450"/>
      <c r="R35" s="450"/>
      <c r="S35" s="450"/>
      <c r="T35" s="518"/>
      <c r="U35" s="519"/>
      <c r="V35" s="520"/>
    </row>
    <row r="36" spans="4:22" x14ac:dyDescent="0.35">
      <c r="D36" s="473" t="s">
        <v>138</v>
      </c>
      <c r="E36" s="482">
        <f>MAX(J5:T44)</f>
        <v>0</v>
      </c>
      <c r="I36" s="448">
        <v>32</v>
      </c>
      <c r="J36" s="449"/>
      <c r="K36" s="450"/>
      <c r="L36" s="450"/>
      <c r="M36" s="450"/>
      <c r="N36" s="450"/>
      <c r="O36" s="450"/>
      <c r="P36" s="450"/>
      <c r="Q36" s="450"/>
      <c r="R36" s="450"/>
      <c r="S36" s="450"/>
      <c r="T36" s="518"/>
      <c r="U36" s="519"/>
      <c r="V36" s="520"/>
    </row>
    <row r="37" spans="4:22" ht="13.15" thickBot="1" x14ac:dyDescent="0.4">
      <c r="D37" s="483" t="s">
        <v>139</v>
      </c>
      <c r="E37" s="484">
        <f>MIN(J5:T44)</f>
        <v>0</v>
      </c>
      <c r="I37" s="448">
        <v>33</v>
      </c>
      <c r="J37" s="449"/>
      <c r="K37" s="450"/>
      <c r="L37" s="450"/>
      <c r="M37" s="450"/>
      <c r="N37" s="450"/>
      <c r="O37" s="450"/>
      <c r="P37" s="450"/>
      <c r="Q37" s="450"/>
      <c r="R37" s="450"/>
      <c r="S37" s="450"/>
      <c r="T37" s="518"/>
      <c r="U37" s="519"/>
      <c r="V37" s="520"/>
    </row>
    <row r="38" spans="4:22" x14ac:dyDescent="0.35">
      <c r="I38" s="448">
        <v>34</v>
      </c>
      <c r="J38" s="449"/>
      <c r="K38" s="450"/>
      <c r="L38" s="450"/>
      <c r="M38" s="450"/>
      <c r="N38" s="450"/>
      <c r="O38" s="450"/>
      <c r="P38" s="450"/>
      <c r="Q38" s="450"/>
      <c r="R38" s="450"/>
      <c r="S38" s="450"/>
      <c r="T38" s="518"/>
      <c r="U38" s="519"/>
      <c r="V38" s="520"/>
    </row>
    <row r="39" spans="4:22" x14ac:dyDescent="0.35">
      <c r="I39" s="448">
        <v>35</v>
      </c>
      <c r="J39" s="449"/>
      <c r="K39" s="450"/>
      <c r="L39" s="450"/>
      <c r="M39" s="450"/>
      <c r="N39" s="450"/>
      <c r="O39" s="450"/>
      <c r="P39" s="450"/>
      <c r="Q39" s="450"/>
      <c r="R39" s="450"/>
      <c r="S39" s="450"/>
      <c r="T39" s="518"/>
      <c r="U39" s="519"/>
      <c r="V39" s="520"/>
    </row>
    <row r="40" spans="4:22" x14ac:dyDescent="0.35">
      <c r="I40" s="448">
        <v>36</v>
      </c>
      <c r="J40" s="449"/>
      <c r="K40" s="450"/>
      <c r="L40" s="450"/>
      <c r="M40" s="450"/>
      <c r="N40" s="450"/>
      <c r="O40" s="450"/>
      <c r="P40" s="450"/>
      <c r="Q40" s="450"/>
      <c r="R40" s="450"/>
      <c r="S40" s="450"/>
      <c r="T40" s="518"/>
      <c r="U40" s="519"/>
      <c r="V40" s="520"/>
    </row>
    <row r="41" spans="4:22" x14ac:dyDescent="0.35">
      <c r="I41" s="448">
        <v>37</v>
      </c>
      <c r="J41" s="449"/>
      <c r="K41" s="450"/>
      <c r="L41" s="450"/>
      <c r="M41" s="450"/>
      <c r="N41" s="450"/>
      <c r="O41" s="450"/>
      <c r="P41" s="450"/>
      <c r="Q41" s="450"/>
      <c r="R41" s="450"/>
      <c r="S41" s="450"/>
      <c r="T41" s="518"/>
      <c r="U41" s="519"/>
      <c r="V41" s="520"/>
    </row>
    <row r="42" spans="4:22" x14ac:dyDescent="0.35">
      <c r="I42" s="448">
        <v>38</v>
      </c>
      <c r="J42" s="449"/>
      <c r="K42" s="450"/>
      <c r="L42" s="450"/>
      <c r="M42" s="450"/>
      <c r="N42" s="450"/>
      <c r="O42" s="450"/>
      <c r="P42" s="450"/>
      <c r="Q42" s="450"/>
      <c r="R42" s="450"/>
      <c r="S42" s="450"/>
      <c r="T42" s="518"/>
      <c r="U42" s="519"/>
      <c r="V42" s="520"/>
    </row>
    <row r="43" spans="4:22" x14ac:dyDescent="0.35">
      <c r="I43" s="448">
        <v>39</v>
      </c>
      <c r="J43" s="449"/>
      <c r="K43" s="450"/>
      <c r="L43" s="450"/>
      <c r="M43" s="450"/>
      <c r="N43" s="450"/>
      <c r="O43" s="450"/>
      <c r="P43" s="450"/>
      <c r="Q43" s="450"/>
      <c r="R43" s="450"/>
      <c r="S43" s="450"/>
      <c r="T43" s="518"/>
      <c r="U43" s="519"/>
      <c r="V43" s="520"/>
    </row>
    <row r="44" spans="4:22" ht="13.15" thickBot="1" x14ac:dyDescent="0.4">
      <c r="I44" s="460">
        <v>40</v>
      </c>
      <c r="J44" s="461"/>
      <c r="K44" s="462"/>
      <c r="L44" s="462"/>
      <c r="M44" s="462"/>
      <c r="N44" s="462"/>
      <c r="O44" s="462"/>
      <c r="P44" s="462"/>
      <c r="Q44" s="462"/>
      <c r="R44" s="462"/>
      <c r="S44" s="462"/>
      <c r="T44" s="524"/>
      <c r="U44" s="525"/>
      <c r="V44" s="526"/>
    </row>
    <row r="45" spans="4:22" x14ac:dyDescent="0.35"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</row>
    <row r="46" spans="4:22" x14ac:dyDescent="0.35">
      <c r="I46" s="455"/>
      <c r="J46" s="455"/>
      <c r="K46" s="455"/>
      <c r="N46" s="455"/>
      <c r="O46" s="455"/>
      <c r="P46" s="455"/>
      <c r="Q46" s="455"/>
      <c r="R46" s="455"/>
      <c r="S46" s="455"/>
      <c r="T46" s="455"/>
    </row>
    <row r="47" spans="4:22" x14ac:dyDescent="0.35">
      <c r="I47" s="455"/>
      <c r="J47" s="496"/>
      <c r="K47" s="455"/>
      <c r="L47" s="455"/>
      <c r="M47" s="455"/>
      <c r="N47" s="455"/>
      <c r="O47" s="455"/>
      <c r="P47" s="455"/>
      <c r="S47" s="455"/>
      <c r="T47" s="455"/>
    </row>
    <row r="48" spans="4:22" x14ac:dyDescent="0.35"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</row>
    <row r="49" spans="12:18" x14ac:dyDescent="0.35">
      <c r="L49" s="455"/>
      <c r="N49" s="455"/>
      <c r="Q49" s="455"/>
      <c r="R49" s="455"/>
    </row>
    <row r="50" spans="12:18" x14ac:dyDescent="0.35">
      <c r="L50" s="455"/>
      <c r="N50" s="455"/>
    </row>
    <row r="51" spans="12:18" x14ac:dyDescent="0.35">
      <c r="L51" s="455"/>
      <c r="N51" s="455"/>
    </row>
    <row r="52" spans="12:18" x14ac:dyDescent="0.35">
      <c r="L52" s="455"/>
      <c r="N52" s="455"/>
    </row>
    <row r="53" spans="12:18" x14ac:dyDescent="0.35">
      <c r="L53" s="455"/>
      <c r="N53" s="455"/>
    </row>
    <row r="54" spans="12:18" x14ac:dyDescent="0.35">
      <c r="L54" s="455"/>
      <c r="N54" s="455"/>
    </row>
    <row r="55" spans="12:18" x14ac:dyDescent="0.35">
      <c r="L55" s="455"/>
      <c r="N55" s="455"/>
    </row>
    <row r="56" spans="12:18" x14ac:dyDescent="0.35">
      <c r="L56" s="455"/>
      <c r="N56" s="455"/>
    </row>
    <row r="57" spans="12:18" x14ac:dyDescent="0.35">
      <c r="L57" s="455"/>
      <c r="N57" s="455"/>
    </row>
    <row r="77" spans="13:32" x14ac:dyDescent="0.35">
      <c r="AD77" s="424"/>
      <c r="AE77" s="424"/>
      <c r="AF77" s="424"/>
    </row>
    <row r="78" spans="13:32" x14ac:dyDescent="0.35">
      <c r="AD78" s="424"/>
      <c r="AE78" s="424"/>
      <c r="AF78" s="424"/>
    </row>
    <row r="79" spans="13:32" x14ac:dyDescent="0.35">
      <c r="M79" s="424"/>
      <c r="P79" s="424"/>
      <c r="Q79" s="424"/>
      <c r="X79" s="424"/>
      <c r="AD79" s="424"/>
      <c r="AE79" s="424"/>
      <c r="AF79" s="424"/>
    </row>
    <row r="80" spans="13:32" x14ac:dyDescent="0.35">
      <c r="M80" s="424"/>
      <c r="P80" s="424"/>
      <c r="Q80" s="424"/>
      <c r="X80" s="424"/>
      <c r="AD80" s="424"/>
      <c r="AE80" s="424"/>
      <c r="AF80" s="424"/>
    </row>
    <row r="81" spans="13:32" x14ac:dyDescent="0.35">
      <c r="M81" s="424"/>
      <c r="P81" s="424"/>
      <c r="Q81" s="424"/>
      <c r="X81" s="424"/>
      <c r="AD81" s="424"/>
      <c r="AE81" s="424"/>
      <c r="AF81" s="424"/>
    </row>
    <row r="82" spans="13:32" x14ac:dyDescent="0.35">
      <c r="M82" s="424"/>
      <c r="P82" s="424"/>
      <c r="Q82" s="424"/>
      <c r="X82" s="424"/>
      <c r="AD82" s="424"/>
      <c r="AE82" s="424"/>
      <c r="AF82" s="424"/>
    </row>
    <row r="83" spans="13:32" x14ac:dyDescent="0.35">
      <c r="M83" s="424"/>
      <c r="P83" s="424"/>
      <c r="Q83" s="424"/>
      <c r="X83" s="424"/>
      <c r="AD83" s="424"/>
      <c r="AE83" s="424"/>
      <c r="AF83" s="424"/>
    </row>
    <row r="84" spans="13:32" x14ac:dyDescent="0.35">
      <c r="M84" s="424"/>
      <c r="P84" s="424"/>
      <c r="Q84" s="424"/>
      <c r="X84" s="424"/>
      <c r="AD84" s="424"/>
      <c r="AE84" s="424"/>
      <c r="AF84" s="424"/>
    </row>
    <row r="85" spans="13:32" x14ac:dyDescent="0.35">
      <c r="M85" s="424"/>
      <c r="P85" s="424"/>
      <c r="Q85" s="424"/>
      <c r="X85" s="424"/>
      <c r="AD85" s="424"/>
      <c r="AE85" s="424"/>
      <c r="AF85" s="424"/>
    </row>
    <row r="86" spans="13:32" x14ac:dyDescent="0.35">
      <c r="M86" s="424"/>
      <c r="P86" s="424"/>
      <c r="Q86" s="424"/>
      <c r="X86" s="424"/>
      <c r="AD86" s="424"/>
      <c r="AE86" s="424"/>
      <c r="AF86" s="424"/>
    </row>
    <row r="87" spans="13:32" x14ac:dyDescent="0.35">
      <c r="M87" s="424"/>
      <c r="P87" s="424"/>
      <c r="Q87" s="424"/>
      <c r="X87" s="424"/>
      <c r="AD87" s="424"/>
      <c r="AE87" s="424"/>
      <c r="AF87" s="424"/>
    </row>
    <row r="88" spans="13:32" x14ac:dyDescent="0.35">
      <c r="M88" s="424"/>
      <c r="P88" s="424"/>
      <c r="Q88" s="424"/>
      <c r="X88" s="424"/>
      <c r="AD88" s="424"/>
      <c r="AE88" s="424"/>
      <c r="AF88" s="424"/>
    </row>
    <row r="89" spans="13:32" x14ac:dyDescent="0.35">
      <c r="M89" s="424"/>
      <c r="P89" s="424"/>
      <c r="Q89" s="424"/>
      <c r="X89" s="424"/>
      <c r="AD89" s="424"/>
      <c r="AE89" s="424"/>
      <c r="AF89" s="424"/>
    </row>
    <row r="90" spans="13:32" x14ac:dyDescent="0.35">
      <c r="M90" s="424"/>
      <c r="P90" s="424"/>
      <c r="Q90" s="424"/>
      <c r="X90" s="424"/>
      <c r="AD90" s="424"/>
      <c r="AE90" s="424"/>
      <c r="AF90" s="424"/>
    </row>
    <row r="91" spans="13:32" x14ac:dyDescent="0.35">
      <c r="M91" s="424"/>
      <c r="P91" s="424"/>
      <c r="Q91" s="424"/>
      <c r="X91" s="424"/>
      <c r="AD91" s="424"/>
      <c r="AE91" s="424"/>
      <c r="AF91" s="424"/>
    </row>
    <row r="92" spans="13:32" x14ac:dyDescent="0.35">
      <c r="M92" s="424"/>
      <c r="P92" s="424"/>
      <c r="Q92" s="424"/>
      <c r="X92" s="424"/>
      <c r="AD92" s="424"/>
      <c r="AE92" s="424"/>
      <c r="AF92" s="424"/>
    </row>
    <row r="93" spans="13:32" x14ac:dyDescent="0.35">
      <c r="M93" s="424"/>
      <c r="P93" s="424"/>
      <c r="Q93" s="424"/>
      <c r="X93" s="424"/>
      <c r="AD93" s="424"/>
      <c r="AE93" s="424"/>
      <c r="AF93" s="424"/>
    </row>
    <row r="94" spans="13:32" x14ac:dyDescent="0.35">
      <c r="M94" s="424"/>
      <c r="P94" s="424"/>
      <c r="Q94" s="424"/>
      <c r="X94" s="424"/>
      <c r="AD94" s="424"/>
      <c r="AE94" s="424"/>
      <c r="AF94" s="424"/>
    </row>
    <row r="95" spans="13:32" x14ac:dyDescent="0.35">
      <c r="M95" s="424"/>
      <c r="P95" s="424"/>
      <c r="Q95" s="424"/>
      <c r="X95" s="424"/>
      <c r="AD95" s="424"/>
      <c r="AE95" s="424"/>
      <c r="AF95" s="424"/>
    </row>
    <row r="96" spans="13:32" x14ac:dyDescent="0.35">
      <c r="M96" s="424"/>
      <c r="P96" s="424"/>
      <c r="Q96" s="424"/>
      <c r="X96" s="424"/>
      <c r="AD96" s="424"/>
      <c r="AE96" s="424"/>
      <c r="AF96" s="424"/>
    </row>
    <row r="97" spans="13:32" x14ac:dyDescent="0.35">
      <c r="M97" s="424"/>
      <c r="P97" s="424"/>
      <c r="Q97" s="424"/>
      <c r="X97" s="424"/>
      <c r="AD97" s="424"/>
      <c r="AE97" s="424"/>
      <c r="AF97" s="424"/>
    </row>
    <row r="98" spans="13:32" x14ac:dyDescent="0.35">
      <c r="M98" s="424"/>
      <c r="P98" s="424"/>
      <c r="Q98" s="424"/>
      <c r="X98" s="424"/>
      <c r="AD98" s="424"/>
      <c r="AE98" s="424"/>
      <c r="AF98" s="424"/>
    </row>
    <row r="99" spans="13:32" x14ac:dyDescent="0.35">
      <c r="M99" s="424"/>
      <c r="X99" s="424"/>
      <c r="AD99" s="424"/>
      <c r="AE99" s="424"/>
      <c r="AF99" s="424"/>
    </row>
    <row r="100" spans="13:32" x14ac:dyDescent="0.35">
      <c r="X100" s="424"/>
      <c r="AD100" s="424"/>
      <c r="AE100" s="424"/>
      <c r="AF100" s="42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1857"/>
  <sheetViews>
    <sheetView zoomScale="66" zoomScaleNormal="66" workbookViewId="0"/>
  </sheetViews>
  <sheetFormatPr baseColWidth="10" defaultColWidth="11.46484375" defaultRowHeight="12.75" x14ac:dyDescent="0.35"/>
  <cols>
    <col min="1" max="1" width="11.46484375" style="527"/>
    <col min="2" max="2" width="12.46484375" style="527" bestFit="1" customWidth="1"/>
    <col min="3" max="16384" width="11.46484375" style="527"/>
  </cols>
  <sheetData>
    <row r="1" spans="1:16" x14ac:dyDescent="0.35">
      <c r="A1" s="527" t="s">
        <v>140</v>
      </c>
      <c r="B1" s="527" t="s">
        <v>3</v>
      </c>
      <c r="C1" s="527" t="s">
        <v>141</v>
      </c>
      <c r="D1" s="527" t="s">
        <v>142</v>
      </c>
      <c r="E1" s="527" t="s">
        <v>143</v>
      </c>
      <c r="J1" s="527" t="s">
        <v>144</v>
      </c>
      <c r="K1" s="527">
        <f>MIN(B2:B100)</f>
        <v>0</v>
      </c>
      <c r="L1" s="527" t="s">
        <v>145</v>
      </c>
      <c r="M1" s="527">
        <f>MIN(C2:C100)</f>
        <v>0</v>
      </c>
    </row>
    <row r="2" spans="1:16" x14ac:dyDescent="0.35">
      <c r="A2" s="527">
        <v>1</v>
      </c>
      <c r="B2" s="527">
        <v>0</v>
      </c>
      <c r="C2" s="527">
        <v>0</v>
      </c>
      <c r="D2" s="527">
        <v>5</v>
      </c>
      <c r="J2" s="527" t="s">
        <v>146</v>
      </c>
      <c r="K2" s="527">
        <f>MAX(B2:B100)</f>
        <v>4.6142458915710449</v>
      </c>
      <c r="L2" s="527" t="s">
        <v>147</v>
      </c>
      <c r="M2" s="527">
        <f>MAX(C2:C100)</f>
        <v>100.19209289550781</v>
      </c>
      <c r="N2" s="527">
        <v>1</v>
      </c>
      <c r="O2" s="527">
        <f ca="1">IF(ISBLANK(A2),INDIRECT(COLUMN($O$1)&amp;$K$4),(B2-$K$1)/$K$3)</f>
        <v>0</v>
      </c>
      <c r="P2" s="527">
        <f ca="1">IF(ISBLANK(A2),INDIRECT(COLUMN(P1)&amp;$K$4),(C2-$M$1)/$M$3)</f>
        <v>0</v>
      </c>
    </row>
    <row r="3" spans="1:16" x14ac:dyDescent="0.35">
      <c r="A3" s="527">
        <v>2</v>
      </c>
      <c r="B3" s="527">
        <v>0</v>
      </c>
      <c r="C3" s="527">
        <v>1</v>
      </c>
      <c r="D3" s="527">
        <v>1</v>
      </c>
      <c r="J3" s="527" t="s">
        <v>148</v>
      </c>
      <c r="K3" s="527">
        <f>IF(K2-K1=0,1,K2-K1)</f>
        <v>4.6142458915710449</v>
      </c>
      <c r="L3" s="527" t="s">
        <v>149</v>
      </c>
      <c r="M3" s="527">
        <f>IF(M2-M1=0,1,M2-M1)</f>
        <v>100.19209289550781</v>
      </c>
      <c r="N3" s="527">
        <v>2</v>
      </c>
      <c r="O3" s="527">
        <f ca="1">IF(ISBLANK(A3),INDIRECT(COLUMN($O$1)&amp;$K$4),(B3-$K$1)/$K$3)</f>
        <v>0</v>
      </c>
      <c r="P3" s="527">
        <f ca="1">IF(ISBLANK(A3),INDIRECT(COLUMN(P2)&amp;$K$4),(C3-$M$1)/$M$3)</f>
        <v>9.980827539383957E-3</v>
      </c>
    </row>
    <row r="4" spans="1:16" x14ac:dyDescent="0.35">
      <c r="A4" s="527">
        <v>3</v>
      </c>
      <c r="B4" s="527">
        <v>0</v>
      </c>
      <c r="C4" s="527">
        <v>1</v>
      </c>
      <c r="J4" s="527" t="s">
        <v>124</v>
      </c>
      <c r="K4" s="527">
        <f>MAX(A2:A100)+1</f>
        <v>100</v>
      </c>
      <c r="N4" s="527">
        <v>3</v>
      </c>
      <c r="O4" s="527">
        <f ca="1">IF(ISBLANK(A4),INDIRECT(COLUMN($O$1)&amp;$K$4),(B4-$K$1)/$K$3)</f>
        <v>0</v>
      </c>
      <c r="P4" s="527">
        <f ca="1">IF(ISBLANK(A4),INDIRECT(COLUMN(P3)&amp;$K$4),(C4-$M$1)/$M$3)</f>
        <v>9.980827539383957E-3</v>
      </c>
    </row>
    <row r="5" spans="1:16" x14ac:dyDescent="0.35">
      <c r="A5" s="527">
        <v>4</v>
      </c>
      <c r="B5" s="527">
        <v>0</v>
      </c>
      <c r="C5" s="527">
        <v>1</v>
      </c>
      <c r="N5" s="527">
        <v>4</v>
      </c>
      <c r="O5" s="527">
        <f ca="1">IF(ISBLANK(A5),INDIRECT(COLUMN($O$1)&amp;$K$4),(B5-$K$1)/$K$3)</f>
        <v>0</v>
      </c>
      <c r="P5" s="527">
        <f ca="1">IF(ISBLANK(A5),INDIRECT(COLUMN(P4)&amp;$K$4),(C5-$M$1)/$M$3)</f>
        <v>9.980827539383957E-3</v>
      </c>
    </row>
    <row r="6" spans="1:16" x14ac:dyDescent="0.35">
      <c r="A6" s="527">
        <v>5</v>
      </c>
      <c r="B6" s="527">
        <v>0</v>
      </c>
      <c r="C6" s="527">
        <v>1</v>
      </c>
      <c r="N6" s="527">
        <v>5</v>
      </c>
      <c r="O6" s="527">
        <f ca="1">IF(ISBLANK(A6),INDIRECT(COLUMN($O$1)&amp;$K$4),(B6-$K$1)/$K$3)</f>
        <v>0</v>
      </c>
      <c r="P6" s="527">
        <f ca="1">IF(ISBLANK(A6),INDIRECT(COLUMN(P5)&amp;$K$4),(C6-$M$1)/$M$3)</f>
        <v>9.980827539383957E-3</v>
      </c>
    </row>
    <row r="7" spans="1:16" x14ac:dyDescent="0.35">
      <c r="A7" s="527">
        <v>6</v>
      </c>
      <c r="B7" s="527">
        <v>0</v>
      </c>
      <c r="C7" s="527">
        <v>1</v>
      </c>
      <c r="N7" s="527">
        <v>6</v>
      </c>
      <c r="O7" s="527">
        <f ca="1">IF(ISBLANK(A7),INDIRECT(ADDRESS($K$4,COLUMN($O$1))),(B7-$K$1)/$K$3)</f>
        <v>0</v>
      </c>
      <c r="P7" s="527">
        <f ca="1">IF(ISBLANK(A7),INDIRECT(ADDRESS($K$4,COLUMN(P6))),(C7-$M$1)/$M$3)</f>
        <v>9.980827539383957E-3</v>
      </c>
    </row>
    <row r="8" spans="1:16" x14ac:dyDescent="0.35">
      <c r="A8" s="527">
        <v>7</v>
      </c>
      <c r="B8" s="527">
        <v>0</v>
      </c>
      <c r="C8" s="527">
        <v>1</v>
      </c>
      <c r="N8" s="527">
        <v>7</v>
      </c>
      <c r="O8" s="527">
        <f t="shared" ref="O8:O51" ca="1" si="0">IF(ISBLANK(A8),INDIRECT(ADDRESS($K$4,COLUMN($O$1))),(B8-$K$1)/$K$3)</f>
        <v>0</v>
      </c>
      <c r="P8" s="527">
        <f t="shared" ref="P8:P51" ca="1" si="1">IF(ISBLANK(A8),INDIRECT(ADDRESS($K$4,COLUMN(P7))),(C8-$M$1)/$M$3)</f>
        <v>9.980827539383957E-3</v>
      </c>
    </row>
    <row r="9" spans="1:16" x14ac:dyDescent="0.35">
      <c r="A9" s="527">
        <v>8</v>
      </c>
      <c r="B9" s="527">
        <v>0</v>
      </c>
      <c r="C9" s="527">
        <v>1</v>
      </c>
      <c r="N9" s="527">
        <v>8</v>
      </c>
      <c r="O9" s="527">
        <f t="shared" ca="1" si="0"/>
        <v>0</v>
      </c>
      <c r="P9" s="527">
        <f t="shared" ca="1" si="1"/>
        <v>9.980827539383957E-3</v>
      </c>
    </row>
    <row r="10" spans="1:16" x14ac:dyDescent="0.35">
      <c r="A10" s="527">
        <v>9</v>
      </c>
      <c r="B10" s="527">
        <v>0</v>
      </c>
      <c r="C10" s="527">
        <v>1</v>
      </c>
      <c r="N10" s="527">
        <v>9</v>
      </c>
      <c r="O10" s="527">
        <f t="shared" ca="1" si="0"/>
        <v>0</v>
      </c>
      <c r="P10" s="527">
        <f t="shared" ca="1" si="1"/>
        <v>9.980827539383957E-3</v>
      </c>
    </row>
    <row r="11" spans="1:16" x14ac:dyDescent="0.35">
      <c r="A11" s="527">
        <v>10</v>
      </c>
      <c r="B11" s="527">
        <v>0</v>
      </c>
      <c r="C11" s="527">
        <v>1</v>
      </c>
      <c r="N11" s="527">
        <v>10</v>
      </c>
      <c r="O11" s="527">
        <f t="shared" ca="1" si="0"/>
        <v>0</v>
      </c>
      <c r="P11" s="527">
        <f t="shared" ca="1" si="1"/>
        <v>9.980827539383957E-3</v>
      </c>
    </row>
    <row r="12" spans="1:16" x14ac:dyDescent="0.35">
      <c r="A12" s="527">
        <v>11</v>
      </c>
      <c r="B12" s="527">
        <v>0</v>
      </c>
      <c r="C12" s="527">
        <v>1</v>
      </c>
      <c r="N12" s="527">
        <v>11</v>
      </c>
      <c r="O12" s="527">
        <f t="shared" ca="1" si="0"/>
        <v>0</v>
      </c>
      <c r="P12" s="527">
        <f t="shared" ca="1" si="1"/>
        <v>9.980827539383957E-3</v>
      </c>
    </row>
    <row r="13" spans="1:16" x14ac:dyDescent="0.35">
      <c r="A13" s="527">
        <v>12</v>
      </c>
      <c r="B13" s="527">
        <v>0</v>
      </c>
      <c r="C13" s="527">
        <v>1</v>
      </c>
      <c r="N13" s="527">
        <v>12</v>
      </c>
      <c r="O13" s="527">
        <f t="shared" ca="1" si="0"/>
        <v>0</v>
      </c>
      <c r="P13" s="527">
        <f t="shared" ca="1" si="1"/>
        <v>9.980827539383957E-3</v>
      </c>
    </row>
    <row r="14" spans="1:16" x14ac:dyDescent="0.35">
      <c r="A14" s="527">
        <v>13</v>
      </c>
      <c r="B14" s="527">
        <v>0</v>
      </c>
      <c r="C14" s="527">
        <v>1</v>
      </c>
      <c r="N14" s="527">
        <v>13</v>
      </c>
      <c r="O14" s="527">
        <f t="shared" ca="1" si="0"/>
        <v>0</v>
      </c>
      <c r="P14" s="527">
        <f t="shared" ca="1" si="1"/>
        <v>9.980827539383957E-3</v>
      </c>
    </row>
    <row r="15" spans="1:16" x14ac:dyDescent="0.35">
      <c r="A15" s="527">
        <v>14</v>
      </c>
      <c r="B15" s="527">
        <v>0</v>
      </c>
      <c r="C15" s="527">
        <v>1</v>
      </c>
      <c r="N15" s="527">
        <v>14</v>
      </c>
      <c r="O15" s="527">
        <f t="shared" ca="1" si="0"/>
        <v>0</v>
      </c>
      <c r="P15" s="527">
        <f t="shared" ca="1" si="1"/>
        <v>9.980827539383957E-3</v>
      </c>
    </row>
    <row r="16" spans="1:16" x14ac:dyDescent="0.35">
      <c r="A16" s="527">
        <v>15</v>
      </c>
      <c r="B16" s="527">
        <v>0</v>
      </c>
      <c r="C16" s="527">
        <v>1</v>
      </c>
      <c r="N16" s="527">
        <v>15</v>
      </c>
      <c r="O16" s="527">
        <f t="shared" ca="1" si="0"/>
        <v>0</v>
      </c>
      <c r="P16" s="527">
        <f t="shared" ca="1" si="1"/>
        <v>9.980827539383957E-3</v>
      </c>
    </row>
    <row r="17" spans="1:16" x14ac:dyDescent="0.35">
      <c r="A17" s="527">
        <v>16</v>
      </c>
      <c r="B17" s="527">
        <v>0</v>
      </c>
      <c r="C17" s="527">
        <v>1</v>
      </c>
      <c r="N17" s="527">
        <v>16</v>
      </c>
      <c r="O17" s="527">
        <f t="shared" ca="1" si="0"/>
        <v>0</v>
      </c>
      <c r="P17" s="527">
        <f t="shared" ca="1" si="1"/>
        <v>9.980827539383957E-3</v>
      </c>
    </row>
    <row r="18" spans="1:16" x14ac:dyDescent="0.35">
      <c r="A18" s="527">
        <v>17</v>
      </c>
      <c r="B18" s="527">
        <v>0</v>
      </c>
      <c r="C18" s="527">
        <v>1</v>
      </c>
      <c r="N18" s="527">
        <v>17</v>
      </c>
      <c r="O18" s="527">
        <f t="shared" ca="1" si="0"/>
        <v>0</v>
      </c>
      <c r="P18" s="527">
        <f t="shared" ca="1" si="1"/>
        <v>9.980827539383957E-3</v>
      </c>
    </row>
    <row r="19" spans="1:16" x14ac:dyDescent="0.35">
      <c r="A19" s="527">
        <v>18</v>
      </c>
      <c r="B19" s="527">
        <v>0</v>
      </c>
      <c r="C19" s="527">
        <v>1</v>
      </c>
      <c r="N19" s="527">
        <v>18</v>
      </c>
      <c r="O19" s="527">
        <f t="shared" ca="1" si="0"/>
        <v>0</v>
      </c>
      <c r="P19" s="527">
        <f t="shared" ca="1" si="1"/>
        <v>9.980827539383957E-3</v>
      </c>
    </row>
    <row r="20" spans="1:16" x14ac:dyDescent="0.35">
      <c r="A20" s="527">
        <v>19</v>
      </c>
      <c r="B20" s="527">
        <v>0</v>
      </c>
      <c r="C20" s="527">
        <v>1</v>
      </c>
      <c r="N20" s="527">
        <v>19</v>
      </c>
      <c r="O20" s="527">
        <f t="shared" ca="1" si="0"/>
        <v>0</v>
      </c>
      <c r="P20" s="527">
        <f t="shared" ca="1" si="1"/>
        <v>9.980827539383957E-3</v>
      </c>
    </row>
    <row r="21" spans="1:16" x14ac:dyDescent="0.35">
      <c r="A21" s="527">
        <v>20</v>
      </c>
      <c r="B21" s="527">
        <v>0</v>
      </c>
      <c r="C21" s="527">
        <v>1</v>
      </c>
      <c r="N21" s="527">
        <v>20</v>
      </c>
      <c r="O21" s="527">
        <f t="shared" ca="1" si="0"/>
        <v>0</v>
      </c>
      <c r="P21" s="527">
        <f t="shared" ca="1" si="1"/>
        <v>9.980827539383957E-3</v>
      </c>
    </row>
    <row r="22" spans="1:16" x14ac:dyDescent="0.35">
      <c r="A22" s="527">
        <v>21</v>
      </c>
      <c r="B22" s="527">
        <v>0</v>
      </c>
      <c r="C22" s="527">
        <v>1</v>
      </c>
      <c r="N22" s="527">
        <v>21</v>
      </c>
      <c r="O22" s="527">
        <f t="shared" ca="1" si="0"/>
        <v>0</v>
      </c>
      <c r="P22" s="527">
        <f t="shared" ca="1" si="1"/>
        <v>9.980827539383957E-3</v>
      </c>
    </row>
    <row r="23" spans="1:16" x14ac:dyDescent="0.35">
      <c r="A23" s="527">
        <v>22</v>
      </c>
      <c r="B23" s="527">
        <v>0</v>
      </c>
      <c r="C23" s="527">
        <v>1</v>
      </c>
      <c r="N23" s="527">
        <v>22</v>
      </c>
      <c r="O23" s="527">
        <f t="shared" ca="1" si="0"/>
        <v>0</v>
      </c>
      <c r="P23" s="527">
        <f t="shared" ca="1" si="1"/>
        <v>9.980827539383957E-3</v>
      </c>
    </row>
    <row r="24" spans="1:16" x14ac:dyDescent="0.35">
      <c r="A24" s="527">
        <v>23</v>
      </c>
      <c r="B24" s="527">
        <v>0</v>
      </c>
      <c r="C24" s="527">
        <v>1</v>
      </c>
      <c r="N24" s="527">
        <v>23</v>
      </c>
      <c r="O24" s="527">
        <f t="shared" ca="1" si="0"/>
        <v>0</v>
      </c>
      <c r="P24" s="527">
        <f t="shared" ca="1" si="1"/>
        <v>9.980827539383957E-3</v>
      </c>
    </row>
    <row r="25" spans="1:16" x14ac:dyDescent="0.35">
      <c r="A25" s="527">
        <v>24</v>
      </c>
      <c r="B25" s="527">
        <v>0</v>
      </c>
      <c r="C25" s="527">
        <v>1</v>
      </c>
      <c r="N25" s="527">
        <v>24</v>
      </c>
      <c r="O25" s="527">
        <f t="shared" ca="1" si="0"/>
        <v>0</v>
      </c>
      <c r="P25" s="527">
        <f t="shared" ca="1" si="1"/>
        <v>9.980827539383957E-3</v>
      </c>
    </row>
    <row r="26" spans="1:16" x14ac:dyDescent="0.35">
      <c r="A26" s="527">
        <v>25</v>
      </c>
      <c r="B26" s="527">
        <v>0</v>
      </c>
      <c r="C26" s="527">
        <v>1</v>
      </c>
      <c r="N26" s="527">
        <v>25</v>
      </c>
      <c r="O26" s="527">
        <f t="shared" ca="1" si="0"/>
        <v>0</v>
      </c>
      <c r="P26" s="527">
        <f t="shared" ca="1" si="1"/>
        <v>9.980827539383957E-3</v>
      </c>
    </row>
    <row r="27" spans="1:16" x14ac:dyDescent="0.35">
      <c r="A27" s="527">
        <v>26</v>
      </c>
      <c r="B27" s="527">
        <v>0</v>
      </c>
      <c r="C27" s="527">
        <v>1</v>
      </c>
      <c r="N27" s="527">
        <v>26</v>
      </c>
      <c r="O27" s="527">
        <f t="shared" ca="1" si="0"/>
        <v>0</v>
      </c>
      <c r="P27" s="527">
        <f t="shared" ca="1" si="1"/>
        <v>9.980827539383957E-3</v>
      </c>
    </row>
    <row r="28" spans="1:16" x14ac:dyDescent="0.35">
      <c r="A28" s="527">
        <v>27</v>
      </c>
      <c r="B28" s="527">
        <v>0</v>
      </c>
      <c r="C28" s="527">
        <v>1</v>
      </c>
      <c r="N28" s="527">
        <v>27</v>
      </c>
      <c r="O28" s="527">
        <f t="shared" ca="1" si="0"/>
        <v>0</v>
      </c>
      <c r="P28" s="527">
        <f t="shared" ca="1" si="1"/>
        <v>9.980827539383957E-3</v>
      </c>
    </row>
    <row r="29" spans="1:16" x14ac:dyDescent="0.35">
      <c r="A29" s="527">
        <v>28</v>
      </c>
      <c r="B29" s="527">
        <v>0</v>
      </c>
      <c r="C29" s="527">
        <v>1</v>
      </c>
      <c r="N29" s="527">
        <v>28</v>
      </c>
      <c r="O29" s="527">
        <f t="shared" ca="1" si="0"/>
        <v>0</v>
      </c>
      <c r="P29" s="527">
        <f t="shared" ca="1" si="1"/>
        <v>9.980827539383957E-3</v>
      </c>
    </row>
    <row r="30" spans="1:16" x14ac:dyDescent="0.35">
      <c r="A30" s="527">
        <v>29</v>
      </c>
      <c r="B30" s="527">
        <v>0</v>
      </c>
      <c r="C30" s="527">
        <v>1</v>
      </c>
      <c r="N30" s="527">
        <v>29</v>
      </c>
      <c r="O30" s="527">
        <f t="shared" ca="1" si="0"/>
        <v>0</v>
      </c>
      <c r="P30" s="527">
        <f t="shared" ca="1" si="1"/>
        <v>9.980827539383957E-3</v>
      </c>
    </row>
    <row r="31" spans="1:16" x14ac:dyDescent="0.35">
      <c r="A31" s="527">
        <v>30</v>
      </c>
      <c r="B31" s="527">
        <v>0</v>
      </c>
      <c r="C31" s="527">
        <v>1</v>
      </c>
      <c r="N31" s="527">
        <v>30</v>
      </c>
      <c r="O31" s="527">
        <f t="shared" ca="1" si="0"/>
        <v>0</v>
      </c>
      <c r="P31" s="527">
        <f t="shared" ca="1" si="1"/>
        <v>9.980827539383957E-3</v>
      </c>
    </row>
    <row r="32" spans="1:16" x14ac:dyDescent="0.35">
      <c r="A32" s="527">
        <v>31</v>
      </c>
      <c r="B32" s="527">
        <v>0</v>
      </c>
      <c r="C32" s="527">
        <v>1</v>
      </c>
      <c r="N32" s="527">
        <v>31</v>
      </c>
      <c r="O32" s="527">
        <f t="shared" ca="1" si="0"/>
        <v>0</v>
      </c>
      <c r="P32" s="527">
        <f t="shared" ca="1" si="1"/>
        <v>9.980827539383957E-3</v>
      </c>
    </row>
    <row r="33" spans="1:16" x14ac:dyDescent="0.35">
      <c r="A33" s="527">
        <v>32</v>
      </c>
      <c r="B33" s="527">
        <v>0</v>
      </c>
      <c r="C33" s="527">
        <v>1</v>
      </c>
      <c r="N33" s="527">
        <v>32</v>
      </c>
      <c r="O33" s="527">
        <f t="shared" ca="1" si="0"/>
        <v>0</v>
      </c>
      <c r="P33" s="527">
        <f t="shared" ca="1" si="1"/>
        <v>9.980827539383957E-3</v>
      </c>
    </row>
    <row r="34" spans="1:16" x14ac:dyDescent="0.35">
      <c r="A34" s="527">
        <v>33</v>
      </c>
      <c r="B34" s="527">
        <v>0</v>
      </c>
      <c r="C34" s="527">
        <v>1</v>
      </c>
      <c r="N34" s="527">
        <v>33</v>
      </c>
      <c r="O34" s="527">
        <f t="shared" ca="1" si="0"/>
        <v>0</v>
      </c>
      <c r="P34" s="527">
        <f t="shared" ca="1" si="1"/>
        <v>9.980827539383957E-3</v>
      </c>
    </row>
    <row r="35" spans="1:16" x14ac:dyDescent="0.35">
      <c r="A35" s="527">
        <v>34</v>
      </c>
      <c r="B35" s="527">
        <v>0</v>
      </c>
      <c r="C35" s="527">
        <v>1</v>
      </c>
      <c r="N35" s="527">
        <v>34</v>
      </c>
      <c r="O35" s="527">
        <f t="shared" ca="1" si="0"/>
        <v>0</v>
      </c>
      <c r="P35" s="527">
        <f t="shared" ca="1" si="1"/>
        <v>9.980827539383957E-3</v>
      </c>
    </row>
    <row r="36" spans="1:16" x14ac:dyDescent="0.35">
      <c r="A36" s="527">
        <v>35</v>
      </c>
      <c r="B36" s="527">
        <v>0</v>
      </c>
      <c r="C36" s="527">
        <v>1</v>
      </c>
      <c r="N36" s="527">
        <v>35</v>
      </c>
      <c r="O36" s="527">
        <f t="shared" ca="1" si="0"/>
        <v>0</v>
      </c>
      <c r="P36" s="527">
        <f t="shared" ca="1" si="1"/>
        <v>9.980827539383957E-3</v>
      </c>
    </row>
    <row r="37" spans="1:16" x14ac:dyDescent="0.35">
      <c r="A37" s="527">
        <v>36</v>
      </c>
      <c r="B37" s="527">
        <v>0</v>
      </c>
      <c r="C37" s="527">
        <v>1</v>
      </c>
      <c r="N37" s="527">
        <v>36</v>
      </c>
      <c r="O37" s="527">
        <f t="shared" ca="1" si="0"/>
        <v>0</v>
      </c>
      <c r="P37" s="527">
        <f t="shared" ca="1" si="1"/>
        <v>9.980827539383957E-3</v>
      </c>
    </row>
    <row r="38" spans="1:16" x14ac:dyDescent="0.35">
      <c r="A38" s="527">
        <v>37</v>
      </c>
      <c r="B38" s="527">
        <v>0</v>
      </c>
      <c r="C38" s="527">
        <v>1</v>
      </c>
      <c r="N38" s="527">
        <v>37</v>
      </c>
      <c r="O38" s="527">
        <f t="shared" ca="1" si="0"/>
        <v>0</v>
      </c>
      <c r="P38" s="527">
        <f t="shared" ca="1" si="1"/>
        <v>9.980827539383957E-3</v>
      </c>
    </row>
    <row r="39" spans="1:16" x14ac:dyDescent="0.35">
      <c r="A39" s="527">
        <v>38</v>
      </c>
      <c r="B39" s="527">
        <v>0</v>
      </c>
      <c r="C39" s="527">
        <v>1</v>
      </c>
      <c r="N39" s="527">
        <v>38</v>
      </c>
      <c r="O39" s="527">
        <f t="shared" ca="1" si="0"/>
        <v>0</v>
      </c>
      <c r="P39" s="527">
        <f t="shared" ca="1" si="1"/>
        <v>9.980827539383957E-3</v>
      </c>
    </row>
    <row r="40" spans="1:16" x14ac:dyDescent="0.35">
      <c r="A40" s="527">
        <v>39</v>
      </c>
      <c r="B40" s="527">
        <v>0</v>
      </c>
      <c r="C40" s="527">
        <v>1</v>
      </c>
      <c r="N40" s="527">
        <v>39</v>
      </c>
      <c r="O40" s="527">
        <f t="shared" ca="1" si="0"/>
        <v>0</v>
      </c>
      <c r="P40" s="527">
        <f t="shared" ca="1" si="1"/>
        <v>9.980827539383957E-3</v>
      </c>
    </row>
    <row r="41" spans="1:16" x14ac:dyDescent="0.35">
      <c r="A41" s="527">
        <v>40</v>
      </c>
      <c r="B41" s="527">
        <v>0</v>
      </c>
      <c r="C41" s="527">
        <v>1</v>
      </c>
      <c r="N41" s="527">
        <v>40</v>
      </c>
      <c r="O41" s="527">
        <f t="shared" ca="1" si="0"/>
        <v>0</v>
      </c>
      <c r="P41" s="527">
        <f t="shared" ca="1" si="1"/>
        <v>9.980827539383957E-3</v>
      </c>
    </row>
    <row r="42" spans="1:16" x14ac:dyDescent="0.35">
      <c r="A42" s="527">
        <v>41</v>
      </c>
      <c r="B42" s="527">
        <v>0</v>
      </c>
      <c r="C42" s="527">
        <v>1</v>
      </c>
      <c r="N42" s="527">
        <v>41</v>
      </c>
      <c r="O42" s="527">
        <f t="shared" ca="1" si="0"/>
        <v>0</v>
      </c>
      <c r="P42" s="527">
        <f t="shared" ca="1" si="1"/>
        <v>9.980827539383957E-3</v>
      </c>
    </row>
    <row r="43" spans="1:16" x14ac:dyDescent="0.35">
      <c r="A43" s="527">
        <v>42</v>
      </c>
      <c r="B43" s="527">
        <v>0</v>
      </c>
      <c r="C43" s="527">
        <v>1</v>
      </c>
      <c r="N43" s="527">
        <v>42</v>
      </c>
      <c r="O43" s="527">
        <f t="shared" ca="1" si="0"/>
        <v>0</v>
      </c>
      <c r="P43" s="527">
        <f t="shared" ca="1" si="1"/>
        <v>9.980827539383957E-3</v>
      </c>
    </row>
    <row r="44" spans="1:16" x14ac:dyDescent="0.35">
      <c r="A44" s="527">
        <v>43</v>
      </c>
      <c r="B44" s="527">
        <v>0</v>
      </c>
      <c r="C44" s="527">
        <v>1</v>
      </c>
      <c r="N44" s="527">
        <v>43</v>
      </c>
      <c r="O44" s="527">
        <f t="shared" ca="1" si="0"/>
        <v>0</v>
      </c>
      <c r="P44" s="527">
        <f t="shared" ca="1" si="1"/>
        <v>9.980827539383957E-3</v>
      </c>
    </row>
    <row r="45" spans="1:16" x14ac:dyDescent="0.35">
      <c r="A45" s="527">
        <v>44</v>
      </c>
      <c r="B45" s="527">
        <v>0</v>
      </c>
      <c r="C45" s="527">
        <v>1</v>
      </c>
      <c r="N45" s="527">
        <v>44</v>
      </c>
      <c r="O45" s="527">
        <f t="shared" ca="1" si="0"/>
        <v>0</v>
      </c>
      <c r="P45" s="527">
        <f t="shared" ca="1" si="1"/>
        <v>9.980827539383957E-3</v>
      </c>
    </row>
    <row r="46" spans="1:16" x14ac:dyDescent="0.35">
      <c r="A46" s="527">
        <v>45</v>
      </c>
      <c r="B46" s="527">
        <v>0</v>
      </c>
      <c r="C46" s="527">
        <v>1</v>
      </c>
      <c r="N46" s="527">
        <v>45</v>
      </c>
      <c r="O46" s="527">
        <f t="shared" ca="1" si="0"/>
        <v>0</v>
      </c>
      <c r="P46" s="527">
        <f t="shared" ca="1" si="1"/>
        <v>9.980827539383957E-3</v>
      </c>
    </row>
    <row r="47" spans="1:16" x14ac:dyDescent="0.35">
      <c r="A47" s="527">
        <v>46</v>
      </c>
      <c r="B47" s="527">
        <v>0</v>
      </c>
      <c r="C47" s="527">
        <v>1</v>
      </c>
      <c r="N47" s="527">
        <v>46</v>
      </c>
      <c r="O47" s="527">
        <f t="shared" ca="1" si="0"/>
        <v>0</v>
      </c>
      <c r="P47" s="527">
        <f t="shared" ca="1" si="1"/>
        <v>9.980827539383957E-3</v>
      </c>
    </row>
    <row r="48" spans="1:16" x14ac:dyDescent="0.35">
      <c r="A48" s="527">
        <v>47</v>
      </c>
      <c r="B48" s="527">
        <v>0</v>
      </c>
      <c r="C48" s="527">
        <v>1</v>
      </c>
      <c r="N48" s="527">
        <v>47</v>
      </c>
      <c r="O48" s="527">
        <f t="shared" ca="1" si="0"/>
        <v>0</v>
      </c>
      <c r="P48" s="527">
        <f t="shared" ca="1" si="1"/>
        <v>9.980827539383957E-3</v>
      </c>
    </row>
    <row r="49" spans="1:16" x14ac:dyDescent="0.35">
      <c r="A49" s="527">
        <v>48</v>
      </c>
      <c r="B49" s="527">
        <v>0</v>
      </c>
      <c r="C49" s="527">
        <v>1</v>
      </c>
      <c r="N49" s="527">
        <v>48</v>
      </c>
      <c r="O49" s="527">
        <f t="shared" ca="1" si="0"/>
        <v>0</v>
      </c>
      <c r="P49" s="527">
        <f t="shared" ca="1" si="1"/>
        <v>9.980827539383957E-3</v>
      </c>
    </row>
    <row r="50" spans="1:16" x14ac:dyDescent="0.35">
      <c r="A50" s="527">
        <v>49</v>
      </c>
      <c r="B50" s="527">
        <v>0</v>
      </c>
      <c r="C50" s="527">
        <v>1</v>
      </c>
      <c r="N50" s="527">
        <v>49</v>
      </c>
      <c r="O50" s="527">
        <f t="shared" ca="1" si="0"/>
        <v>0</v>
      </c>
      <c r="P50" s="527">
        <f t="shared" ca="1" si="1"/>
        <v>9.980827539383957E-3</v>
      </c>
    </row>
    <row r="51" spans="1:16" x14ac:dyDescent="0.35">
      <c r="A51" s="527">
        <v>50</v>
      </c>
      <c r="B51" s="527">
        <v>0</v>
      </c>
      <c r="C51" s="527">
        <v>1</v>
      </c>
      <c r="N51" s="527">
        <v>50</v>
      </c>
      <c r="O51" s="527">
        <f t="shared" ca="1" si="0"/>
        <v>0</v>
      </c>
      <c r="P51" s="527">
        <f t="shared" ca="1" si="1"/>
        <v>9.980827539383957E-3</v>
      </c>
    </row>
    <row r="52" spans="1:16" x14ac:dyDescent="0.35">
      <c r="A52" s="527">
        <v>51</v>
      </c>
      <c r="B52" s="527">
        <v>0</v>
      </c>
      <c r="C52" s="527">
        <v>1</v>
      </c>
    </row>
    <row r="53" spans="1:16" x14ac:dyDescent="0.35">
      <c r="A53" s="527">
        <v>52</v>
      </c>
      <c r="B53" s="527">
        <v>0</v>
      </c>
      <c r="C53" s="527">
        <v>1</v>
      </c>
    </row>
    <row r="54" spans="1:16" x14ac:dyDescent="0.35">
      <c r="A54" s="527">
        <v>53</v>
      </c>
      <c r="B54" s="527">
        <v>0</v>
      </c>
      <c r="C54" s="527">
        <v>1</v>
      </c>
    </row>
    <row r="55" spans="1:16" x14ac:dyDescent="0.35">
      <c r="A55" s="527">
        <v>54</v>
      </c>
      <c r="B55" s="527">
        <v>4.6138162612915039</v>
      </c>
      <c r="C55" s="527">
        <v>0</v>
      </c>
    </row>
    <row r="56" spans="1:16" x14ac:dyDescent="0.35">
      <c r="A56" s="527">
        <v>55</v>
      </c>
      <c r="B56" s="527">
        <v>4.6142458915710449</v>
      </c>
      <c r="C56" s="527">
        <v>0</v>
      </c>
    </row>
    <row r="57" spans="1:16" x14ac:dyDescent="0.35">
      <c r="A57" s="527">
        <v>56</v>
      </c>
      <c r="B57" s="527">
        <v>0</v>
      </c>
      <c r="C57" s="527">
        <v>0</v>
      </c>
    </row>
    <row r="58" spans="1:16" x14ac:dyDescent="0.35">
      <c r="A58" s="527">
        <v>57</v>
      </c>
      <c r="B58" s="527">
        <v>0</v>
      </c>
      <c r="C58" s="527">
        <v>0</v>
      </c>
    </row>
    <row r="59" spans="1:16" x14ac:dyDescent="0.35">
      <c r="A59" s="527">
        <v>58</v>
      </c>
      <c r="B59" s="527">
        <v>0</v>
      </c>
      <c r="C59" s="527">
        <v>0</v>
      </c>
    </row>
    <row r="60" spans="1:16" x14ac:dyDescent="0.35">
      <c r="A60" s="527">
        <v>59</v>
      </c>
      <c r="B60" s="527">
        <v>0</v>
      </c>
      <c r="C60" s="527">
        <v>0</v>
      </c>
    </row>
    <row r="61" spans="1:16" x14ac:dyDescent="0.35">
      <c r="A61" s="527">
        <v>60</v>
      </c>
      <c r="B61" s="527">
        <v>0</v>
      </c>
      <c r="C61" s="527">
        <v>0</v>
      </c>
    </row>
    <row r="62" spans="1:16" x14ac:dyDescent="0.35">
      <c r="A62" s="527">
        <v>61</v>
      </c>
      <c r="B62" s="527">
        <v>0</v>
      </c>
      <c r="C62" s="527">
        <v>0</v>
      </c>
    </row>
    <row r="63" spans="1:16" x14ac:dyDescent="0.35">
      <c r="A63" s="527">
        <v>62</v>
      </c>
      <c r="B63" s="527">
        <v>0</v>
      </c>
      <c r="C63" s="527">
        <v>0</v>
      </c>
    </row>
    <row r="64" spans="1:16" x14ac:dyDescent="0.35">
      <c r="A64" s="527">
        <v>63</v>
      </c>
      <c r="B64" s="527">
        <v>0</v>
      </c>
      <c r="C64" s="527">
        <v>0</v>
      </c>
    </row>
    <row r="65" spans="1:3" x14ac:dyDescent="0.35">
      <c r="A65" s="527">
        <v>64</v>
      </c>
      <c r="B65" s="527">
        <v>0</v>
      </c>
      <c r="C65" s="527">
        <v>0</v>
      </c>
    </row>
    <row r="66" spans="1:3" x14ac:dyDescent="0.35">
      <c r="A66" s="527">
        <v>65</v>
      </c>
      <c r="B66" s="527">
        <v>0</v>
      </c>
      <c r="C66" s="527">
        <v>0</v>
      </c>
    </row>
    <row r="67" spans="1:3" x14ac:dyDescent="0.35">
      <c r="A67" s="527">
        <v>66</v>
      </c>
      <c r="B67" s="527">
        <v>0</v>
      </c>
      <c r="C67" s="527">
        <v>0</v>
      </c>
    </row>
    <row r="68" spans="1:3" x14ac:dyDescent="0.35">
      <c r="A68" s="527">
        <v>67</v>
      </c>
      <c r="B68" s="527">
        <v>0</v>
      </c>
      <c r="C68" s="527">
        <v>0</v>
      </c>
    </row>
    <row r="69" spans="1:3" x14ac:dyDescent="0.35">
      <c r="A69" s="527">
        <v>68</v>
      </c>
      <c r="B69" s="527">
        <v>0</v>
      </c>
      <c r="C69" s="527">
        <v>0</v>
      </c>
    </row>
    <row r="70" spans="1:3" x14ac:dyDescent="0.35">
      <c r="A70" s="527">
        <v>69</v>
      </c>
      <c r="B70" s="527">
        <v>0</v>
      </c>
      <c r="C70" s="527">
        <v>0</v>
      </c>
    </row>
    <row r="71" spans="1:3" x14ac:dyDescent="0.35">
      <c r="A71" s="527">
        <v>70</v>
      </c>
      <c r="B71" s="527">
        <v>0</v>
      </c>
      <c r="C71" s="527">
        <v>0</v>
      </c>
    </row>
    <row r="72" spans="1:3" x14ac:dyDescent="0.35">
      <c r="A72" s="527">
        <v>71</v>
      </c>
      <c r="B72" s="527">
        <v>0</v>
      </c>
      <c r="C72" s="527">
        <v>1</v>
      </c>
    </row>
    <row r="73" spans="1:3" x14ac:dyDescent="0.35">
      <c r="A73" s="527">
        <v>72</v>
      </c>
      <c r="B73" s="527">
        <v>4.7629218897782266E-5</v>
      </c>
      <c r="C73" s="527">
        <v>1</v>
      </c>
    </row>
    <row r="74" spans="1:3" x14ac:dyDescent="0.35">
      <c r="A74" s="527">
        <v>73</v>
      </c>
      <c r="B74" s="527">
        <v>4.7629218897782266E-5</v>
      </c>
      <c r="C74" s="527">
        <v>1</v>
      </c>
    </row>
    <row r="75" spans="1:3" x14ac:dyDescent="0.35">
      <c r="A75" s="527">
        <v>74</v>
      </c>
      <c r="B75" s="527">
        <v>4.7629218897782266E-5</v>
      </c>
      <c r="C75" s="527">
        <v>1</v>
      </c>
    </row>
    <row r="76" spans="1:3" x14ac:dyDescent="0.35">
      <c r="A76" s="527">
        <v>75</v>
      </c>
      <c r="B76" s="527">
        <v>4.7629218897782266E-5</v>
      </c>
      <c r="C76" s="527">
        <v>1</v>
      </c>
    </row>
    <row r="77" spans="1:3" x14ac:dyDescent="0.35">
      <c r="A77" s="527">
        <v>76</v>
      </c>
      <c r="B77" s="527">
        <v>4.7629220034650643E-7</v>
      </c>
      <c r="C77" s="527">
        <v>9.9999997764825821E-3</v>
      </c>
    </row>
    <row r="78" spans="1:3" x14ac:dyDescent="0.35">
      <c r="A78" s="527">
        <v>77</v>
      </c>
      <c r="B78" s="527">
        <v>4.7629219479858875E-3</v>
      </c>
      <c r="C78" s="527">
        <v>100</v>
      </c>
    </row>
    <row r="79" spans="1:3" x14ac:dyDescent="0.35">
      <c r="A79" s="527">
        <v>78</v>
      </c>
      <c r="B79" s="527">
        <v>4.7629219479858875E-3</v>
      </c>
      <c r="C79" s="527">
        <v>100</v>
      </c>
    </row>
    <row r="80" spans="1:3" x14ac:dyDescent="0.35">
      <c r="A80" s="527">
        <v>79</v>
      </c>
      <c r="B80" s="527">
        <v>7.5526535511016846E-3</v>
      </c>
      <c r="C80" s="527">
        <v>100</v>
      </c>
    </row>
    <row r="81" spans="1:3" x14ac:dyDescent="0.35">
      <c r="A81" s="527">
        <v>80</v>
      </c>
      <c r="B81" s="527">
        <v>2.7642752975225449E-2</v>
      </c>
      <c r="C81" s="527">
        <v>100</v>
      </c>
    </row>
    <row r="82" spans="1:3" x14ac:dyDescent="0.35">
      <c r="A82" s="527">
        <v>81</v>
      </c>
      <c r="B82" s="527">
        <v>2.76456568390131E-2</v>
      </c>
      <c r="C82" s="527">
        <v>100.010498046875</v>
      </c>
    </row>
    <row r="83" spans="1:3" x14ac:dyDescent="0.35">
      <c r="A83" s="527">
        <v>82</v>
      </c>
      <c r="B83" s="527">
        <v>2.7648704126477242E-2</v>
      </c>
      <c r="C83" s="527">
        <v>100.02152252197266</v>
      </c>
    </row>
    <row r="84" spans="1:3" x14ac:dyDescent="0.35">
      <c r="A84" s="527">
        <v>83</v>
      </c>
      <c r="B84" s="527">
        <v>2.765190415084362E-2</v>
      </c>
      <c r="C84" s="527">
        <v>100.03310394287109</v>
      </c>
    </row>
    <row r="85" spans="1:3" x14ac:dyDescent="0.35">
      <c r="A85" s="527">
        <v>84</v>
      </c>
      <c r="B85" s="527">
        <v>2.7655104175209999E-2</v>
      </c>
      <c r="C85" s="527">
        <v>100.044677734375</v>
      </c>
    </row>
    <row r="86" spans="1:3" x14ac:dyDescent="0.35">
      <c r="A86" s="527">
        <v>85</v>
      </c>
      <c r="B86" s="527">
        <v>2.7658464387059212E-2</v>
      </c>
      <c r="C86" s="527">
        <v>100.05683135986328</v>
      </c>
    </row>
    <row r="87" spans="1:3" x14ac:dyDescent="0.35">
      <c r="A87" s="527">
        <v>86</v>
      </c>
      <c r="B87" s="527">
        <v>2.7661824598908424E-2</v>
      </c>
      <c r="C87" s="527">
        <v>100.06898498535156</v>
      </c>
    </row>
    <row r="88" spans="1:3" x14ac:dyDescent="0.35">
      <c r="A88" s="527">
        <v>87</v>
      </c>
      <c r="B88" s="527">
        <v>2.7665184810757637E-2</v>
      </c>
      <c r="C88" s="527">
        <v>100.08114624023437</v>
      </c>
    </row>
    <row r="89" spans="1:3" x14ac:dyDescent="0.35">
      <c r="A89" s="527">
        <v>88</v>
      </c>
      <c r="B89" s="527">
        <v>2.76685431599617E-2</v>
      </c>
      <c r="C89" s="527">
        <v>100.09329986572266</v>
      </c>
    </row>
    <row r="90" spans="1:3" x14ac:dyDescent="0.35">
      <c r="A90" s="527">
        <v>89</v>
      </c>
      <c r="B90" s="527">
        <v>2.7672071009874344E-2</v>
      </c>
      <c r="C90" s="527">
        <v>100.10606384277344</v>
      </c>
    </row>
    <row r="91" spans="1:3" x14ac:dyDescent="0.35">
      <c r="A91" s="527">
        <v>90</v>
      </c>
      <c r="B91" s="527">
        <v>2.7675600722432137E-2</v>
      </c>
      <c r="C91" s="527">
        <v>100.11882019042969</v>
      </c>
    </row>
    <row r="92" spans="1:3" x14ac:dyDescent="0.35">
      <c r="A92" s="527">
        <v>91</v>
      </c>
      <c r="B92" s="527">
        <v>2.7679303660988808E-2</v>
      </c>
      <c r="C92" s="527">
        <v>100.13222503662109</v>
      </c>
    </row>
    <row r="93" spans="1:3" x14ac:dyDescent="0.35">
      <c r="A93" s="527">
        <v>92</v>
      </c>
      <c r="B93" s="527">
        <v>2.7683194726705551E-2</v>
      </c>
      <c r="C93" s="527">
        <v>100.14629364013672</v>
      </c>
    </row>
    <row r="94" spans="1:3" x14ac:dyDescent="0.35">
      <c r="A94" s="527">
        <v>93</v>
      </c>
      <c r="B94" s="527">
        <v>2.7687277644872665E-2</v>
      </c>
      <c r="C94" s="527">
        <v>100.16107177734375</v>
      </c>
    </row>
    <row r="95" spans="1:3" x14ac:dyDescent="0.35">
      <c r="A95" s="527">
        <v>94</v>
      </c>
      <c r="B95" s="527">
        <v>2.7691565454006195E-2</v>
      </c>
      <c r="C95" s="527">
        <v>100.17658233642578</v>
      </c>
    </row>
    <row r="96" spans="1:3" x14ac:dyDescent="0.35">
      <c r="A96" s="527">
        <v>95</v>
      </c>
      <c r="B96" s="527">
        <v>2.7695855125784874E-2</v>
      </c>
      <c r="C96" s="527">
        <v>100.19209289550781</v>
      </c>
    </row>
    <row r="97" spans="1:3" x14ac:dyDescent="0.35">
      <c r="A97" s="527">
        <v>96</v>
      </c>
      <c r="B97" s="527">
        <v>2.7691565454006195E-2</v>
      </c>
      <c r="C97" s="527">
        <v>100.17658233642578</v>
      </c>
    </row>
    <row r="98" spans="1:3" x14ac:dyDescent="0.35">
      <c r="A98" s="527">
        <v>97</v>
      </c>
      <c r="B98" s="527">
        <v>2.7687063440680504E-2</v>
      </c>
      <c r="C98" s="527">
        <v>100.16029357910156</v>
      </c>
    </row>
    <row r="99" spans="1:3" x14ac:dyDescent="0.35">
      <c r="A99" s="527">
        <v>98</v>
      </c>
      <c r="B99" s="527">
        <v>2.7682336047291756E-2</v>
      </c>
      <c r="C99" s="527">
        <v>100.1431884765625</v>
      </c>
    </row>
    <row r="100" spans="1:3" x14ac:dyDescent="0.35">
      <c r="A100" s="527">
        <v>99</v>
      </c>
      <c r="B100" s="527">
        <v>2.7677608653903008E-2</v>
      </c>
      <c r="C100" s="527">
        <v>100.12609100341797</v>
      </c>
    </row>
    <row r="101" spans="1:3" x14ac:dyDescent="0.35">
      <c r="A101" s="527">
        <v>100</v>
      </c>
      <c r="B101" s="527">
        <v>2.7672642841935158E-2</v>
      </c>
      <c r="C101" s="527">
        <v>100.10813140869141</v>
      </c>
    </row>
    <row r="102" spans="1:3" x14ac:dyDescent="0.35">
      <c r="A102" s="527">
        <v>101</v>
      </c>
      <c r="B102" s="527">
        <v>2.766743116080761E-2</v>
      </c>
      <c r="C102" s="527">
        <v>100.08927154541016</v>
      </c>
    </row>
    <row r="103" spans="1:3" x14ac:dyDescent="0.35">
      <c r="A103" s="527">
        <v>102</v>
      </c>
      <c r="B103" s="527">
        <v>2.7661958709359169E-2</v>
      </c>
      <c r="C103" s="527">
        <v>100.06947326660156</v>
      </c>
    </row>
    <row r="104" spans="1:3" x14ac:dyDescent="0.35">
      <c r="A104" s="527">
        <v>103</v>
      </c>
      <c r="B104" s="527">
        <v>2.7656210586428642E-2</v>
      </c>
      <c r="C104" s="527">
        <v>100.04868316650391</v>
      </c>
    </row>
    <row r="105" spans="1:3" x14ac:dyDescent="0.35">
      <c r="A105" s="527">
        <v>104</v>
      </c>
      <c r="B105" s="527">
        <v>2.7662245556712151E-2</v>
      </c>
      <c r="C105" s="527">
        <v>100.07051086425781</v>
      </c>
    </row>
    <row r="106" spans="1:3" x14ac:dyDescent="0.35">
      <c r="A106" s="527">
        <v>105</v>
      </c>
      <c r="B106" s="527">
        <v>2.7668580412864685E-2</v>
      </c>
      <c r="C106" s="527">
        <v>100.09342956542969</v>
      </c>
    </row>
    <row r="107" spans="1:3" x14ac:dyDescent="0.35">
      <c r="A107" s="527">
        <v>106</v>
      </c>
      <c r="B107" s="527">
        <v>2.7675233781337738E-2</v>
      </c>
      <c r="C107" s="527">
        <v>100.11750030517578</v>
      </c>
    </row>
    <row r="108" spans="1:3" x14ac:dyDescent="0.35">
      <c r="A108" s="527">
        <v>107</v>
      </c>
      <c r="B108" s="527">
        <v>2.7682218700647354E-2</v>
      </c>
      <c r="C108" s="527">
        <v>100.14276885986328</v>
      </c>
    </row>
    <row r="109" spans="1:3" x14ac:dyDescent="0.35">
      <c r="A109" s="527">
        <v>108</v>
      </c>
      <c r="B109" s="527">
        <v>2.7689553797245026E-2</v>
      </c>
      <c r="C109" s="527">
        <v>100.16930389404297</v>
      </c>
    </row>
    <row r="110" spans="1:3" x14ac:dyDescent="0.35">
      <c r="A110" s="527">
        <v>109</v>
      </c>
      <c r="B110" s="527">
        <v>2.7697253972291946E-2</v>
      </c>
      <c r="C110" s="527">
        <v>100.19715881347656</v>
      </c>
    </row>
    <row r="111" spans="1:3" x14ac:dyDescent="0.35">
      <c r="A111" s="527">
        <v>110</v>
      </c>
      <c r="B111" s="527">
        <v>2.7705341577529907E-2</v>
      </c>
      <c r="C111" s="527">
        <v>100.22640991210937</v>
      </c>
    </row>
    <row r="112" spans="1:3" x14ac:dyDescent="0.35">
      <c r="A112" s="527">
        <v>111</v>
      </c>
      <c r="B112" s="527">
        <v>2.7713831514120102E-2</v>
      </c>
      <c r="C112" s="527">
        <v>100.25712585449219</v>
      </c>
    </row>
    <row r="113" spans="1:3" x14ac:dyDescent="0.35">
      <c r="A113" s="527">
        <v>112</v>
      </c>
      <c r="B113" s="527">
        <v>2.7722746133804321E-2</v>
      </c>
      <c r="C113" s="527">
        <v>100.28938293457031</v>
      </c>
    </row>
    <row r="114" spans="1:3" x14ac:dyDescent="0.35">
      <c r="A114" s="527">
        <v>113</v>
      </c>
      <c r="B114" s="527">
        <v>2.7732107788324356E-2</v>
      </c>
      <c r="C114" s="527">
        <v>100.3232421875</v>
      </c>
    </row>
    <row r="115" spans="1:3" x14ac:dyDescent="0.35">
      <c r="A115" s="527">
        <v>114</v>
      </c>
      <c r="B115" s="527">
        <v>2.7741936966776848E-2</v>
      </c>
      <c r="C115" s="527">
        <v>100.35880279541016</v>
      </c>
    </row>
    <row r="116" spans="1:3" x14ac:dyDescent="0.35">
      <c r="A116" s="527">
        <v>115</v>
      </c>
      <c r="B116" s="527">
        <v>2.7770960703492165E-2</v>
      </c>
      <c r="C116" s="527">
        <v>100.46379852294922</v>
      </c>
    </row>
    <row r="117" spans="1:3" x14ac:dyDescent="0.35">
      <c r="A117" s="527">
        <v>116</v>
      </c>
      <c r="B117" s="527">
        <v>2.7801437303423882E-2</v>
      </c>
      <c r="C117" s="527">
        <v>100.57405090332031</v>
      </c>
    </row>
    <row r="118" spans="1:3" x14ac:dyDescent="0.35">
      <c r="A118" s="527">
        <v>117</v>
      </c>
      <c r="B118" s="527">
        <v>2.7833437547087669E-2</v>
      </c>
      <c r="C118" s="527">
        <v>100.68981170654297</v>
      </c>
    </row>
    <row r="119" spans="1:3" x14ac:dyDescent="0.35">
      <c r="A119" s="527">
        <v>118</v>
      </c>
      <c r="B119" s="527">
        <v>2.7865437790751457E-2</v>
      </c>
      <c r="C119" s="527">
        <v>100.80557250976562</v>
      </c>
    </row>
    <row r="120" spans="1:3" x14ac:dyDescent="0.35">
      <c r="A120" s="527">
        <v>119</v>
      </c>
      <c r="B120" s="527">
        <v>2.7899036183953285E-2</v>
      </c>
      <c r="C120" s="527">
        <v>100.9271240234375</v>
      </c>
    </row>
    <row r="121" spans="1:3" x14ac:dyDescent="0.35">
      <c r="A121" s="527">
        <v>120</v>
      </c>
      <c r="B121" s="527">
        <v>2.7934316545724869E-2</v>
      </c>
      <c r="C121" s="527">
        <v>101.05475616455078</v>
      </c>
    </row>
    <row r="122" spans="1:3" x14ac:dyDescent="0.35">
      <c r="A122" s="527">
        <v>121</v>
      </c>
      <c r="B122" s="527">
        <v>2.7971360832452774E-2</v>
      </c>
      <c r="C122" s="527">
        <v>101.18876647949219</v>
      </c>
    </row>
    <row r="123" spans="1:3" x14ac:dyDescent="0.35">
      <c r="A123" s="527">
        <v>122</v>
      </c>
      <c r="B123" s="527">
        <v>2.8010256588459015E-2</v>
      </c>
      <c r="C123" s="527">
        <v>101.32947540283203</v>
      </c>
    </row>
    <row r="124" spans="1:3" x14ac:dyDescent="0.35">
      <c r="A124" s="527">
        <v>123</v>
      </c>
      <c r="B124" s="527">
        <v>2.8051098808646202E-2</v>
      </c>
      <c r="C124" s="527">
        <v>101.47721862792969</v>
      </c>
    </row>
    <row r="125" spans="1:3" x14ac:dyDescent="0.35">
      <c r="A125" s="527">
        <v>124</v>
      </c>
      <c r="B125" s="527">
        <v>2.8093980625271797E-2</v>
      </c>
      <c r="C125" s="527">
        <v>101.63235473632812</v>
      </c>
    </row>
    <row r="126" spans="1:3" x14ac:dyDescent="0.35">
      <c r="A126" s="527">
        <v>125</v>
      </c>
      <c r="B126" s="527">
        <v>2.8139008209109306E-2</v>
      </c>
      <c r="C126" s="527">
        <v>101.79524230957031</v>
      </c>
    </row>
    <row r="127" spans="1:3" x14ac:dyDescent="0.35">
      <c r="A127" s="527">
        <v>126</v>
      </c>
      <c r="B127" s="527">
        <v>2.8186285868287086E-2</v>
      </c>
      <c r="C127" s="527">
        <v>101.96627807617187</v>
      </c>
    </row>
    <row r="128" spans="1:3" x14ac:dyDescent="0.35">
      <c r="A128" s="527">
        <v>127</v>
      </c>
      <c r="B128" s="527">
        <v>2.823592908680439E-2</v>
      </c>
      <c r="C128" s="527">
        <v>102.14585876464844</v>
      </c>
    </row>
    <row r="129" spans="1:3" x14ac:dyDescent="0.35">
      <c r="A129" s="527">
        <v>128</v>
      </c>
      <c r="B129" s="527">
        <v>2.8288053348660469E-2</v>
      </c>
      <c r="C129" s="527">
        <v>102.33442687988281</v>
      </c>
    </row>
    <row r="130" spans="1:3" x14ac:dyDescent="0.35">
      <c r="A130" s="527">
        <v>129</v>
      </c>
      <c r="B130" s="527">
        <v>2.8342783451080322E-2</v>
      </c>
      <c r="C130" s="527">
        <v>102.53241729736328</v>
      </c>
    </row>
    <row r="131" spans="1:3" x14ac:dyDescent="0.35">
      <c r="A131" s="527">
        <v>130</v>
      </c>
      <c r="B131" s="527">
        <v>2.8400251641869545E-2</v>
      </c>
      <c r="C131" s="527">
        <v>102.74031066894531</v>
      </c>
    </row>
    <row r="132" spans="1:3" x14ac:dyDescent="0.35">
      <c r="A132" s="527">
        <v>131</v>
      </c>
      <c r="B132" s="527">
        <v>2.8457717970013618E-2</v>
      </c>
      <c r="C132" s="527">
        <v>102.94820404052734</v>
      </c>
    </row>
    <row r="133" spans="1:3" x14ac:dyDescent="0.35">
      <c r="A133" s="527">
        <v>132</v>
      </c>
      <c r="B133" s="527">
        <v>2.8515186160802841E-2</v>
      </c>
      <c r="C133" s="527">
        <v>103.15609741210937</v>
      </c>
    </row>
    <row r="134" spans="1:3" x14ac:dyDescent="0.35">
      <c r="A134" s="527">
        <v>133</v>
      </c>
      <c r="B134" s="527">
        <v>2.8791613876819611E-2</v>
      </c>
      <c r="C134" s="527">
        <v>104.15609741210937</v>
      </c>
    </row>
    <row r="135" spans="1:3" x14ac:dyDescent="0.35">
      <c r="A135" s="527">
        <v>134</v>
      </c>
      <c r="B135" s="527">
        <v>2.9081862419843674E-2</v>
      </c>
      <c r="C135" s="527">
        <v>105.20610046386719</v>
      </c>
    </row>
    <row r="136" spans="1:3" x14ac:dyDescent="0.35">
      <c r="A136" s="527">
        <v>135</v>
      </c>
      <c r="B136" s="527">
        <v>2.9386624693870544E-2</v>
      </c>
      <c r="C136" s="527">
        <v>106.30859375</v>
      </c>
    </row>
    <row r="137" spans="1:3" x14ac:dyDescent="0.35">
      <c r="A137" s="527">
        <v>136</v>
      </c>
      <c r="B137" s="527">
        <v>2.9691385105252266E-2</v>
      </c>
      <c r="C137" s="527">
        <v>107.41109466552734</v>
      </c>
    </row>
    <row r="138" spans="1:3" x14ac:dyDescent="0.35">
      <c r="A138" s="527">
        <v>137</v>
      </c>
      <c r="B138" s="527">
        <v>3.0011383816599846E-2</v>
      </c>
      <c r="C138" s="527">
        <v>108.5687255859375</v>
      </c>
    </row>
    <row r="139" spans="1:3" x14ac:dyDescent="0.35">
      <c r="A139" s="527">
        <v>138</v>
      </c>
      <c r="B139" s="527">
        <v>3.0331384390592575E-2</v>
      </c>
      <c r="C139" s="527">
        <v>109.72634887695312</v>
      </c>
    </row>
    <row r="140" spans="1:3" x14ac:dyDescent="0.35">
      <c r="A140" s="527">
        <v>139</v>
      </c>
      <c r="B140" s="527">
        <v>3.0667383223772049E-2</v>
      </c>
      <c r="C140" s="527">
        <v>110.94185638427734</v>
      </c>
    </row>
    <row r="141" spans="1:3" x14ac:dyDescent="0.35">
      <c r="A141" s="527">
        <v>140</v>
      </c>
      <c r="B141" s="527">
        <v>3.1020183116197586E-2</v>
      </c>
      <c r="C141" s="527">
        <v>112.21813201904297</v>
      </c>
    </row>
    <row r="142" spans="1:3" x14ac:dyDescent="0.35">
      <c r="A142" s="527">
        <v>141</v>
      </c>
      <c r="B142" s="527">
        <v>3.1355343759059906E-2</v>
      </c>
      <c r="C142" s="527">
        <v>113.43060302734375</v>
      </c>
    </row>
    <row r="143" spans="1:3" x14ac:dyDescent="0.35">
      <c r="A143" s="527">
        <v>142</v>
      </c>
      <c r="B143" s="527">
        <v>3.1673744320869446E-2</v>
      </c>
      <c r="C143" s="527">
        <v>114.58244323730469</v>
      </c>
    </row>
    <row r="144" spans="1:3" x14ac:dyDescent="0.35">
      <c r="A144" s="527">
        <v>143</v>
      </c>
      <c r="B144" s="527">
        <v>3.1976226717233658E-2</v>
      </c>
      <c r="C144" s="527">
        <v>115.67669677734375</v>
      </c>
    </row>
    <row r="145" spans="1:3" x14ac:dyDescent="0.35">
      <c r="A145" s="527">
        <v>144</v>
      </c>
      <c r="B145" s="527">
        <v>3.2263580709695816E-2</v>
      </c>
      <c r="C145" s="527">
        <v>116.71623992919922</v>
      </c>
    </row>
    <row r="146" spans="1:3" x14ac:dyDescent="0.35">
      <c r="A146" s="527">
        <v>145</v>
      </c>
      <c r="B146" s="527">
        <v>3.2536569982767105E-2</v>
      </c>
      <c r="C146" s="527">
        <v>117.70380401611328</v>
      </c>
    </row>
    <row r="147" spans="1:3" x14ac:dyDescent="0.35">
      <c r="A147" s="527">
        <v>146</v>
      </c>
      <c r="B147" s="527">
        <v>3.2795913517475128E-2</v>
      </c>
      <c r="C147" s="527">
        <v>118.64198303222656</v>
      </c>
    </row>
    <row r="148" spans="1:3" x14ac:dyDescent="0.35">
      <c r="A148" s="527">
        <v>147</v>
      </c>
      <c r="B148" s="527">
        <v>3.3042285591363907E-2</v>
      </c>
      <c r="C148" s="527">
        <v>119.53325653076172</v>
      </c>
    </row>
    <row r="149" spans="1:3" x14ac:dyDescent="0.35">
      <c r="A149" s="527">
        <v>148</v>
      </c>
      <c r="B149" s="527">
        <v>3.3276338130235672E-2</v>
      </c>
      <c r="C149" s="527">
        <v>120.37997436523437</v>
      </c>
    </row>
    <row r="150" spans="1:3" x14ac:dyDescent="0.35">
      <c r="A150" s="527">
        <v>149</v>
      </c>
      <c r="B150" s="527">
        <v>3.3498689532279968E-2</v>
      </c>
      <c r="C150" s="527">
        <v>121.18434906005859</v>
      </c>
    </row>
    <row r="151" spans="1:3" x14ac:dyDescent="0.35">
      <c r="A151" s="527">
        <v>150</v>
      </c>
      <c r="B151" s="527">
        <v>3.3709924668073654E-2</v>
      </c>
      <c r="C151" s="527">
        <v>121.94850158691406</v>
      </c>
    </row>
    <row r="152" spans="1:3" x14ac:dyDescent="0.35">
      <c r="A152" s="527">
        <v>151</v>
      </c>
      <c r="B152" s="527">
        <v>3.3498689532279968E-2</v>
      </c>
      <c r="C152" s="527">
        <v>121.18434906005859</v>
      </c>
    </row>
    <row r="153" spans="1:3" x14ac:dyDescent="0.35">
      <c r="A153" s="527">
        <v>152</v>
      </c>
      <c r="B153" s="527">
        <v>3.3287458121776581E-2</v>
      </c>
      <c r="C153" s="527">
        <v>120.42018890380859</v>
      </c>
    </row>
    <row r="154" spans="1:3" x14ac:dyDescent="0.35">
      <c r="A154" s="527">
        <v>153</v>
      </c>
      <c r="B154" s="527">
        <v>3.3076222985982895E-2</v>
      </c>
      <c r="C154" s="527">
        <v>119.65603637695312</v>
      </c>
    </row>
    <row r="155" spans="1:3" x14ac:dyDescent="0.35">
      <c r="A155" s="527">
        <v>154</v>
      </c>
      <c r="B155" s="527">
        <v>3.3287458121776581E-2</v>
      </c>
      <c r="C155" s="527">
        <v>120.42018890380859</v>
      </c>
    </row>
    <row r="156" spans="1:3" x14ac:dyDescent="0.35">
      <c r="A156" s="527">
        <v>155</v>
      </c>
      <c r="B156" s="527">
        <v>3.3509250730276108E-2</v>
      </c>
      <c r="C156" s="527">
        <v>121.22255706787109</v>
      </c>
    </row>
    <row r="157" spans="1:3" x14ac:dyDescent="0.35">
      <c r="A157" s="527">
        <v>156</v>
      </c>
      <c r="B157" s="527">
        <v>3.3742137253284454E-2</v>
      </c>
      <c r="C157" s="527">
        <v>122.06504058837891</v>
      </c>
    </row>
    <row r="158" spans="1:3" x14ac:dyDescent="0.35">
      <c r="A158" s="527">
        <v>157</v>
      </c>
      <c r="B158" s="527">
        <v>3.3975023776292801E-2</v>
      </c>
      <c r="C158" s="527">
        <v>122.90752410888672</v>
      </c>
    </row>
    <row r="159" spans="1:3" x14ac:dyDescent="0.35">
      <c r="A159" s="527">
        <v>158</v>
      </c>
      <c r="B159" s="527">
        <v>3.4219551831483841E-2</v>
      </c>
      <c r="C159" s="527">
        <v>123.79212951660156</v>
      </c>
    </row>
    <row r="160" spans="1:3" x14ac:dyDescent="0.35">
      <c r="A160" s="527">
        <v>159</v>
      </c>
      <c r="B160" s="527">
        <v>3.4476310014724731E-2</v>
      </c>
      <c r="C160" s="527">
        <v>124.72096252441406</v>
      </c>
    </row>
    <row r="161" spans="1:3" x14ac:dyDescent="0.35">
      <c r="A161" s="527">
        <v>160</v>
      </c>
      <c r="B161" s="527">
        <v>3.4745901823043823E-2</v>
      </c>
      <c r="C161" s="527">
        <v>125.69624328613281</v>
      </c>
    </row>
    <row r="162" spans="1:3" x14ac:dyDescent="0.35">
      <c r="A162" s="527">
        <v>161</v>
      </c>
      <c r="B162" s="527">
        <v>3.5028975456953049E-2</v>
      </c>
      <c r="C162" s="527">
        <v>126.72029113769531</v>
      </c>
    </row>
    <row r="163" spans="1:3" x14ac:dyDescent="0.35">
      <c r="A163" s="527">
        <v>162</v>
      </c>
      <c r="B163" s="527">
        <v>3.5297896713018417E-2</v>
      </c>
      <c r="C163" s="527">
        <v>127.69313049316406</v>
      </c>
    </row>
    <row r="164" spans="1:3" x14ac:dyDescent="0.35">
      <c r="A164" s="527">
        <v>163</v>
      </c>
      <c r="B164" s="527">
        <v>3.5553369671106339E-2</v>
      </c>
      <c r="C164" s="527">
        <v>128.61732482910156</v>
      </c>
    </row>
    <row r="165" spans="1:3" x14ac:dyDescent="0.35">
      <c r="A165" s="527">
        <v>164</v>
      </c>
      <c r="B165" s="527">
        <v>3.5796072334051132E-2</v>
      </c>
      <c r="C165" s="527">
        <v>129.49531555175781</v>
      </c>
    </row>
    <row r="166" spans="1:3" x14ac:dyDescent="0.35">
      <c r="A166" s="527">
        <v>165</v>
      </c>
      <c r="B166" s="527">
        <v>3.6026638001203537E-2</v>
      </c>
      <c r="C166" s="527">
        <v>130.32940673828125</v>
      </c>
    </row>
    <row r="167" spans="1:3" x14ac:dyDescent="0.35">
      <c r="A167" s="527">
        <v>166</v>
      </c>
      <c r="B167" s="527">
        <v>3.6245673894882202E-2</v>
      </c>
      <c r="C167" s="527">
        <v>131.12179565429688</v>
      </c>
    </row>
    <row r="168" spans="1:3" x14ac:dyDescent="0.35">
      <c r="A168" s="527">
        <v>167</v>
      </c>
      <c r="B168" s="527">
        <v>3.6453761160373688E-2</v>
      </c>
      <c r="C168" s="527">
        <v>131.87455749511719</v>
      </c>
    </row>
    <row r="169" spans="1:3" x14ac:dyDescent="0.35">
      <c r="A169" s="527">
        <v>168</v>
      </c>
      <c r="B169" s="527">
        <v>3.6651439964771271E-2</v>
      </c>
      <c r="C169" s="527">
        <v>132.58969116210937</v>
      </c>
    </row>
    <row r="170" spans="1:3" x14ac:dyDescent="0.35">
      <c r="A170" s="527">
        <v>169</v>
      </c>
      <c r="B170" s="527">
        <v>3.6651439964771271E-2</v>
      </c>
      <c r="C170" s="527">
        <v>132.58969116210937</v>
      </c>
    </row>
    <row r="171" spans="1:3" x14ac:dyDescent="0.35">
      <c r="A171" s="527">
        <v>170</v>
      </c>
      <c r="B171" s="527">
        <v>3.6651525646448135E-2</v>
      </c>
      <c r="C171" s="527">
        <v>132.58999633789063</v>
      </c>
    </row>
    <row r="172" spans="1:3" x14ac:dyDescent="0.35">
      <c r="A172" s="527">
        <v>171</v>
      </c>
      <c r="B172" s="527">
        <v>3.6651525646448135E-2</v>
      </c>
      <c r="C172" s="527">
        <v>132.58999633789063</v>
      </c>
    </row>
    <row r="173" spans="1:3" x14ac:dyDescent="0.35">
      <c r="A173" s="527">
        <v>172</v>
      </c>
      <c r="B173" s="527">
        <v>3.9415802806615829E-2</v>
      </c>
      <c r="C173" s="527">
        <v>142.58999633789063</v>
      </c>
    </row>
    <row r="174" spans="1:3" x14ac:dyDescent="0.35">
      <c r="A174" s="527">
        <v>173</v>
      </c>
      <c r="B174" s="527">
        <v>4.2318291962146759E-2</v>
      </c>
      <c r="C174" s="527">
        <v>153.08999633789062</v>
      </c>
    </row>
    <row r="175" spans="1:3" x14ac:dyDescent="0.35">
      <c r="A175" s="527">
        <v>174</v>
      </c>
      <c r="B175" s="527">
        <v>4.5365907251834869E-2</v>
      </c>
      <c r="C175" s="527">
        <v>164.11500549316406</v>
      </c>
    </row>
    <row r="176" spans="1:3" x14ac:dyDescent="0.35">
      <c r="A176" s="527">
        <v>175</v>
      </c>
      <c r="B176" s="527">
        <v>4.8413518816232681E-2</v>
      </c>
      <c r="C176" s="527">
        <v>175.13999938964844</v>
      </c>
    </row>
    <row r="177" spans="1:3" x14ac:dyDescent="0.35">
      <c r="A177" s="527">
        <v>176</v>
      </c>
      <c r="B177" s="527">
        <v>5.1461134105920792E-2</v>
      </c>
      <c r="C177" s="527">
        <v>186.16499328613281</v>
      </c>
    </row>
    <row r="178" spans="1:3" x14ac:dyDescent="0.35">
      <c r="A178" s="527">
        <v>177</v>
      </c>
      <c r="B178" s="527">
        <v>5.4661128669977188E-2</v>
      </c>
      <c r="C178" s="527">
        <v>197.74125671386719</v>
      </c>
    </row>
    <row r="179" spans="1:3" x14ac:dyDescent="0.35">
      <c r="A179" s="527">
        <v>178</v>
      </c>
      <c r="B179" s="527">
        <v>5.7861119508743286E-2</v>
      </c>
      <c r="C179" s="527">
        <v>209.3175048828125</v>
      </c>
    </row>
    <row r="180" spans="1:3" x14ac:dyDescent="0.35">
      <c r="A180" s="527">
        <v>179</v>
      </c>
      <c r="B180" s="527">
        <v>6.1061114072799683E-2</v>
      </c>
      <c r="C180" s="527">
        <v>220.89375305175781</v>
      </c>
    </row>
    <row r="181" spans="1:3" x14ac:dyDescent="0.35">
      <c r="A181" s="527">
        <v>180</v>
      </c>
      <c r="B181" s="527">
        <v>6.4261108636856079E-2</v>
      </c>
      <c r="C181" s="527">
        <v>232.47000122070312</v>
      </c>
    </row>
    <row r="182" spans="1:3" x14ac:dyDescent="0.35">
      <c r="A182" s="527">
        <v>181</v>
      </c>
      <c r="B182" s="527">
        <v>6.7621104419231415E-2</v>
      </c>
      <c r="C182" s="527">
        <v>244.62506103515625</v>
      </c>
    </row>
    <row r="183" spans="1:3" x14ac:dyDescent="0.35">
      <c r="A183" s="527">
        <v>182</v>
      </c>
      <c r="B183" s="527">
        <v>7.098110020160675E-2</v>
      </c>
      <c r="C183" s="527">
        <v>256.78012084960937</v>
      </c>
    </row>
    <row r="184" spans="1:3" x14ac:dyDescent="0.35">
      <c r="A184" s="527">
        <v>183</v>
      </c>
      <c r="B184" s="527">
        <v>7.4341088533401489E-2</v>
      </c>
      <c r="C184" s="527">
        <v>268.9351806640625</v>
      </c>
    </row>
    <row r="185" spans="1:3" x14ac:dyDescent="0.35">
      <c r="A185" s="527">
        <v>184</v>
      </c>
      <c r="B185" s="527">
        <v>7.786908745765686E-2</v>
      </c>
      <c r="C185" s="527">
        <v>281.697998046875</v>
      </c>
    </row>
    <row r="186" spans="1:3" x14ac:dyDescent="0.35">
      <c r="A186" s="527">
        <v>185</v>
      </c>
      <c r="B186" s="527">
        <v>8.1397078931331635E-2</v>
      </c>
      <c r="C186" s="527">
        <v>294.4608154296875</v>
      </c>
    </row>
    <row r="187" spans="1:3" x14ac:dyDescent="0.35">
      <c r="A187" s="527">
        <v>186</v>
      </c>
      <c r="B187" s="527">
        <v>8.4925070405006409E-2</v>
      </c>
      <c r="C187" s="527">
        <v>307.2236328125</v>
      </c>
    </row>
    <row r="188" spans="1:3" x14ac:dyDescent="0.35">
      <c r="A188" s="527">
        <v>187</v>
      </c>
      <c r="B188" s="527">
        <v>8.8629469275474548E-2</v>
      </c>
      <c r="C188" s="527">
        <v>320.62460327148437</v>
      </c>
    </row>
    <row r="189" spans="1:3" x14ac:dyDescent="0.35">
      <c r="A189" s="527">
        <v>188</v>
      </c>
      <c r="B189" s="527">
        <v>9.2333860695362091E-2</v>
      </c>
      <c r="C189" s="527">
        <v>334.02554321289063</v>
      </c>
    </row>
    <row r="190" spans="1:3" x14ac:dyDescent="0.35">
      <c r="A190" s="527">
        <v>189</v>
      </c>
      <c r="B190" s="527">
        <v>9.6038252115249634E-2</v>
      </c>
      <c r="C190" s="527">
        <v>347.426513671875</v>
      </c>
    </row>
    <row r="191" spans="1:3" x14ac:dyDescent="0.35">
      <c r="A191" s="527">
        <v>190</v>
      </c>
      <c r="B191" s="527">
        <v>9.9927864968776703E-2</v>
      </c>
      <c r="C191" s="527">
        <v>361.49749755859375</v>
      </c>
    </row>
    <row r="192" spans="1:3" x14ac:dyDescent="0.35">
      <c r="A192" s="527">
        <v>191</v>
      </c>
      <c r="B192" s="527">
        <v>9.6038252115249634E-2</v>
      </c>
      <c r="C192" s="527">
        <v>347.426513671875</v>
      </c>
    </row>
    <row r="193" spans="1:3" x14ac:dyDescent="0.35">
      <c r="A193" s="527">
        <v>192</v>
      </c>
      <c r="B193" s="527">
        <v>9.2148639261722565E-2</v>
      </c>
      <c r="C193" s="527">
        <v>333.35549926757812</v>
      </c>
    </row>
    <row r="194" spans="1:3" x14ac:dyDescent="0.35">
      <c r="A194" s="527">
        <v>193</v>
      </c>
      <c r="B194" s="527">
        <v>8.8259026408195496E-2</v>
      </c>
      <c r="C194" s="527">
        <v>319.28448486328125</v>
      </c>
    </row>
    <row r="195" spans="1:3" x14ac:dyDescent="0.35">
      <c r="A195" s="527">
        <v>194</v>
      </c>
      <c r="B195" s="527">
        <v>8.4369413554668427E-2</v>
      </c>
      <c r="C195" s="527">
        <v>305.2135009765625</v>
      </c>
    </row>
    <row r="196" spans="1:3" x14ac:dyDescent="0.35">
      <c r="A196" s="527">
        <v>195</v>
      </c>
      <c r="B196" s="527">
        <v>8.0479800701141357E-2</v>
      </c>
      <c r="C196" s="527">
        <v>291.14248657226563</v>
      </c>
    </row>
    <row r="197" spans="1:3" x14ac:dyDescent="0.35">
      <c r="A197" s="527">
        <v>196</v>
      </c>
      <c r="B197" s="527">
        <v>7.6590187847614288E-2</v>
      </c>
      <c r="C197" s="527">
        <v>277.07147216796875</v>
      </c>
    </row>
    <row r="198" spans="1:3" x14ac:dyDescent="0.35">
      <c r="A198" s="527">
        <v>197</v>
      </c>
      <c r="B198" s="527">
        <v>7.2700574994087219E-2</v>
      </c>
      <c r="C198" s="527">
        <v>263.00048828125</v>
      </c>
    </row>
    <row r="199" spans="1:3" x14ac:dyDescent="0.35">
      <c r="A199" s="527">
        <v>198</v>
      </c>
      <c r="B199" s="527">
        <v>6.881096214056015E-2</v>
      </c>
      <c r="C199" s="527">
        <v>248.92947387695312</v>
      </c>
    </row>
    <row r="200" spans="1:3" x14ac:dyDescent="0.35">
      <c r="A200" s="527">
        <v>199</v>
      </c>
      <c r="B200" s="527">
        <v>6.4921349287033081E-2</v>
      </c>
      <c r="C200" s="527">
        <v>234.85847473144531</v>
      </c>
    </row>
    <row r="201" spans="1:3" x14ac:dyDescent="0.35">
      <c r="A201" s="527">
        <v>200</v>
      </c>
      <c r="B201" s="527">
        <v>6.1031736433506012E-2</v>
      </c>
      <c r="C201" s="527">
        <v>220.78746032714844</v>
      </c>
    </row>
    <row r="202" spans="1:3" x14ac:dyDescent="0.35">
      <c r="A202" s="527">
        <v>201</v>
      </c>
      <c r="B202" s="527">
        <v>5.7142123579978943E-2</v>
      </c>
      <c r="C202" s="527">
        <v>206.71646118164062</v>
      </c>
    </row>
    <row r="203" spans="1:3" x14ac:dyDescent="0.35">
      <c r="A203" s="527">
        <v>202</v>
      </c>
      <c r="B203" s="527">
        <v>5.3252510726451874E-2</v>
      </c>
      <c r="C203" s="527">
        <v>192.64546203613281</v>
      </c>
    </row>
    <row r="204" spans="1:3" x14ac:dyDescent="0.35">
      <c r="A204" s="527">
        <v>203</v>
      </c>
      <c r="B204" s="527">
        <v>4.9557376652956009E-2</v>
      </c>
      <c r="C204" s="527">
        <v>179.27799987792969</v>
      </c>
    </row>
    <row r="205" spans="1:3" x14ac:dyDescent="0.35">
      <c r="A205" s="527">
        <v>204</v>
      </c>
      <c r="B205" s="527">
        <v>4.5862246304750443E-2</v>
      </c>
      <c r="C205" s="527">
        <v>165.91055297851563</v>
      </c>
    </row>
    <row r="206" spans="1:3" x14ac:dyDescent="0.35">
      <c r="A206" s="527">
        <v>205</v>
      </c>
      <c r="B206" s="527">
        <v>4.2167112231254578E-2</v>
      </c>
      <c r="C206" s="527">
        <v>152.5430908203125</v>
      </c>
    </row>
    <row r="207" spans="1:3" x14ac:dyDescent="0.35">
      <c r="A207" s="527">
        <v>206</v>
      </c>
      <c r="B207" s="527">
        <v>3.8471978157758713E-2</v>
      </c>
      <c r="C207" s="527">
        <v>139.17564392089844</v>
      </c>
    </row>
    <row r="208" spans="1:3" x14ac:dyDescent="0.35">
      <c r="A208" s="527">
        <v>207</v>
      </c>
      <c r="B208" s="527">
        <v>3.4776847809553146E-2</v>
      </c>
      <c r="C208" s="527">
        <v>125.80818939208984</v>
      </c>
    </row>
    <row r="209" spans="1:3" x14ac:dyDescent="0.35">
      <c r="A209" s="527">
        <v>208</v>
      </c>
      <c r="B209" s="527">
        <v>3.1081715598702431E-2</v>
      </c>
      <c r="C209" s="527">
        <v>112.44073486328125</v>
      </c>
    </row>
    <row r="210" spans="1:3" x14ac:dyDescent="0.35">
      <c r="A210" s="527">
        <v>209</v>
      </c>
      <c r="B210" s="527">
        <v>2.7571339160203934E-2</v>
      </c>
      <c r="C210" s="527">
        <v>99.741653442382812</v>
      </c>
    </row>
    <row r="211" spans="1:3" x14ac:dyDescent="0.35">
      <c r="A211" s="527">
        <v>210</v>
      </c>
      <c r="B211" s="527">
        <v>2.4060962721705437E-2</v>
      </c>
      <c r="C211" s="527">
        <v>87.042572021484375</v>
      </c>
    </row>
    <row r="212" spans="1:3" x14ac:dyDescent="0.35">
      <c r="A212" s="527">
        <v>211</v>
      </c>
      <c r="B212" s="527">
        <v>2.0550588145852089E-2</v>
      </c>
      <c r="C212" s="527">
        <v>74.343490600585938</v>
      </c>
    </row>
    <row r="213" spans="1:3" x14ac:dyDescent="0.35">
      <c r="A213" s="527">
        <v>212</v>
      </c>
      <c r="B213" s="527">
        <v>1.7040211707353592E-2</v>
      </c>
      <c r="C213" s="527">
        <v>61.6444091796875</v>
      </c>
    </row>
    <row r="214" spans="1:3" x14ac:dyDescent="0.35">
      <c r="A214" s="527">
        <v>213</v>
      </c>
      <c r="B214" s="527">
        <v>1.352983620017767E-2</v>
      </c>
      <c r="C214" s="527">
        <v>48.945327758789063</v>
      </c>
    </row>
    <row r="215" spans="1:3" x14ac:dyDescent="0.35">
      <c r="A215" s="527">
        <v>214</v>
      </c>
      <c r="B215" s="527">
        <v>1.0194978676736355E-2</v>
      </c>
      <c r="C215" s="527">
        <v>36.881198883056641</v>
      </c>
    </row>
    <row r="216" spans="1:3" x14ac:dyDescent="0.35">
      <c r="A216" s="527">
        <v>215</v>
      </c>
      <c r="B216" s="527">
        <v>6.8601220846176147E-3</v>
      </c>
      <c r="C216" s="527">
        <v>24.817071914672852</v>
      </c>
    </row>
    <row r="217" spans="1:3" x14ac:dyDescent="0.35">
      <c r="A217" s="527">
        <v>216</v>
      </c>
      <c r="B217" s="527">
        <v>3.5252650268375874E-3</v>
      </c>
      <c r="C217" s="527">
        <v>12.752944946289063</v>
      </c>
    </row>
    <row r="218" spans="1:3" x14ac:dyDescent="0.35">
      <c r="A218" s="527">
        <v>217</v>
      </c>
      <c r="B218" s="527">
        <v>1.9040811457671225E-4</v>
      </c>
      <c r="C218" s="527">
        <v>0.68881744146347046</v>
      </c>
    </row>
    <row r="219" spans="1:3" x14ac:dyDescent="0.35">
      <c r="A219" s="527">
        <v>218</v>
      </c>
      <c r="B219" s="527">
        <v>-3.1444488558918238E-3</v>
      </c>
      <c r="C219" s="527">
        <v>-11.375309944152832</v>
      </c>
    </row>
    <row r="220" spans="1:3" x14ac:dyDescent="0.35">
      <c r="A220" s="527">
        <v>219</v>
      </c>
      <c r="B220" s="527">
        <v>-6.4793056808412075E-3</v>
      </c>
      <c r="C220" s="527">
        <v>-23.439437866210937</v>
      </c>
    </row>
    <row r="221" spans="1:3" x14ac:dyDescent="0.35">
      <c r="A221" s="527">
        <v>220</v>
      </c>
      <c r="B221" s="527">
        <v>-9.8141627386212349E-3</v>
      </c>
      <c r="C221" s="527">
        <v>-35.503562927246094</v>
      </c>
    </row>
    <row r="222" spans="1:3" x14ac:dyDescent="0.35">
      <c r="A222" s="527">
        <v>221</v>
      </c>
      <c r="B222" s="527">
        <v>-1.314902026206255E-2</v>
      </c>
      <c r="C222" s="527">
        <v>-47.567691802978516</v>
      </c>
    </row>
    <row r="223" spans="1:3" x14ac:dyDescent="0.35">
      <c r="A223" s="527">
        <v>222</v>
      </c>
      <c r="B223" s="527">
        <v>-1.6317134723067284E-2</v>
      </c>
      <c r="C223" s="527">
        <v>-59.028614044189453</v>
      </c>
    </row>
    <row r="224" spans="1:3" x14ac:dyDescent="0.35">
      <c r="A224" s="527">
        <v>223</v>
      </c>
      <c r="B224" s="527">
        <v>-1.9485248252749443E-2</v>
      </c>
      <c r="C224" s="527">
        <v>-70.489532470703125</v>
      </c>
    </row>
    <row r="225" spans="1:3" x14ac:dyDescent="0.35">
      <c r="A225" s="527">
        <v>224</v>
      </c>
      <c r="B225" s="527">
        <v>-2.2653361782431602E-2</v>
      </c>
      <c r="C225" s="527">
        <v>-81.950454711914063</v>
      </c>
    </row>
    <row r="226" spans="1:3" x14ac:dyDescent="0.35">
      <c r="A226" s="527">
        <v>225</v>
      </c>
      <c r="B226" s="527">
        <v>-2.5821477174758911E-2</v>
      </c>
      <c r="C226" s="527">
        <v>-93.411376953125</v>
      </c>
    </row>
    <row r="227" spans="1:3" x14ac:dyDescent="0.35">
      <c r="A227" s="527">
        <v>226</v>
      </c>
      <c r="B227" s="527">
        <v>-2.8989590704441071E-2</v>
      </c>
      <c r="C227" s="527">
        <v>-104.87229919433594</v>
      </c>
    </row>
    <row r="228" spans="1:3" x14ac:dyDescent="0.35">
      <c r="A228" s="527">
        <v>227</v>
      </c>
      <c r="B228" s="527">
        <v>-3.215770423412323E-2</v>
      </c>
      <c r="C228" s="527">
        <v>-116.33321380615234</v>
      </c>
    </row>
    <row r="229" spans="1:3" x14ac:dyDescent="0.35">
      <c r="A229" s="527">
        <v>228</v>
      </c>
      <c r="B229" s="527">
        <v>-3.5325817763805389E-2</v>
      </c>
      <c r="C229" s="527">
        <v>-127.79413604736328</v>
      </c>
    </row>
    <row r="230" spans="1:3" x14ac:dyDescent="0.35">
      <c r="A230" s="527">
        <v>229</v>
      </c>
      <c r="B230" s="527">
        <v>-3.8493931293487549E-2</v>
      </c>
      <c r="C230" s="527">
        <v>-139.25506591796875</v>
      </c>
    </row>
    <row r="231" spans="1:3" x14ac:dyDescent="0.35">
      <c r="A231" s="527">
        <v>230</v>
      </c>
      <c r="B231" s="527">
        <v>-4.1662048548460007E-2</v>
      </c>
      <c r="C231" s="527">
        <v>-150.71597290039062</v>
      </c>
    </row>
    <row r="232" spans="1:3" x14ac:dyDescent="0.35">
      <c r="A232" s="527">
        <v>231</v>
      </c>
      <c r="B232" s="527">
        <v>-4.4830162078142166E-2</v>
      </c>
      <c r="C232" s="527">
        <v>-162.17689514160156</v>
      </c>
    </row>
    <row r="233" spans="1:3" x14ac:dyDescent="0.35">
      <c r="A233" s="527">
        <v>232</v>
      </c>
      <c r="B233" s="527">
        <v>-4.7998275607824326E-2</v>
      </c>
      <c r="C233" s="527">
        <v>-173.6378173828125</v>
      </c>
    </row>
    <row r="234" spans="1:3" x14ac:dyDescent="0.35">
      <c r="A234" s="527">
        <v>233</v>
      </c>
      <c r="B234" s="527">
        <v>-5.1007982343435287E-2</v>
      </c>
      <c r="C234" s="527">
        <v>-184.52569580078125</v>
      </c>
    </row>
    <row r="235" spans="1:3" x14ac:dyDescent="0.35">
      <c r="A235" s="527">
        <v>234</v>
      </c>
      <c r="B235" s="527">
        <v>-4.7998275607824326E-2</v>
      </c>
      <c r="C235" s="527">
        <v>-173.6378173828125</v>
      </c>
    </row>
    <row r="236" spans="1:3" x14ac:dyDescent="0.35">
      <c r="A236" s="527">
        <v>235</v>
      </c>
      <c r="B236" s="527">
        <v>-4.4988568872213364E-2</v>
      </c>
      <c r="C236" s="527">
        <v>-162.74993896484375</v>
      </c>
    </row>
    <row r="237" spans="1:3" x14ac:dyDescent="0.35">
      <c r="A237" s="527">
        <v>236</v>
      </c>
      <c r="B237" s="527">
        <v>-4.1978858411312103E-2</v>
      </c>
      <c r="C237" s="527">
        <v>-151.86207580566406</v>
      </c>
    </row>
    <row r="238" spans="1:3" x14ac:dyDescent="0.35">
      <c r="A238" s="527">
        <v>237</v>
      </c>
      <c r="B238" s="527">
        <v>-3.8969151675701141E-2</v>
      </c>
      <c r="C238" s="527">
        <v>-140.97419738769531</v>
      </c>
    </row>
    <row r="239" spans="1:3" x14ac:dyDescent="0.35">
      <c r="A239" s="527">
        <v>238</v>
      </c>
      <c r="B239" s="527">
        <v>-3.5959441214799881E-2</v>
      </c>
      <c r="C239" s="527">
        <v>-130.08631896972656</v>
      </c>
    </row>
    <row r="240" spans="1:3" x14ac:dyDescent="0.35">
      <c r="A240" s="527">
        <v>239</v>
      </c>
      <c r="B240" s="527">
        <v>-3.2949734479188919E-2</v>
      </c>
      <c r="C240" s="527">
        <v>-119.19844818115234</v>
      </c>
    </row>
    <row r="241" spans="1:3" x14ac:dyDescent="0.35">
      <c r="A241" s="527">
        <v>240</v>
      </c>
      <c r="B241" s="527">
        <v>-2.9940024018287659E-2</v>
      </c>
      <c r="C241" s="527">
        <v>-108.31056976318359</v>
      </c>
    </row>
    <row r="242" spans="1:3" x14ac:dyDescent="0.35">
      <c r="A242" s="527">
        <v>241</v>
      </c>
      <c r="B242" s="527">
        <v>-2.6930317282676697E-2</v>
      </c>
      <c r="C242" s="527">
        <v>-97.422698974609375</v>
      </c>
    </row>
    <row r="243" spans="1:3" x14ac:dyDescent="0.35">
      <c r="A243" s="527">
        <v>242</v>
      </c>
      <c r="B243" s="527">
        <v>-2.3920608684420586E-2</v>
      </c>
      <c r="C243" s="527">
        <v>-86.534820556640625</v>
      </c>
    </row>
    <row r="244" spans="1:3" x14ac:dyDescent="0.35">
      <c r="A244" s="527">
        <v>243</v>
      </c>
      <c r="B244" s="527">
        <v>-2.0910900086164474E-2</v>
      </c>
      <c r="C244" s="527">
        <v>-75.646949768066406</v>
      </c>
    </row>
    <row r="245" spans="1:3" x14ac:dyDescent="0.35">
      <c r="A245" s="527">
        <v>244</v>
      </c>
      <c r="B245" s="527">
        <v>-1.7901191487908363E-2</v>
      </c>
      <c r="C245" s="527">
        <v>-64.759071350097656</v>
      </c>
    </row>
    <row r="246" spans="1:3" x14ac:dyDescent="0.35">
      <c r="A246" s="527">
        <v>245</v>
      </c>
      <c r="B246" s="527">
        <v>-1.4891482889652252E-2</v>
      </c>
      <c r="C246" s="527">
        <v>-53.871196746826172</v>
      </c>
    </row>
    <row r="247" spans="1:3" x14ac:dyDescent="0.35">
      <c r="A247" s="527">
        <v>246</v>
      </c>
      <c r="B247" s="527">
        <v>-1.1881774291396141E-2</v>
      </c>
      <c r="C247" s="527">
        <v>-42.983322143554688</v>
      </c>
    </row>
    <row r="248" spans="1:3" x14ac:dyDescent="0.35">
      <c r="A248" s="527">
        <v>247</v>
      </c>
      <c r="B248" s="527">
        <v>-8.8720656931400299E-3</v>
      </c>
      <c r="C248" s="527">
        <v>-32.095447540283203</v>
      </c>
    </row>
    <row r="249" spans="1:3" x14ac:dyDescent="0.35">
      <c r="A249" s="527">
        <v>248</v>
      </c>
      <c r="B249" s="527">
        <v>-5.8623575605452061E-3</v>
      </c>
      <c r="C249" s="527">
        <v>-21.207572937011719</v>
      </c>
    </row>
    <row r="250" spans="1:3" x14ac:dyDescent="0.35">
      <c r="A250" s="527">
        <v>249</v>
      </c>
      <c r="B250" s="527">
        <v>-2.8526489622890949E-3</v>
      </c>
      <c r="C250" s="527">
        <v>-10.319698333740234</v>
      </c>
    </row>
    <row r="251" spans="1:3" x14ac:dyDescent="0.35">
      <c r="A251" s="527">
        <v>250</v>
      </c>
      <c r="B251" s="527">
        <v>1.5705953410360962E-4</v>
      </c>
      <c r="C251" s="527">
        <v>0.56817615032196045</v>
      </c>
    </row>
    <row r="252" spans="1:3" x14ac:dyDescent="0.35">
      <c r="A252" s="527">
        <v>251</v>
      </c>
      <c r="B252" s="527">
        <v>3.1667680013924837E-3</v>
      </c>
      <c r="C252" s="527">
        <v>11.456050872802734</v>
      </c>
    </row>
    <row r="253" spans="1:3" x14ac:dyDescent="0.35">
      <c r="A253" s="527">
        <v>252</v>
      </c>
      <c r="B253" s="527">
        <v>6.1764763668179512E-3</v>
      </c>
      <c r="C253" s="527">
        <v>22.343925476074219</v>
      </c>
    </row>
    <row r="254" spans="1:3" x14ac:dyDescent="0.35">
      <c r="A254" s="527">
        <v>253</v>
      </c>
      <c r="B254" s="527">
        <v>9.1861849650740623E-3</v>
      </c>
      <c r="C254" s="527">
        <v>33.231800079345703</v>
      </c>
    </row>
    <row r="255" spans="1:3" x14ac:dyDescent="0.35">
      <c r="A255" s="527">
        <v>254</v>
      </c>
      <c r="B255" s="527">
        <v>1.2195893563330173E-2</v>
      </c>
      <c r="C255" s="527">
        <v>44.119674682617188</v>
      </c>
    </row>
    <row r="256" spans="1:3" x14ac:dyDescent="0.35">
      <c r="A256" s="527">
        <v>255</v>
      </c>
      <c r="B256" s="527">
        <v>1.5205602161586285E-2</v>
      </c>
      <c r="C256" s="527">
        <v>55.007549285888672</v>
      </c>
    </row>
    <row r="257" spans="1:3" x14ac:dyDescent="0.35">
      <c r="A257" s="527">
        <v>256</v>
      </c>
      <c r="B257" s="527">
        <v>1.8215309828519821E-2</v>
      </c>
      <c r="C257" s="527">
        <v>65.895423889160156</v>
      </c>
    </row>
    <row r="258" spans="1:3" x14ac:dyDescent="0.35">
      <c r="A258" s="527">
        <v>257</v>
      </c>
      <c r="B258" s="527">
        <v>2.1225018426775932E-2</v>
      </c>
      <c r="C258" s="527">
        <v>76.783302307128906</v>
      </c>
    </row>
    <row r="259" spans="1:3" x14ac:dyDescent="0.35">
      <c r="A259" s="527">
        <v>258</v>
      </c>
      <c r="B259" s="527">
        <v>2.4234727025032043E-2</v>
      </c>
      <c r="C259" s="527">
        <v>87.671173095703125</v>
      </c>
    </row>
    <row r="260" spans="1:3" x14ac:dyDescent="0.35">
      <c r="A260" s="527">
        <v>259</v>
      </c>
      <c r="B260" s="527">
        <v>2.7244435623288155E-2</v>
      </c>
      <c r="C260" s="527">
        <v>98.559051513671875</v>
      </c>
    </row>
    <row r="261" spans="1:3" x14ac:dyDescent="0.35">
      <c r="A261" s="527">
        <v>260</v>
      </c>
      <c r="B261" s="527">
        <v>3.0254144221544266E-2</v>
      </c>
      <c r="C261" s="527">
        <v>109.44692230224609</v>
      </c>
    </row>
    <row r="262" spans="1:3" x14ac:dyDescent="0.35">
      <c r="A262" s="527">
        <v>261</v>
      </c>
      <c r="B262" s="527">
        <v>3.3263850957155228E-2</v>
      </c>
      <c r="C262" s="527">
        <v>120.33480072021484</v>
      </c>
    </row>
    <row r="263" spans="1:3" x14ac:dyDescent="0.35">
      <c r="A263" s="527">
        <v>262</v>
      </c>
      <c r="B263" s="527">
        <v>3.6273561418056488E-2</v>
      </c>
      <c r="C263" s="527">
        <v>131.22267150878906</v>
      </c>
    </row>
    <row r="264" spans="1:3" x14ac:dyDescent="0.35">
      <c r="A264" s="527">
        <v>263</v>
      </c>
      <c r="B264" s="527">
        <v>3.9132785052061081E-2</v>
      </c>
      <c r="C264" s="527">
        <v>141.566162109375</v>
      </c>
    </row>
    <row r="265" spans="1:3" x14ac:dyDescent="0.35">
      <c r="A265" s="527">
        <v>264</v>
      </c>
      <c r="B265" s="527">
        <v>4.1849046945571899E-2</v>
      </c>
      <c r="C265" s="527">
        <v>151.3924560546875</v>
      </c>
    </row>
    <row r="266" spans="1:3" x14ac:dyDescent="0.35">
      <c r="A266" s="527">
        <v>265</v>
      </c>
      <c r="B266" s="527">
        <v>4.4565308839082718E-2</v>
      </c>
      <c r="C266" s="527">
        <v>161.21876525878906</v>
      </c>
    </row>
    <row r="267" spans="1:3" x14ac:dyDescent="0.35">
      <c r="A267" s="527">
        <v>266</v>
      </c>
      <c r="B267" s="527">
        <v>4.7281570732593536E-2</v>
      </c>
      <c r="C267" s="527">
        <v>171.04507446289062</v>
      </c>
    </row>
    <row r="268" spans="1:3" x14ac:dyDescent="0.35">
      <c r="A268" s="527">
        <v>267</v>
      </c>
      <c r="B268" s="527">
        <v>4.9997832626104355E-2</v>
      </c>
      <c r="C268" s="527">
        <v>180.87138366699219</v>
      </c>
    </row>
    <row r="269" spans="1:3" x14ac:dyDescent="0.35">
      <c r="A269" s="527">
        <v>268</v>
      </c>
      <c r="B269" s="527">
        <v>5.2578281611204147E-2</v>
      </c>
      <c r="C269" s="527">
        <v>190.20637512207031</v>
      </c>
    </row>
    <row r="270" spans="1:3" x14ac:dyDescent="0.35">
      <c r="A270" s="527">
        <v>269</v>
      </c>
      <c r="B270" s="527">
        <v>5.515873059630394E-2</v>
      </c>
      <c r="C270" s="527">
        <v>199.54136657714844</v>
      </c>
    </row>
    <row r="271" spans="1:3" x14ac:dyDescent="0.35">
      <c r="A271" s="527">
        <v>270</v>
      </c>
      <c r="B271" s="527">
        <v>5.7739175856113434E-2</v>
      </c>
      <c r="C271" s="527">
        <v>208.87635803222656</v>
      </c>
    </row>
    <row r="272" spans="1:3" x14ac:dyDescent="0.35">
      <c r="A272" s="527">
        <v>271</v>
      </c>
      <c r="B272" s="527">
        <v>6.0319624841213226E-2</v>
      </c>
      <c r="C272" s="527">
        <v>218.21134948730469</v>
      </c>
    </row>
    <row r="273" spans="1:3" x14ac:dyDescent="0.35">
      <c r="A273" s="527">
        <v>272</v>
      </c>
      <c r="B273" s="527">
        <v>6.2900073826313019E-2</v>
      </c>
      <c r="C273" s="527">
        <v>227.54634094238281</v>
      </c>
    </row>
    <row r="274" spans="1:3" x14ac:dyDescent="0.35">
      <c r="A274" s="527">
        <v>273</v>
      </c>
      <c r="B274" s="527">
        <v>6.5480522811412811E-2</v>
      </c>
      <c r="C274" s="527">
        <v>236.88133239746094</v>
      </c>
    </row>
    <row r="275" spans="1:3" x14ac:dyDescent="0.35">
      <c r="A275" s="527">
        <v>274</v>
      </c>
      <c r="B275" s="527">
        <v>6.8060971796512604E-2</v>
      </c>
      <c r="C275" s="527">
        <v>246.21632385253906</v>
      </c>
    </row>
    <row r="276" spans="1:3" x14ac:dyDescent="0.35">
      <c r="A276" s="527">
        <v>275</v>
      </c>
      <c r="B276" s="527">
        <v>7.0641420781612396E-2</v>
      </c>
      <c r="C276" s="527">
        <v>255.55131530761719</v>
      </c>
    </row>
    <row r="277" spans="1:3" x14ac:dyDescent="0.35">
      <c r="A277" s="527">
        <v>276</v>
      </c>
      <c r="B277" s="527">
        <v>7.3221869766712189E-2</v>
      </c>
      <c r="C277" s="527">
        <v>264.88632202148437</v>
      </c>
    </row>
    <row r="278" spans="1:3" x14ac:dyDescent="0.35">
      <c r="A278" s="527">
        <v>277</v>
      </c>
      <c r="B278" s="527">
        <v>7.5802318751811981E-2</v>
      </c>
      <c r="C278" s="527">
        <v>274.2213134765625</v>
      </c>
    </row>
    <row r="279" spans="1:3" x14ac:dyDescent="0.35">
      <c r="A279" s="527">
        <v>278</v>
      </c>
      <c r="B279" s="527">
        <v>7.8253746032714844E-2</v>
      </c>
      <c r="C279" s="527">
        <v>283.08953857421875</v>
      </c>
    </row>
    <row r="280" spans="1:3" x14ac:dyDescent="0.35">
      <c r="A280" s="527">
        <v>279</v>
      </c>
      <c r="B280" s="527">
        <v>8.0705173313617706E-2</v>
      </c>
      <c r="C280" s="527">
        <v>291.95779418945312</v>
      </c>
    </row>
    <row r="281" spans="1:3" x14ac:dyDescent="0.35">
      <c r="A281" s="527">
        <v>280</v>
      </c>
      <c r="B281" s="527">
        <v>8.3156600594520569E-2</v>
      </c>
      <c r="C281" s="527">
        <v>300.82601928710937</v>
      </c>
    </row>
    <row r="282" spans="1:3" x14ac:dyDescent="0.35">
      <c r="A282" s="527">
        <v>281</v>
      </c>
      <c r="B282" s="527">
        <v>8.5608027875423431E-2</v>
      </c>
      <c r="C282" s="527">
        <v>309.69427490234375</v>
      </c>
    </row>
    <row r="283" spans="1:3" x14ac:dyDescent="0.35">
      <c r="A283" s="527">
        <v>282</v>
      </c>
      <c r="B283" s="527">
        <v>8.7936878204345703E-2</v>
      </c>
      <c r="C283" s="527">
        <v>318.11911010742188</v>
      </c>
    </row>
    <row r="284" spans="1:3" x14ac:dyDescent="0.35">
      <c r="A284" s="527">
        <v>283</v>
      </c>
      <c r="B284" s="527">
        <v>8.5724465548992157E-2</v>
      </c>
      <c r="C284" s="527">
        <v>310.11550903320312</v>
      </c>
    </row>
    <row r="285" spans="1:3" x14ac:dyDescent="0.35">
      <c r="A285" s="527">
        <v>284</v>
      </c>
      <c r="B285" s="527">
        <v>8.3622679114341736E-2</v>
      </c>
      <c r="C285" s="527">
        <v>302.51211547851562</v>
      </c>
    </row>
    <row r="286" spans="1:3" x14ac:dyDescent="0.35">
      <c r="A286" s="527">
        <v>285</v>
      </c>
      <c r="B286" s="527">
        <v>8.1520885229110718E-2</v>
      </c>
      <c r="C286" s="527">
        <v>294.90869140625</v>
      </c>
    </row>
    <row r="287" spans="1:3" x14ac:dyDescent="0.35">
      <c r="A287" s="527">
        <v>286</v>
      </c>
      <c r="B287" s="527">
        <v>7.952418178319931E-2</v>
      </c>
      <c r="C287" s="527">
        <v>287.68545532226562</v>
      </c>
    </row>
    <row r="288" spans="1:3" x14ac:dyDescent="0.35">
      <c r="A288" s="527">
        <v>287</v>
      </c>
      <c r="B288" s="527">
        <v>7.7527478337287903E-2</v>
      </c>
      <c r="C288" s="527">
        <v>280.46221923828125</v>
      </c>
    </row>
    <row r="289" spans="1:3" x14ac:dyDescent="0.35">
      <c r="A289" s="527">
        <v>288</v>
      </c>
      <c r="B289" s="527">
        <v>7.5530774891376495E-2</v>
      </c>
      <c r="C289" s="527">
        <v>273.23898315429687</v>
      </c>
    </row>
    <row r="290" spans="1:3" x14ac:dyDescent="0.35">
      <c r="A290" s="527">
        <v>289</v>
      </c>
      <c r="B290" s="527">
        <v>7.3633909225463867E-2</v>
      </c>
      <c r="C290" s="527">
        <v>266.37689208984375</v>
      </c>
    </row>
    <row r="291" spans="1:3" x14ac:dyDescent="0.35">
      <c r="A291" s="527">
        <v>290</v>
      </c>
      <c r="B291" s="527">
        <v>7.1831889450550079E-2</v>
      </c>
      <c r="C291" s="527">
        <v>259.85794067382812</v>
      </c>
    </row>
    <row r="292" spans="1:3" x14ac:dyDescent="0.35">
      <c r="A292" s="527">
        <v>291</v>
      </c>
      <c r="B292" s="527">
        <v>7.0029862225055695E-2</v>
      </c>
      <c r="C292" s="527">
        <v>253.33895874023437</v>
      </c>
    </row>
    <row r="293" spans="1:3" x14ac:dyDescent="0.35">
      <c r="A293" s="527">
        <v>292</v>
      </c>
      <c r="B293" s="527">
        <v>6.8227842450141907E-2</v>
      </c>
      <c r="C293" s="527">
        <v>246.81997680664062</v>
      </c>
    </row>
    <row r="294" spans="1:3" x14ac:dyDescent="0.35">
      <c r="A294" s="527">
        <v>293</v>
      </c>
      <c r="B294" s="527">
        <v>6.6515915095806122E-2</v>
      </c>
      <c r="C294" s="527">
        <v>240.626953125</v>
      </c>
    </row>
    <row r="295" spans="1:3" x14ac:dyDescent="0.35">
      <c r="A295" s="527">
        <v>294</v>
      </c>
      <c r="B295" s="527">
        <v>6.4889587461948395E-2</v>
      </c>
      <c r="C295" s="527">
        <v>234.74359130859375</v>
      </c>
    </row>
    <row r="296" spans="1:3" x14ac:dyDescent="0.35">
      <c r="A296" s="527">
        <v>295</v>
      </c>
      <c r="B296" s="527">
        <v>6.3263267278671265E-2</v>
      </c>
      <c r="C296" s="527">
        <v>228.86021423339844</v>
      </c>
    </row>
    <row r="297" spans="1:3" x14ac:dyDescent="0.35">
      <c r="A297" s="527">
        <v>296</v>
      </c>
      <c r="B297" s="527">
        <v>6.1718255281448364E-2</v>
      </c>
      <c r="C297" s="527">
        <v>223.27101135253906</v>
      </c>
    </row>
    <row r="298" spans="1:3" x14ac:dyDescent="0.35">
      <c r="A298" s="527">
        <v>297</v>
      </c>
      <c r="B298" s="527">
        <v>6.0173243284225464E-2</v>
      </c>
      <c r="C298" s="527">
        <v>217.68180847167969</v>
      </c>
    </row>
    <row r="299" spans="1:3" x14ac:dyDescent="0.35">
      <c r="A299" s="527">
        <v>298</v>
      </c>
      <c r="B299" s="527">
        <v>5.8628235012292862E-2</v>
      </c>
      <c r="C299" s="527">
        <v>212.09259033203125</v>
      </c>
    </row>
    <row r="300" spans="1:3" x14ac:dyDescent="0.35">
      <c r="A300" s="527">
        <v>299</v>
      </c>
      <c r="B300" s="527">
        <v>5.7083223015069962E-2</v>
      </c>
      <c r="C300" s="527">
        <v>206.50338745117187</v>
      </c>
    </row>
    <row r="301" spans="1:3" x14ac:dyDescent="0.35">
      <c r="A301" s="527">
        <v>300</v>
      </c>
      <c r="B301" s="527">
        <v>5.8628235012292862E-2</v>
      </c>
      <c r="C301" s="527">
        <v>212.09259033203125</v>
      </c>
    </row>
    <row r="302" spans="1:3" x14ac:dyDescent="0.35">
      <c r="A302" s="527">
        <v>301</v>
      </c>
      <c r="B302" s="527">
        <v>6.0095995664596558E-2</v>
      </c>
      <c r="C302" s="527">
        <v>217.40234375</v>
      </c>
    </row>
    <row r="303" spans="1:3" x14ac:dyDescent="0.35">
      <c r="A303" s="527">
        <v>302</v>
      </c>
      <c r="B303" s="527">
        <v>6.1563752591609955E-2</v>
      </c>
      <c r="C303" s="527">
        <v>222.71208190917969</v>
      </c>
    </row>
    <row r="304" spans="1:3" x14ac:dyDescent="0.35">
      <c r="A304" s="527">
        <v>303</v>
      </c>
      <c r="B304" s="527">
        <v>6.2958128750324249E-2</v>
      </c>
      <c r="C304" s="527">
        <v>227.75634765625</v>
      </c>
    </row>
    <row r="305" spans="1:3" x14ac:dyDescent="0.35">
      <c r="A305" s="527">
        <v>304</v>
      </c>
      <c r="B305" s="527">
        <v>6.4282774925231934E-2</v>
      </c>
      <c r="C305" s="527">
        <v>232.54838562011719</v>
      </c>
    </row>
    <row r="306" spans="1:3" x14ac:dyDescent="0.35">
      <c r="A306" s="527">
        <v>305</v>
      </c>
      <c r="B306" s="527">
        <v>6.5607428550720215E-2</v>
      </c>
      <c r="C306" s="527">
        <v>237.34042358398437</v>
      </c>
    </row>
    <row r="307" spans="1:3" x14ac:dyDescent="0.35">
      <c r="A307" s="527">
        <v>306</v>
      </c>
      <c r="B307" s="527">
        <v>6.6932082176208496E-2</v>
      </c>
      <c r="C307" s="527">
        <v>242.13247680664062</v>
      </c>
    </row>
    <row r="308" spans="1:3" x14ac:dyDescent="0.35">
      <c r="A308" s="527">
        <v>307</v>
      </c>
      <c r="B308" s="527">
        <v>6.8190507590770721E-2</v>
      </c>
      <c r="C308" s="527">
        <v>246.68492126464844</v>
      </c>
    </row>
    <row r="309" spans="1:3" x14ac:dyDescent="0.35">
      <c r="A309" s="527">
        <v>308</v>
      </c>
      <c r="B309" s="527">
        <v>6.944892555475235E-2</v>
      </c>
      <c r="C309" s="527">
        <v>251.23736572265625</v>
      </c>
    </row>
    <row r="310" spans="1:3" x14ac:dyDescent="0.35">
      <c r="A310" s="527">
        <v>309</v>
      </c>
      <c r="B310" s="527">
        <v>7.0707343518733978E-2</v>
      </c>
      <c r="C310" s="527">
        <v>255.789794921875</v>
      </c>
    </row>
    <row r="311" spans="1:3" x14ac:dyDescent="0.35">
      <c r="A311" s="527">
        <v>310</v>
      </c>
      <c r="B311" s="527">
        <v>7.1902841329574585E-2</v>
      </c>
      <c r="C311" s="527">
        <v>260.1146240234375</v>
      </c>
    </row>
    <row r="312" spans="1:3" x14ac:dyDescent="0.35">
      <c r="A312" s="527">
        <v>311</v>
      </c>
      <c r="B312" s="527">
        <v>7.3098346590995789E-2</v>
      </c>
      <c r="C312" s="527">
        <v>264.439453125</v>
      </c>
    </row>
    <row r="313" spans="1:3" x14ac:dyDescent="0.35">
      <c r="A313" s="527">
        <v>312</v>
      </c>
      <c r="B313" s="527">
        <v>7.4293844401836395E-2</v>
      </c>
      <c r="C313" s="527">
        <v>268.76425170898437</v>
      </c>
    </row>
    <row r="314" spans="1:3" x14ac:dyDescent="0.35">
      <c r="A314" s="527">
        <v>313</v>
      </c>
      <c r="B314" s="527">
        <v>7.5429566204547882E-2</v>
      </c>
      <c r="C314" s="527">
        <v>272.87283325195312</v>
      </c>
    </row>
    <row r="315" spans="1:3" x14ac:dyDescent="0.35">
      <c r="A315" s="527">
        <v>314</v>
      </c>
      <c r="B315" s="527">
        <v>7.4350632727146149E-2</v>
      </c>
      <c r="C315" s="527">
        <v>268.96969604492188</v>
      </c>
    </row>
    <row r="316" spans="1:3" x14ac:dyDescent="0.35">
      <c r="A316" s="527">
        <v>315</v>
      </c>
      <c r="B316" s="527">
        <v>7.3325641453266144E-2</v>
      </c>
      <c r="C316" s="527">
        <v>265.26168823242187</v>
      </c>
    </row>
    <row r="317" spans="1:3" x14ac:dyDescent="0.35">
      <c r="A317" s="527">
        <v>316</v>
      </c>
      <c r="B317" s="527">
        <v>7.2300650179386139E-2</v>
      </c>
      <c r="C317" s="527">
        <v>261.5537109375</v>
      </c>
    </row>
    <row r="318" spans="1:3" x14ac:dyDescent="0.35">
      <c r="A318" s="527">
        <v>317</v>
      </c>
      <c r="B318" s="527">
        <v>7.1275658905506134E-2</v>
      </c>
      <c r="C318" s="527">
        <v>257.845703125</v>
      </c>
    </row>
    <row r="319" spans="1:3" x14ac:dyDescent="0.35">
      <c r="A319" s="527">
        <v>318</v>
      </c>
      <c r="B319" s="527">
        <v>7.0250667631626129E-2</v>
      </c>
      <c r="C319" s="527">
        <v>254.13772583007812</v>
      </c>
    </row>
    <row r="320" spans="1:3" x14ac:dyDescent="0.35">
      <c r="A320" s="527">
        <v>319</v>
      </c>
      <c r="B320" s="527">
        <v>6.9276921451091766E-2</v>
      </c>
      <c r="C320" s="527">
        <v>250.61512756347656</v>
      </c>
    </row>
    <row r="321" spans="1:3" x14ac:dyDescent="0.35">
      <c r="A321" s="527">
        <v>320</v>
      </c>
      <c r="B321" s="527">
        <v>6.8303182721138E-2</v>
      </c>
      <c r="C321" s="527">
        <v>247.092529296875</v>
      </c>
    </row>
    <row r="322" spans="1:3" x14ac:dyDescent="0.35">
      <c r="A322" s="527">
        <v>321</v>
      </c>
      <c r="B322" s="527">
        <v>6.7378126084804535E-2</v>
      </c>
      <c r="C322" s="527">
        <v>243.74607849121094</v>
      </c>
    </row>
    <row r="323" spans="1:3" x14ac:dyDescent="0.35">
      <c r="A323" s="527">
        <v>322</v>
      </c>
      <c r="B323" s="527">
        <v>6.6453069448471069E-2</v>
      </c>
      <c r="C323" s="527">
        <v>240.39961242675781</v>
      </c>
    </row>
    <row r="324" spans="1:3" x14ac:dyDescent="0.35">
      <c r="A324" s="527">
        <v>323</v>
      </c>
      <c r="B324" s="527">
        <v>6.5528020262718201E-2</v>
      </c>
      <c r="C324" s="527">
        <v>237.05314636230469</v>
      </c>
    </row>
    <row r="325" spans="1:3" x14ac:dyDescent="0.35">
      <c r="A325" s="527">
        <v>324</v>
      </c>
      <c r="B325" s="527">
        <v>6.4602963626384735E-2</v>
      </c>
      <c r="C325" s="527">
        <v>233.70668029785156</v>
      </c>
    </row>
    <row r="326" spans="1:3" x14ac:dyDescent="0.35">
      <c r="A326" s="527">
        <v>325</v>
      </c>
      <c r="B326" s="527">
        <v>6.367790699005127E-2</v>
      </c>
      <c r="C326" s="527">
        <v>230.36021423339844</v>
      </c>
    </row>
    <row r="327" spans="1:3" x14ac:dyDescent="0.35">
      <c r="A327" s="527">
        <v>326</v>
      </c>
      <c r="B327" s="527">
        <v>6.2752850353717804E-2</v>
      </c>
      <c r="C327" s="527">
        <v>227.01374816894531</v>
      </c>
    </row>
    <row r="328" spans="1:3" x14ac:dyDescent="0.35">
      <c r="A328" s="527">
        <v>327</v>
      </c>
      <c r="B328" s="527">
        <v>6.187405064702034E-2</v>
      </c>
      <c r="C328" s="527">
        <v>223.83460998535156</v>
      </c>
    </row>
    <row r="329" spans="1:3" x14ac:dyDescent="0.35">
      <c r="A329" s="527">
        <v>328</v>
      </c>
      <c r="B329" s="527">
        <v>6.1039190739393234E-2</v>
      </c>
      <c r="C329" s="527">
        <v>220.81443786621094</v>
      </c>
    </row>
    <row r="330" spans="1:3" x14ac:dyDescent="0.35">
      <c r="A330" s="527">
        <v>329</v>
      </c>
      <c r="B330" s="527">
        <v>6.020432710647583E-2</v>
      </c>
      <c r="C330" s="527">
        <v>217.79425048828125</v>
      </c>
    </row>
    <row r="331" spans="1:3" x14ac:dyDescent="0.35">
      <c r="A331" s="527">
        <v>330</v>
      </c>
      <c r="B331" s="527">
        <v>5.941120907664299E-2</v>
      </c>
      <c r="C331" s="527">
        <v>214.92507934570312</v>
      </c>
    </row>
    <row r="332" spans="1:3" x14ac:dyDescent="0.35">
      <c r="A332" s="527">
        <v>331</v>
      </c>
      <c r="B332" s="527">
        <v>5.8657746762037277E-2</v>
      </c>
      <c r="C332" s="527">
        <v>212.19935607910156</v>
      </c>
    </row>
    <row r="333" spans="1:3" x14ac:dyDescent="0.35">
      <c r="A333" s="527">
        <v>332</v>
      </c>
      <c r="B333" s="527">
        <v>5.794195830821991E-2</v>
      </c>
      <c r="C333" s="527">
        <v>209.60992431640625</v>
      </c>
    </row>
    <row r="334" spans="1:3" x14ac:dyDescent="0.35">
      <c r="A334" s="527">
        <v>333</v>
      </c>
      <c r="B334" s="527">
        <v>5.7261958718299866E-2</v>
      </c>
      <c r="C334" s="527">
        <v>207.14997863769531</v>
      </c>
    </row>
    <row r="335" spans="1:3" x14ac:dyDescent="0.35">
      <c r="A335" s="527">
        <v>334</v>
      </c>
      <c r="B335" s="527">
        <v>5.6615956127643585E-2</v>
      </c>
      <c r="C335" s="527">
        <v>204.81301879882812</v>
      </c>
    </row>
    <row r="336" spans="1:3" x14ac:dyDescent="0.35">
      <c r="A336" s="527">
        <v>335</v>
      </c>
      <c r="B336" s="527">
        <v>5.5969957262277603E-2</v>
      </c>
      <c r="C336" s="527">
        <v>202.47605895996094</v>
      </c>
    </row>
    <row r="337" spans="1:3" x14ac:dyDescent="0.35">
      <c r="A337" s="527">
        <v>336</v>
      </c>
      <c r="B337" s="527">
        <v>5.5323958396911621E-2</v>
      </c>
      <c r="C337" s="527">
        <v>200.13909912109375</v>
      </c>
    </row>
    <row r="338" spans="1:3" x14ac:dyDescent="0.35">
      <c r="A338" s="527">
        <v>337</v>
      </c>
      <c r="B338" s="527">
        <v>5.4710257798433304E-2</v>
      </c>
      <c r="C338" s="527">
        <v>197.91897583007812</v>
      </c>
    </row>
    <row r="339" spans="1:3" x14ac:dyDescent="0.35">
      <c r="A339" s="527">
        <v>338</v>
      </c>
      <c r="B339" s="527">
        <v>5.529327318072319E-2</v>
      </c>
      <c r="C339" s="527">
        <v>200.02809143066406</v>
      </c>
    </row>
    <row r="340" spans="1:3" x14ac:dyDescent="0.35">
      <c r="A340" s="527">
        <v>339</v>
      </c>
      <c r="B340" s="527">
        <v>5.4739408195018768E-2</v>
      </c>
      <c r="C340" s="527">
        <v>198.02442932128906</v>
      </c>
    </row>
    <row r="341" spans="1:3" x14ac:dyDescent="0.35">
      <c r="A341" s="527">
        <v>340</v>
      </c>
      <c r="B341" s="527">
        <v>5.4185543209314346E-2</v>
      </c>
      <c r="C341" s="527">
        <v>196.02078247070313</v>
      </c>
    </row>
    <row r="342" spans="1:3" x14ac:dyDescent="0.35">
      <c r="A342" s="527">
        <v>341</v>
      </c>
      <c r="B342" s="527">
        <v>5.365937203168869E-2</v>
      </c>
      <c r="C342" s="527">
        <v>194.11732482910156</v>
      </c>
    </row>
    <row r="343" spans="1:3" x14ac:dyDescent="0.35">
      <c r="A343" s="527">
        <v>342</v>
      </c>
      <c r="B343" s="527">
        <v>5.3133200854063034E-2</v>
      </c>
      <c r="C343" s="527">
        <v>192.21385192871094</v>
      </c>
    </row>
    <row r="344" spans="1:3" x14ac:dyDescent="0.35">
      <c r="A344" s="527">
        <v>343</v>
      </c>
      <c r="B344" s="527">
        <v>5.2607029676437378E-2</v>
      </c>
      <c r="C344" s="527">
        <v>190.31037902832031</v>
      </c>
    </row>
    <row r="345" spans="1:3" x14ac:dyDescent="0.35">
      <c r="A345" s="527">
        <v>344</v>
      </c>
      <c r="B345" s="527">
        <v>5.2054550498723984E-2</v>
      </c>
      <c r="C345" s="527">
        <v>188.31173706054687</v>
      </c>
    </row>
    <row r="346" spans="1:3" x14ac:dyDescent="0.35">
      <c r="A346" s="527">
        <v>345</v>
      </c>
      <c r="B346" s="527">
        <v>5.150207132101059E-2</v>
      </c>
      <c r="C346" s="527">
        <v>186.31309509277344</v>
      </c>
    </row>
    <row r="347" spans="1:3" x14ac:dyDescent="0.35">
      <c r="A347" s="527">
        <v>346</v>
      </c>
      <c r="B347" s="527">
        <v>5.0949592143297195E-2</v>
      </c>
      <c r="C347" s="527">
        <v>184.314453125</v>
      </c>
    </row>
    <row r="348" spans="1:3" x14ac:dyDescent="0.35">
      <c r="A348" s="527">
        <v>347</v>
      </c>
      <c r="B348" s="527">
        <v>5.0397112965583801E-2</v>
      </c>
      <c r="C348" s="527">
        <v>182.31581115722656</v>
      </c>
    </row>
    <row r="349" spans="1:3" x14ac:dyDescent="0.35">
      <c r="A349" s="527">
        <v>348</v>
      </c>
      <c r="B349" s="527">
        <v>4.9844630062580109E-2</v>
      </c>
      <c r="C349" s="527">
        <v>180.31716918945312</v>
      </c>
    </row>
    <row r="350" spans="1:3" x14ac:dyDescent="0.35">
      <c r="A350" s="527">
        <v>349</v>
      </c>
      <c r="B350" s="527">
        <v>4.9292150884866714E-2</v>
      </c>
      <c r="C350" s="527">
        <v>178.31852722167969</v>
      </c>
    </row>
    <row r="351" spans="1:3" x14ac:dyDescent="0.35">
      <c r="A351" s="527">
        <v>350</v>
      </c>
      <c r="B351" s="527">
        <v>4.873967170715332E-2</v>
      </c>
      <c r="C351" s="527">
        <v>176.31988525390625</v>
      </c>
    </row>
    <row r="352" spans="1:3" x14ac:dyDescent="0.35">
      <c r="A352" s="527">
        <v>351</v>
      </c>
      <c r="B352" s="527">
        <v>4.8187192529439926E-2</v>
      </c>
      <c r="C352" s="527">
        <v>174.32124328613281</v>
      </c>
    </row>
    <row r="353" spans="1:3" x14ac:dyDescent="0.35">
      <c r="A353" s="527">
        <v>352</v>
      </c>
      <c r="B353" s="527">
        <v>4.7634713351726532E-2</v>
      </c>
      <c r="C353" s="527">
        <v>172.32260131835937</v>
      </c>
    </row>
    <row r="354" spans="1:3" x14ac:dyDescent="0.35">
      <c r="A354" s="527">
        <v>353</v>
      </c>
      <c r="B354" s="527">
        <v>4.7109857201576233E-2</v>
      </c>
      <c r="C354" s="527">
        <v>170.42388916015625</v>
      </c>
    </row>
    <row r="355" spans="1:3" x14ac:dyDescent="0.35">
      <c r="A355" s="527">
        <v>354</v>
      </c>
      <c r="B355" s="527">
        <v>4.6585001051425934E-2</v>
      </c>
      <c r="C355" s="527">
        <v>168.52517700195312</v>
      </c>
    </row>
    <row r="356" spans="1:3" x14ac:dyDescent="0.35">
      <c r="A356" s="527">
        <v>355</v>
      </c>
      <c r="B356" s="527">
        <v>4.6086389571428299E-2</v>
      </c>
      <c r="C356" s="527">
        <v>166.72140502929687</v>
      </c>
    </row>
    <row r="357" spans="1:3" x14ac:dyDescent="0.35">
      <c r="A357" s="527">
        <v>356</v>
      </c>
      <c r="B357" s="527">
        <v>4.5587774366140366E-2</v>
      </c>
      <c r="C357" s="527">
        <v>164.91763305664062</v>
      </c>
    </row>
    <row r="358" spans="1:3" x14ac:dyDescent="0.35">
      <c r="A358" s="527">
        <v>357</v>
      </c>
      <c r="B358" s="527">
        <v>4.5114092528820038E-2</v>
      </c>
      <c r="C358" s="527">
        <v>163.20405578613281</v>
      </c>
    </row>
    <row r="359" spans="1:3" x14ac:dyDescent="0.35">
      <c r="A359" s="527">
        <v>358</v>
      </c>
      <c r="B359" s="527">
        <v>4.464041069149971E-2</v>
      </c>
      <c r="C359" s="527">
        <v>161.49046325683594</v>
      </c>
    </row>
    <row r="360" spans="1:3" x14ac:dyDescent="0.35">
      <c r="A360" s="527">
        <v>359</v>
      </c>
      <c r="B360" s="527">
        <v>4.4190414249897003E-2</v>
      </c>
      <c r="C360" s="527">
        <v>159.86256408691406</v>
      </c>
    </row>
    <row r="361" spans="1:3" x14ac:dyDescent="0.35">
      <c r="A361" s="527">
        <v>360</v>
      </c>
      <c r="B361" s="527">
        <v>4.3762914836406708E-2</v>
      </c>
      <c r="C361" s="527">
        <v>158.3160400390625</v>
      </c>
    </row>
    <row r="362" spans="1:3" x14ac:dyDescent="0.35">
      <c r="A362" s="527">
        <v>361</v>
      </c>
      <c r="B362" s="527">
        <v>4.3356791138648987E-2</v>
      </c>
      <c r="C362" s="527">
        <v>156.84686279296875</v>
      </c>
    </row>
    <row r="363" spans="1:3" x14ac:dyDescent="0.35">
      <c r="A363" s="527">
        <v>362</v>
      </c>
      <c r="B363" s="527">
        <v>4.2970973998308182E-2</v>
      </c>
      <c r="C363" s="527">
        <v>155.45114135742187</v>
      </c>
    </row>
    <row r="364" spans="1:3" x14ac:dyDescent="0.35">
      <c r="A364" s="527">
        <v>363</v>
      </c>
      <c r="B364" s="527">
        <v>4.2604446411132813E-2</v>
      </c>
      <c r="C364" s="527">
        <v>154.12519836425781</v>
      </c>
    </row>
    <row r="365" spans="1:3" x14ac:dyDescent="0.35">
      <c r="A365" s="527">
        <v>364</v>
      </c>
      <c r="B365" s="527">
        <v>4.2237922549247742E-2</v>
      </c>
      <c r="C365" s="527">
        <v>152.79925537109375</v>
      </c>
    </row>
    <row r="366" spans="1:3" x14ac:dyDescent="0.35">
      <c r="A366" s="527">
        <v>365</v>
      </c>
      <c r="B366" s="527">
        <v>4.1871394962072372E-2</v>
      </c>
      <c r="C366" s="527">
        <v>151.47331237792969</v>
      </c>
    </row>
    <row r="367" spans="1:3" x14ac:dyDescent="0.35">
      <c r="A367" s="527">
        <v>366</v>
      </c>
      <c r="B367" s="527">
        <v>4.1523195803165436E-2</v>
      </c>
      <c r="C367" s="527">
        <v>150.21366882324219</v>
      </c>
    </row>
    <row r="368" spans="1:3" x14ac:dyDescent="0.35">
      <c r="A368" s="527">
        <v>367</v>
      </c>
      <c r="B368" s="527">
        <v>4.1174996644258499E-2</v>
      </c>
      <c r="C368" s="527">
        <v>148.95402526855469</v>
      </c>
    </row>
    <row r="369" spans="1:3" x14ac:dyDescent="0.35">
      <c r="A369" s="527">
        <v>368</v>
      </c>
      <c r="B369" s="527">
        <v>4.0826793760061264E-2</v>
      </c>
      <c r="C369" s="527">
        <v>147.69438171386719</v>
      </c>
    </row>
    <row r="370" spans="1:3" x14ac:dyDescent="0.35">
      <c r="A370" s="527">
        <v>369</v>
      </c>
      <c r="B370" s="527">
        <v>4.0496006608009338E-2</v>
      </c>
      <c r="C370" s="527">
        <v>146.49772644042969</v>
      </c>
    </row>
    <row r="371" spans="1:3" x14ac:dyDescent="0.35">
      <c r="A371" s="527">
        <v>370</v>
      </c>
      <c r="B371" s="527">
        <v>4.0181756019592285E-2</v>
      </c>
      <c r="C371" s="527">
        <v>145.36090087890625</v>
      </c>
    </row>
    <row r="372" spans="1:3" x14ac:dyDescent="0.35">
      <c r="A372" s="527">
        <v>371</v>
      </c>
      <c r="B372" s="527">
        <v>3.9883218705654144E-2</v>
      </c>
      <c r="C372" s="527">
        <v>144.28091430664062</v>
      </c>
    </row>
    <row r="373" spans="1:3" x14ac:dyDescent="0.35">
      <c r="A373" s="527">
        <v>372</v>
      </c>
      <c r="B373" s="527">
        <v>3.9599604904651642E-2</v>
      </c>
      <c r="C373" s="527">
        <v>143.25492858886719</v>
      </c>
    </row>
    <row r="374" spans="1:3" x14ac:dyDescent="0.35">
      <c r="A374" s="527">
        <v>373</v>
      </c>
      <c r="B374" s="527">
        <v>3.9330177009105682E-2</v>
      </c>
      <c r="C374" s="527">
        <v>142.28024291992187</v>
      </c>
    </row>
    <row r="375" spans="1:3" x14ac:dyDescent="0.35">
      <c r="A375" s="527">
        <v>374</v>
      </c>
      <c r="B375" s="527">
        <v>3.9074216037988663E-2</v>
      </c>
      <c r="C375" s="527">
        <v>141.35427856445312</v>
      </c>
    </row>
    <row r="376" spans="1:3" x14ac:dyDescent="0.35">
      <c r="A376" s="527">
        <v>375</v>
      </c>
      <c r="B376" s="527">
        <v>3.8831055164337158E-2</v>
      </c>
      <c r="C376" s="527">
        <v>140.47462463378906</v>
      </c>
    </row>
    <row r="377" spans="1:3" x14ac:dyDescent="0.35">
      <c r="A377" s="527">
        <v>376</v>
      </c>
      <c r="B377" s="527">
        <v>3.8600053638219833E-2</v>
      </c>
      <c r="C377" s="527">
        <v>139.63896179199219</v>
      </c>
    </row>
    <row r="378" spans="1:3" x14ac:dyDescent="0.35">
      <c r="A378" s="527">
        <v>377</v>
      </c>
      <c r="B378" s="527">
        <v>3.836904838681221E-2</v>
      </c>
      <c r="C378" s="527">
        <v>138.80328369140625</v>
      </c>
    </row>
    <row r="379" spans="1:3" x14ac:dyDescent="0.35">
      <c r="A379" s="527">
        <v>378</v>
      </c>
      <c r="B379" s="527">
        <v>3.8149595260620117E-2</v>
      </c>
      <c r="C379" s="527">
        <v>138.0093994140625</v>
      </c>
    </row>
    <row r="380" spans="1:3" x14ac:dyDescent="0.35">
      <c r="A380" s="527">
        <v>379</v>
      </c>
      <c r="B380" s="527">
        <v>3.7941116839647293E-2</v>
      </c>
      <c r="C380" s="527">
        <v>137.25520324707031</v>
      </c>
    </row>
    <row r="381" spans="1:3" x14ac:dyDescent="0.35">
      <c r="A381" s="527">
        <v>380</v>
      </c>
      <c r="B381" s="527">
        <v>3.7743061780929565E-2</v>
      </c>
      <c r="C381" s="527">
        <v>136.53871154785156</v>
      </c>
    </row>
    <row r="382" spans="1:3" x14ac:dyDescent="0.35">
      <c r="A382" s="527">
        <v>381</v>
      </c>
      <c r="B382" s="527">
        <v>3.755490854382515E-2</v>
      </c>
      <c r="C382" s="527">
        <v>135.85804748535156</v>
      </c>
    </row>
    <row r="383" spans="1:3" x14ac:dyDescent="0.35">
      <c r="A383" s="527">
        <v>382</v>
      </c>
      <c r="B383" s="527">
        <v>3.7366751581430435E-2</v>
      </c>
      <c r="C383" s="527">
        <v>135.17738342285156</v>
      </c>
    </row>
    <row r="384" spans="1:3" x14ac:dyDescent="0.35">
      <c r="A384" s="527">
        <v>383</v>
      </c>
      <c r="B384" s="527">
        <v>3.7188008427619934E-2</v>
      </c>
      <c r="C384" s="527">
        <v>134.53076171875</v>
      </c>
    </row>
    <row r="385" spans="1:3" x14ac:dyDescent="0.35">
      <c r="A385" s="527">
        <v>384</v>
      </c>
      <c r="B385" s="527">
        <v>3.7018198519945145E-2</v>
      </c>
      <c r="C385" s="527">
        <v>133.91647338867187</v>
      </c>
    </row>
    <row r="386" spans="1:3" x14ac:dyDescent="0.35">
      <c r="A386" s="527">
        <v>385</v>
      </c>
      <c r="B386" s="527">
        <v>3.6856882274150848E-2</v>
      </c>
      <c r="C386" s="527">
        <v>133.3328857421875</v>
      </c>
    </row>
    <row r="387" spans="1:3" x14ac:dyDescent="0.35">
      <c r="A387" s="527">
        <v>386</v>
      </c>
      <c r="B387" s="527">
        <v>3.6695562303066254E-2</v>
      </c>
      <c r="C387" s="527">
        <v>132.74929809570312</v>
      </c>
    </row>
    <row r="388" spans="1:3" x14ac:dyDescent="0.35">
      <c r="A388" s="527">
        <v>387</v>
      </c>
      <c r="B388" s="527">
        <v>3.6534246057271957E-2</v>
      </c>
      <c r="C388" s="527">
        <v>132.16572570800781</v>
      </c>
    </row>
    <row r="389" spans="1:3" x14ac:dyDescent="0.35">
      <c r="A389" s="527">
        <v>388</v>
      </c>
      <c r="B389" s="527">
        <v>3.6372926086187363E-2</v>
      </c>
      <c r="C389" s="527">
        <v>131.58213806152344</v>
      </c>
    </row>
    <row r="390" spans="1:3" x14ac:dyDescent="0.35">
      <c r="A390" s="527">
        <v>389</v>
      </c>
      <c r="B390" s="527">
        <v>3.6219675093889236E-2</v>
      </c>
      <c r="C390" s="527">
        <v>131.02774047851563</v>
      </c>
    </row>
    <row r="391" spans="1:3" x14ac:dyDescent="0.35">
      <c r="A391" s="527">
        <v>390</v>
      </c>
      <c r="B391" s="527">
        <v>3.606642410159111E-2</v>
      </c>
      <c r="C391" s="527">
        <v>130.47334289550781</v>
      </c>
    </row>
    <row r="392" spans="1:3" x14ac:dyDescent="0.35">
      <c r="A392" s="527">
        <v>391</v>
      </c>
      <c r="B392" s="527">
        <v>3.5913169384002686E-2</v>
      </c>
      <c r="C392" s="527">
        <v>129.91893005371094</v>
      </c>
    </row>
    <row r="393" spans="1:3" x14ac:dyDescent="0.35">
      <c r="A393" s="527">
        <v>392</v>
      </c>
      <c r="B393" s="527">
        <v>3.6074087023735046E-2</v>
      </c>
      <c r="C393" s="527">
        <v>130.50105285644531</v>
      </c>
    </row>
    <row r="394" spans="1:3" x14ac:dyDescent="0.35">
      <c r="A394" s="527">
        <v>393</v>
      </c>
      <c r="B394" s="527">
        <v>3.6235000938177109E-2</v>
      </c>
      <c r="C394" s="527">
        <v>131.08317565917969</v>
      </c>
    </row>
    <row r="395" spans="1:3" x14ac:dyDescent="0.35">
      <c r="A395" s="527">
        <v>394</v>
      </c>
      <c r="B395" s="527">
        <v>3.6403961479663849E-2</v>
      </c>
      <c r="C395" s="527">
        <v>131.69441223144531</v>
      </c>
    </row>
    <row r="396" spans="1:3" x14ac:dyDescent="0.35">
      <c r="A396" s="527">
        <v>395</v>
      </c>
      <c r="B396" s="527">
        <v>3.6572922021150589E-2</v>
      </c>
      <c r="C396" s="527">
        <v>132.30563354492188</v>
      </c>
    </row>
    <row r="397" spans="1:3" x14ac:dyDescent="0.35">
      <c r="A397" s="527">
        <v>396</v>
      </c>
      <c r="B397" s="527">
        <v>3.6741882562637329E-2</v>
      </c>
      <c r="C397" s="527">
        <v>132.9168701171875</v>
      </c>
    </row>
    <row r="398" spans="1:3" x14ac:dyDescent="0.35">
      <c r="A398" s="527">
        <v>397</v>
      </c>
      <c r="B398" s="527">
        <v>3.6919292062520981E-2</v>
      </c>
      <c r="C398" s="527">
        <v>133.55865478515625</v>
      </c>
    </row>
    <row r="399" spans="1:3" x14ac:dyDescent="0.35">
      <c r="A399" s="527">
        <v>398</v>
      </c>
      <c r="B399" s="527">
        <v>3.7105567753314972E-2</v>
      </c>
      <c r="C399" s="527">
        <v>134.23252868652344</v>
      </c>
    </row>
    <row r="400" spans="1:3" x14ac:dyDescent="0.35">
      <c r="A400" s="527">
        <v>399</v>
      </c>
      <c r="B400" s="527">
        <v>3.7301160395145416E-2</v>
      </c>
      <c r="C400" s="527">
        <v>134.94010925292969</v>
      </c>
    </row>
    <row r="401" spans="1:3" x14ac:dyDescent="0.35">
      <c r="A401" s="527">
        <v>400</v>
      </c>
      <c r="B401" s="527">
        <v>3.7496753036975861E-2</v>
      </c>
      <c r="C401" s="527">
        <v>135.64767456054687</v>
      </c>
    </row>
    <row r="402" spans="1:3" x14ac:dyDescent="0.35">
      <c r="A402" s="527">
        <v>401</v>
      </c>
      <c r="B402" s="527">
        <v>3.7692349404096603E-2</v>
      </c>
      <c r="C402" s="527">
        <v>136.35525512695312</v>
      </c>
    </row>
    <row r="403" spans="1:3" x14ac:dyDescent="0.35">
      <c r="A403" s="527">
        <v>402</v>
      </c>
      <c r="B403" s="527">
        <v>3.7887942045927048E-2</v>
      </c>
      <c r="C403" s="527">
        <v>137.06283569335937</v>
      </c>
    </row>
    <row r="404" spans="1:3" x14ac:dyDescent="0.35">
      <c r="A404" s="527">
        <v>403</v>
      </c>
      <c r="B404" s="527">
        <v>3.8093313574790955E-2</v>
      </c>
      <c r="C404" s="527">
        <v>137.8057861328125</v>
      </c>
    </row>
    <row r="405" spans="1:3" x14ac:dyDescent="0.35">
      <c r="A405" s="527">
        <v>404</v>
      </c>
      <c r="B405" s="527">
        <v>3.8308955729007721E-2</v>
      </c>
      <c r="C405" s="527">
        <v>138.58587646484375</v>
      </c>
    </row>
    <row r="406" spans="1:3" x14ac:dyDescent="0.35">
      <c r="A406" s="527">
        <v>405</v>
      </c>
      <c r="B406" s="527">
        <v>3.8535378873348236E-2</v>
      </c>
      <c r="C406" s="527">
        <v>139.40498352050781</v>
      </c>
    </row>
    <row r="407" spans="1:3" x14ac:dyDescent="0.35">
      <c r="A407" s="527">
        <v>406</v>
      </c>
      <c r="B407" s="527">
        <v>3.8773123174905777E-2</v>
      </c>
      <c r="C407" s="527">
        <v>140.26504516601562</v>
      </c>
    </row>
    <row r="408" spans="1:3" x14ac:dyDescent="0.35">
      <c r="A408" s="527">
        <v>407</v>
      </c>
      <c r="B408" s="527">
        <v>3.9022751152515411E-2</v>
      </c>
      <c r="C408" s="527">
        <v>141.16810607910156</v>
      </c>
    </row>
    <row r="409" spans="1:3" x14ac:dyDescent="0.35">
      <c r="A409" s="527">
        <v>408</v>
      </c>
      <c r="B409" s="527">
        <v>3.928486630320549E-2</v>
      </c>
      <c r="C409" s="527">
        <v>142.1163330078125</v>
      </c>
    </row>
    <row r="410" spans="1:3" x14ac:dyDescent="0.35">
      <c r="A410" s="527">
        <v>409</v>
      </c>
      <c r="B410" s="527">
        <v>3.9560083299875259E-2</v>
      </c>
      <c r="C410" s="527">
        <v>143.11195373535156</v>
      </c>
    </row>
    <row r="411" spans="1:3" x14ac:dyDescent="0.35">
      <c r="A411" s="527">
        <v>410</v>
      </c>
      <c r="B411" s="527">
        <v>3.9849065244197845E-2</v>
      </c>
      <c r="C411" s="527">
        <v>144.15736389160156</v>
      </c>
    </row>
    <row r="412" spans="1:3" x14ac:dyDescent="0.35">
      <c r="A412" s="527">
        <v>411</v>
      </c>
      <c r="B412" s="527">
        <v>4.0152493864297867E-2</v>
      </c>
      <c r="C412" s="527">
        <v>145.25503540039062</v>
      </c>
    </row>
    <row r="413" spans="1:3" x14ac:dyDescent="0.35">
      <c r="A413" s="527">
        <v>412</v>
      </c>
      <c r="B413" s="527">
        <v>4.0471091866493225E-2</v>
      </c>
      <c r="C413" s="527">
        <v>146.40760803222656</v>
      </c>
    </row>
    <row r="414" spans="1:3" x14ac:dyDescent="0.35">
      <c r="A414" s="527">
        <v>413</v>
      </c>
      <c r="B414" s="527">
        <v>4.0805622935295105E-2</v>
      </c>
      <c r="C414" s="527">
        <v>147.6177978515625</v>
      </c>
    </row>
    <row r="415" spans="1:3" x14ac:dyDescent="0.35">
      <c r="A415" s="527">
        <v>414</v>
      </c>
      <c r="B415" s="527">
        <v>4.1156880557537079E-2</v>
      </c>
      <c r="C415" s="527">
        <v>148.88848876953125</v>
      </c>
    </row>
    <row r="416" spans="1:3" x14ac:dyDescent="0.35">
      <c r="A416" s="527">
        <v>415</v>
      </c>
      <c r="B416" s="527">
        <v>4.1525699198246002E-2</v>
      </c>
      <c r="C416" s="527">
        <v>150.22273254394531</v>
      </c>
    </row>
    <row r="417" spans="1:3" x14ac:dyDescent="0.35">
      <c r="A417" s="527">
        <v>416</v>
      </c>
      <c r="B417" s="527">
        <v>4.191296175122261E-2</v>
      </c>
      <c r="C417" s="527">
        <v>151.62367248535156</v>
      </c>
    </row>
    <row r="418" spans="1:3" x14ac:dyDescent="0.35">
      <c r="A418" s="527">
        <v>417</v>
      </c>
      <c r="B418" s="527">
        <v>4.2319584637880325E-2</v>
      </c>
      <c r="C418" s="527">
        <v>153.09466552734375</v>
      </c>
    </row>
    <row r="419" spans="1:3" x14ac:dyDescent="0.35">
      <c r="A419" s="527">
        <v>418</v>
      </c>
      <c r="B419" s="527">
        <v>4.2746536433696747E-2</v>
      </c>
      <c r="C419" s="527">
        <v>154.63922119140625</v>
      </c>
    </row>
    <row r="420" spans="1:3" x14ac:dyDescent="0.35">
      <c r="A420" s="527">
        <v>419</v>
      </c>
      <c r="B420" s="527">
        <v>4.3194841593503952E-2</v>
      </c>
      <c r="C420" s="527">
        <v>156.260986328125</v>
      </c>
    </row>
    <row r="421" spans="1:3" x14ac:dyDescent="0.35">
      <c r="A421" s="527">
        <v>420</v>
      </c>
      <c r="B421" s="527">
        <v>4.3665558099746704E-2</v>
      </c>
      <c r="C421" s="527">
        <v>157.96385192871094</v>
      </c>
    </row>
    <row r="422" spans="1:3" x14ac:dyDescent="0.35">
      <c r="A422" s="527">
        <v>421</v>
      </c>
      <c r="B422" s="527">
        <v>4.4159810990095139E-2</v>
      </c>
      <c r="C422" s="527">
        <v>159.75184631347656</v>
      </c>
    </row>
    <row r="423" spans="1:3" x14ac:dyDescent="0.35">
      <c r="A423" s="527">
        <v>422</v>
      </c>
      <c r="B423" s="527">
        <v>4.4678777456283569E-2</v>
      </c>
      <c r="C423" s="527">
        <v>161.62925720214844</v>
      </c>
    </row>
    <row r="424" spans="1:3" x14ac:dyDescent="0.35">
      <c r="A424" s="527">
        <v>423</v>
      </c>
      <c r="B424" s="527">
        <v>4.5223690569400787E-2</v>
      </c>
      <c r="C424" s="527">
        <v>163.60052490234375</v>
      </c>
    </row>
    <row r="425" spans="1:3" x14ac:dyDescent="0.35">
      <c r="A425" s="527">
        <v>424</v>
      </c>
      <c r="B425" s="527">
        <v>4.4651530683040619E-2</v>
      </c>
      <c r="C425" s="527">
        <v>161.53068542480469</v>
      </c>
    </row>
    <row r="426" spans="1:3" x14ac:dyDescent="0.35">
      <c r="A426" s="527">
        <v>425</v>
      </c>
      <c r="B426" s="527">
        <v>4.4050764292478561E-2</v>
      </c>
      <c r="C426" s="527">
        <v>159.35736083984375</v>
      </c>
    </row>
    <row r="427" spans="1:3" x14ac:dyDescent="0.35">
      <c r="A427" s="527">
        <v>426</v>
      </c>
      <c r="B427" s="527">
        <v>4.4681571424007416E-2</v>
      </c>
      <c r="C427" s="527">
        <v>161.63935852050781</v>
      </c>
    </row>
    <row r="428" spans="1:3" x14ac:dyDescent="0.35">
      <c r="A428" s="527">
        <v>427</v>
      </c>
      <c r="B428" s="527">
        <v>4.5343916863203049E-2</v>
      </c>
      <c r="C428" s="527">
        <v>164.03544616699219</v>
      </c>
    </row>
    <row r="429" spans="1:3" x14ac:dyDescent="0.35">
      <c r="A429" s="527">
        <v>428</v>
      </c>
      <c r="B429" s="527">
        <v>4.6039380133152008E-2</v>
      </c>
      <c r="C429" s="527">
        <v>166.55136108398437</v>
      </c>
    </row>
    <row r="430" spans="1:3" x14ac:dyDescent="0.35">
      <c r="A430" s="527">
        <v>429</v>
      </c>
      <c r="B430" s="527">
        <v>4.6769618988037109E-2</v>
      </c>
      <c r="C430" s="527">
        <v>169.19305419921875</v>
      </c>
    </row>
    <row r="431" spans="1:3" x14ac:dyDescent="0.35">
      <c r="A431" s="527">
        <v>430</v>
      </c>
      <c r="B431" s="527">
        <v>4.7536365687847137E-2</v>
      </c>
      <c r="C431" s="527">
        <v>171.96682739257812</v>
      </c>
    </row>
    <row r="432" spans="1:3" x14ac:dyDescent="0.35">
      <c r="A432" s="527">
        <v>431</v>
      </c>
      <c r="B432" s="527">
        <v>4.8341453075408936E-2</v>
      </c>
      <c r="C432" s="527">
        <v>174.87930297851563</v>
      </c>
    </row>
    <row r="433" spans="1:3" x14ac:dyDescent="0.35">
      <c r="A433" s="527">
        <v>432</v>
      </c>
      <c r="B433" s="527">
        <v>4.9186795949935913E-2</v>
      </c>
      <c r="C433" s="527">
        <v>177.93739318847656</v>
      </c>
    </row>
    <row r="434" spans="1:3" x14ac:dyDescent="0.35">
      <c r="A434" s="527">
        <v>433</v>
      </c>
      <c r="B434" s="527">
        <v>5.0074402242898941E-2</v>
      </c>
      <c r="C434" s="527">
        <v>181.14839172363281</v>
      </c>
    </row>
    <row r="435" spans="1:3" x14ac:dyDescent="0.35">
      <c r="A435" s="527">
        <v>434</v>
      </c>
      <c r="B435" s="527">
        <v>5.1006391644477844E-2</v>
      </c>
      <c r="C435" s="527">
        <v>184.51992797851563</v>
      </c>
    </row>
    <row r="436" spans="1:3" x14ac:dyDescent="0.35">
      <c r="A436" s="527">
        <v>435</v>
      </c>
      <c r="B436" s="527">
        <v>5.1984980702400208E-2</v>
      </c>
      <c r="C436" s="527">
        <v>188.06005859375</v>
      </c>
    </row>
    <row r="437" spans="1:3" x14ac:dyDescent="0.35">
      <c r="A437" s="527">
        <v>436</v>
      </c>
      <c r="B437" s="527">
        <v>5.301249772310257E-2</v>
      </c>
      <c r="C437" s="527">
        <v>191.77719116210937</v>
      </c>
    </row>
    <row r="438" spans="1:3" x14ac:dyDescent="0.35">
      <c r="A438" s="527">
        <v>437</v>
      </c>
      <c r="B438" s="527">
        <v>5.409139022231102E-2</v>
      </c>
      <c r="C438" s="527">
        <v>195.68017578125</v>
      </c>
    </row>
    <row r="439" spans="1:3" x14ac:dyDescent="0.35">
      <c r="A439" s="527">
        <v>438</v>
      </c>
      <c r="B439" s="527">
        <v>5.5224228650331497E-2</v>
      </c>
      <c r="C439" s="527">
        <v>199.77830505371094</v>
      </c>
    </row>
    <row r="440" spans="1:3" x14ac:dyDescent="0.35">
      <c r="A440" s="527">
        <v>439</v>
      </c>
      <c r="B440" s="527">
        <v>5.6413706392049789E-2</v>
      </c>
      <c r="C440" s="527">
        <v>204.08135986328125</v>
      </c>
    </row>
    <row r="441" spans="1:3" x14ac:dyDescent="0.35">
      <c r="A441" s="527">
        <v>440</v>
      </c>
      <c r="B441" s="527">
        <v>5.7662658393383026E-2</v>
      </c>
      <c r="C441" s="527">
        <v>208.59954833984375</v>
      </c>
    </row>
    <row r="442" spans="1:3" x14ac:dyDescent="0.35">
      <c r="A442" s="527">
        <v>441</v>
      </c>
      <c r="B442" s="527">
        <v>5.8974061161279678E-2</v>
      </c>
      <c r="C442" s="527">
        <v>213.34365844726562</v>
      </c>
    </row>
    <row r="443" spans="1:3" x14ac:dyDescent="0.35">
      <c r="A443" s="527">
        <v>442</v>
      </c>
      <c r="B443" s="527">
        <v>6.0351032763719559E-2</v>
      </c>
      <c r="C443" s="527">
        <v>218.32496643066406</v>
      </c>
    </row>
    <row r="444" spans="1:3" x14ac:dyDescent="0.35">
      <c r="A444" s="527">
        <v>443</v>
      </c>
      <c r="B444" s="527">
        <v>6.1796851456165314E-2</v>
      </c>
      <c r="C444" s="527">
        <v>223.55534362792969</v>
      </c>
    </row>
    <row r="445" spans="1:3" x14ac:dyDescent="0.35">
      <c r="A445" s="527">
        <v>444</v>
      </c>
      <c r="B445" s="527">
        <v>6.3314966857433319E-2</v>
      </c>
      <c r="C445" s="527">
        <v>229.0472412109375</v>
      </c>
    </row>
    <row r="446" spans="1:3" x14ac:dyDescent="0.35">
      <c r="A446" s="527">
        <v>445</v>
      </c>
      <c r="B446" s="527">
        <v>6.4908981323242188E-2</v>
      </c>
      <c r="C446" s="527">
        <v>234.813720703125</v>
      </c>
    </row>
    <row r="447" spans="1:3" x14ac:dyDescent="0.35">
      <c r="A447" s="527">
        <v>446</v>
      </c>
      <c r="B447" s="527">
        <v>6.658269464969635E-2</v>
      </c>
      <c r="C447" s="527">
        <v>240.86854553222656</v>
      </c>
    </row>
    <row r="448" spans="1:3" x14ac:dyDescent="0.35">
      <c r="A448" s="527">
        <v>447</v>
      </c>
      <c r="B448" s="527">
        <v>6.825641542673111E-2</v>
      </c>
      <c r="C448" s="527">
        <v>246.92335510253906</v>
      </c>
    </row>
    <row r="449" spans="1:3" x14ac:dyDescent="0.35">
      <c r="A449" s="527">
        <v>448</v>
      </c>
      <c r="B449" s="527">
        <v>7.0013821125030518E-2</v>
      </c>
      <c r="C449" s="527">
        <v>253.28089904785156</v>
      </c>
    </row>
    <row r="450" spans="1:3" x14ac:dyDescent="0.35">
      <c r="A450" s="527">
        <v>449</v>
      </c>
      <c r="B450" s="527">
        <v>7.1859091520309448E-2</v>
      </c>
      <c r="C450" s="527">
        <v>259.95632934570312</v>
      </c>
    </row>
    <row r="451" spans="1:3" x14ac:dyDescent="0.35">
      <c r="A451" s="527">
        <v>450</v>
      </c>
      <c r="B451" s="527">
        <v>7.3796629905700684E-2</v>
      </c>
      <c r="C451" s="527">
        <v>266.96554565429687</v>
      </c>
    </row>
    <row r="452" spans="1:3" x14ac:dyDescent="0.35">
      <c r="A452" s="527">
        <v>451</v>
      </c>
      <c r="B452" s="527">
        <v>7.1859091520309448E-2</v>
      </c>
      <c r="C452" s="527">
        <v>259.95632934570312</v>
      </c>
    </row>
    <row r="453" spans="1:3" x14ac:dyDescent="0.35">
      <c r="A453" s="527">
        <v>452</v>
      </c>
      <c r="B453" s="527">
        <v>7.0018433034420013E-2</v>
      </c>
      <c r="C453" s="527">
        <v>253.29759216308594</v>
      </c>
    </row>
    <row r="454" spans="1:3" x14ac:dyDescent="0.35">
      <c r="A454" s="527">
        <v>453</v>
      </c>
      <c r="B454" s="527">
        <v>6.8177767097949982E-2</v>
      </c>
      <c r="C454" s="527">
        <v>246.63885498046875</v>
      </c>
    </row>
    <row r="455" spans="1:3" x14ac:dyDescent="0.35">
      <c r="A455" s="527">
        <v>454</v>
      </c>
      <c r="B455" s="527">
        <v>6.6337108612060547E-2</v>
      </c>
      <c r="C455" s="527">
        <v>239.9801025390625</v>
      </c>
    </row>
    <row r="456" spans="1:3" x14ac:dyDescent="0.35">
      <c r="A456" s="527">
        <v>455</v>
      </c>
      <c r="B456" s="527">
        <v>6.4496450126171112E-2</v>
      </c>
      <c r="C456" s="527">
        <v>233.32136535644531</v>
      </c>
    </row>
    <row r="457" spans="1:3" x14ac:dyDescent="0.35">
      <c r="A457" s="527">
        <v>456</v>
      </c>
      <c r="B457" s="527">
        <v>6.2655791640281677E-2</v>
      </c>
      <c r="C457" s="527">
        <v>226.66262817382812</v>
      </c>
    </row>
    <row r="458" spans="1:3" x14ac:dyDescent="0.35">
      <c r="A458" s="527">
        <v>457</v>
      </c>
      <c r="B458" s="527">
        <v>6.0815129429101944E-2</v>
      </c>
      <c r="C458" s="527">
        <v>220.00387573242187</v>
      </c>
    </row>
    <row r="459" spans="1:3" x14ac:dyDescent="0.35">
      <c r="A459" s="527">
        <v>458</v>
      </c>
      <c r="B459" s="527">
        <v>5.9066504240036011E-2</v>
      </c>
      <c r="C459" s="527">
        <v>213.67807006835937</v>
      </c>
    </row>
    <row r="460" spans="1:3" x14ac:dyDescent="0.35">
      <c r="A460" s="527">
        <v>459</v>
      </c>
      <c r="B460" s="527">
        <v>5.740530788898468E-2</v>
      </c>
      <c r="C460" s="527">
        <v>207.66854858398437</v>
      </c>
    </row>
    <row r="461" spans="1:3" x14ac:dyDescent="0.35">
      <c r="A461" s="527">
        <v>460</v>
      </c>
      <c r="B461" s="527">
        <v>5.574411153793335E-2</v>
      </c>
      <c r="C461" s="527">
        <v>201.65904235839844</v>
      </c>
    </row>
    <row r="462" spans="1:3" x14ac:dyDescent="0.35">
      <c r="A462" s="527">
        <v>461</v>
      </c>
      <c r="B462" s="527">
        <v>5.4082915186882019E-2</v>
      </c>
      <c r="C462" s="527">
        <v>195.64952087402344</v>
      </c>
    </row>
    <row r="463" spans="1:3" x14ac:dyDescent="0.35">
      <c r="A463" s="527">
        <v>462</v>
      </c>
      <c r="B463" s="527">
        <v>5.2504781633615494E-2</v>
      </c>
      <c r="C463" s="527">
        <v>189.94047546386719</v>
      </c>
    </row>
    <row r="464" spans="1:3" x14ac:dyDescent="0.35">
      <c r="A464" s="527">
        <v>463</v>
      </c>
      <c r="B464" s="527">
        <v>5.092664435505867E-2</v>
      </c>
      <c r="C464" s="527">
        <v>184.2314453125</v>
      </c>
    </row>
    <row r="465" spans="1:3" x14ac:dyDescent="0.35">
      <c r="A465" s="527">
        <v>464</v>
      </c>
      <c r="B465" s="527">
        <v>4.9427416175603867E-2</v>
      </c>
      <c r="C465" s="527">
        <v>178.807861328125</v>
      </c>
    </row>
    <row r="466" spans="1:3" x14ac:dyDescent="0.35">
      <c r="A466" s="527">
        <v>465</v>
      </c>
      <c r="B466" s="527">
        <v>4.7928184270858765E-2</v>
      </c>
      <c r="C466" s="527">
        <v>173.38426208496094</v>
      </c>
    </row>
    <row r="467" spans="1:3" x14ac:dyDescent="0.35">
      <c r="A467" s="527">
        <v>466</v>
      </c>
      <c r="B467" s="527">
        <v>4.6503916382789612E-2</v>
      </c>
      <c r="C467" s="527">
        <v>168.23185729980469</v>
      </c>
    </row>
    <row r="468" spans="1:3" x14ac:dyDescent="0.35">
      <c r="A468" s="527">
        <v>467</v>
      </c>
      <c r="B468" s="527">
        <v>4.5079652220010757E-2</v>
      </c>
      <c r="C468" s="527">
        <v>163.07945251464844</v>
      </c>
    </row>
    <row r="469" spans="1:3" x14ac:dyDescent="0.35">
      <c r="A469" s="527">
        <v>468</v>
      </c>
      <c r="B469" s="527">
        <v>4.3726596981287003E-2</v>
      </c>
      <c r="C469" s="527">
        <v>158.18466186523437</v>
      </c>
    </row>
    <row r="470" spans="1:3" x14ac:dyDescent="0.35">
      <c r="A470" s="527">
        <v>469</v>
      </c>
      <c r="B470" s="527">
        <v>4.2373541742563248E-2</v>
      </c>
      <c r="C470" s="527">
        <v>153.28987121582031</v>
      </c>
    </row>
    <row r="471" spans="1:3" x14ac:dyDescent="0.35">
      <c r="A471" s="527">
        <v>470</v>
      </c>
      <c r="B471" s="527">
        <v>4.1020486503839493E-2</v>
      </c>
      <c r="C471" s="527">
        <v>148.39508056640625</v>
      </c>
    </row>
    <row r="472" spans="1:3" x14ac:dyDescent="0.35">
      <c r="A472" s="527">
        <v>471</v>
      </c>
      <c r="B472" s="527">
        <v>3.9735086262226105E-2</v>
      </c>
      <c r="C472" s="527">
        <v>143.74504089355469</v>
      </c>
    </row>
    <row r="473" spans="1:3" x14ac:dyDescent="0.35">
      <c r="A473" s="527">
        <v>472</v>
      </c>
      <c r="B473" s="527">
        <v>3.8513954728841782E-2</v>
      </c>
      <c r="C473" s="527">
        <v>139.32748413085937</v>
      </c>
    </row>
    <row r="474" spans="1:3" x14ac:dyDescent="0.35">
      <c r="A474" s="527">
        <v>473</v>
      </c>
      <c r="B474" s="527">
        <v>3.7353880703449249E-2</v>
      </c>
      <c r="C474" s="527">
        <v>135.13081359863281</v>
      </c>
    </row>
    <row r="475" spans="1:3" x14ac:dyDescent="0.35">
      <c r="A475" s="527">
        <v>474</v>
      </c>
      <c r="B475" s="527">
        <v>3.6251809448003769E-2</v>
      </c>
      <c r="C475" s="527">
        <v>131.14398193359375</v>
      </c>
    </row>
    <row r="476" spans="1:3" x14ac:dyDescent="0.35">
      <c r="A476" s="527">
        <v>475</v>
      </c>
      <c r="B476" s="527">
        <v>3.5204838961362839E-2</v>
      </c>
      <c r="C476" s="527">
        <v>127.35649108886719</v>
      </c>
    </row>
    <row r="477" spans="1:3" x14ac:dyDescent="0.35">
      <c r="A477" s="527">
        <v>476</v>
      </c>
      <c r="B477" s="527">
        <v>3.4210219979286194E-2</v>
      </c>
      <c r="C477" s="527">
        <v>123.75836944580078</v>
      </c>
    </row>
    <row r="478" spans="1:3" x14ac:dyDescent="0.35">
      <c r="A478" s="527">
        <v>477</v>
      </c>
      <c r="B478" s="527">
        <v>3.3265333622694016E-2</v>
      </c>
      <c r="C478" s="527">
        <v>120.34015655517578</v>
      </c>
    </row>
    <row r="479" spans="1:3" x14ac:dyDescent="0.35">
      <c r="A479" s="527">
        <v>478</v>
      </c>
      <c r="B479" s="527">
        <v>3.2320443540811539E-2</v>
      </c>
      <c r="C479" s="527">
        <v>116.92194366455078</v>
      </c>
    </row>
    <row r="480" spans="1:3" x14ac:dyDescent="0.35">
      <c r="A480" s="527">
        <v>479</v>
      </c>
      <c r="B480" s="527">
        <v>3.137555718421936E-2</v>
      </c>
      <c r="C480" s="527">
        <v>113.50373077392578</v>
      </c>
    </row>
    <row r="481" spans="1:3" x14ac:dyDescent="0.35">
      <c r="A481" s="527">
        <v>480</v>
      </c>
      <c r="B481" s="527">
        <v>3.2320443540811539E-2</v>
      </c>
      <c r="C481" s="527">
        <v>116.92194366455078</v>
      </c>
    </row>
    <row r="482" spans="1:3" x14ac:dyDescent="0.35">
      <c r="A482" s="527">
        <v>481</v>
      </c>
      <c r="B482" s="527">
        <v>3.3218089491128922E-2</v>
      </c>
      <c r="C482" s="527">
        <v>120.16924285888672</v>
      </c>
    </row>
    <row r="483" spans="1:3" x14ac:dyDescent="0.35">
      <c r="A483" s="527">
        <v>482</v>
      </c>
      <c r="B483" s="527">
        <v>3.4070849418640137E-2</v>
      </c>
      <c r="C483" s="527">
        <v>123.25418090820312</v>
      </c>
    </row>
    <row r="484" spans="1:3" x14ac:dyDescent="0.35">
      <c r="A484" s="527">
        <v>483</v>
      </c>
      <c r="B484" s="527">
        <v>3.4880973398685455E-2</v>
      </c>
      <c r="C484" s="527">
        <v>126.18487548828125</v>
      </c>
    </row>
    <row r="485" spans="1:3" x14ac:dyDescent="0.35">
      <c r="A485" s="527">
        <v>484</v>
      </c>
      <c r="B485" s="527">
        <v>3.5650592297315598E-2</v>
      </c>
      <c r="C485" s="527">
        <v>128.96902465820313</v>
      </c>
    </row>
    <row r="486" spans="1:3" x14ac:dyDescent="0.35">
      <c r="A486" s="527">
        <v>485</v>
      </c>
      <c r="B486" s="527">
        <v>3.6420207470655441E-2</v>
      </c>
      <c r="C486" s="527">
        <v>131.75318908691406</v>
      </c>
    </row>
    <row r="487" spans="1:3" x14ac:dyDescent="0.35">
      <c r="A487" s="527">
        <v>486</v>
      </c>
      <c r="B487" s="527">
        <v>3.7189826369285583E-2</v>
      </c>
      <c r="C487" s="527">
        <v>134.53733825683594</v>
      </c>
    </row>
    <row r="488" spans="1:3" x14ac:dyDescent="0.35">
      <c r="A488" s="527">
        <v>487</v>
      </c>
      <c r="B488" s="527">
        <v>3.7959445267915726E-2</v>
      </c>
      <c r="C488" s="527">
        <v>137.32150268554688</v>
      </c>
    </row>
    <row r="489" spans="1:3" x14ac:dyDescent="0.35">
      <c r="A489" s="527">
        <v>488</v>
      </c>
      <c r="B489" s="527">
        <v>3.8729060441255569E-2</v>
      </c>
      <c r="C489" s="527">
        <v>140.10565185546875</v>
      </c>
    </row>
    <row r="490" spans="1:3" x14ac:dyDescent="0.35">
      <c r="A490" s="527">
        <v>489</v>
      </c>
      <c r="B490" s="527">
        <v>3.9498679339885712E-2</v>
      </c>
      <c r="C490" s="527">
        <v>142.88981628417969</v>
      </c>
    </row>
    <row r="491" spans="1:3" x14ac:dyDescent="0.35">
      <c r="A491" s="527">
        <v>490</v>
      </c>
      <c r="B491" s="527">
        <v>4.0306776762008667E-2</v>
      </c>
      <c r="C491" s="527">
        <v>145.81317138671875</v>
      </c>
    </row>
    <row r="492" spans="1:3" x14ac:dyDescent="0.35">
      <c r="A492" s="527">
        <v>491</v>
      </c>
      <c r="B492" s="527">
        <v>4.1114874184131622E-2</v>
      </c>
      <c r="C492" s="527">
        <v>148.73654174804687</v>
      </c>
    </row>
    <row r="493" spans="1:3" x14ac:dyDescent="0.35">
      <c r="A493" s="527">
        <v>492</v>
      </c>
      <c r="B493" s="527">
        <v>4.1922971606254578E-2</v>
      </c>
      <c r="C493" s="527">
        <v>151.65989685058594</v>
      </c>
    </row>
    <row r="494" spans="1:3" x14ac:dyDescent="0.35">
      <c r="A494" s="527">
        <v>493</v>
      </c>
      <c r="B494" s="527">
        <v>4.2690668255090714E-2</v>
      </c>
      <c r="C494" s="527">
        <v>154.43710327148437</v>
      </c>
    </row>
    <row r="495" spans="1:3" x14ac:dyDescent="0.35">
      <c r="A495" s="527">
        <v>494</v>
      </c>
      <c r="B495" s="527">
        <v>4.3458361178636551E-2</v>
      </c>
      <c r="C495" s="527">
        <v>157.21429443359375</v>
      </c>
    </row>
    <row r="496" spans="1:3" x14ac:dyDescent="0.35">
      <c r="A496" s="527">
        <v>495</v>
      </c>
      <c r="B496" s="527">
        <v>4.4226054102182388E-2</v>
      </c>
      <c r="C496" s="527">
        <v>159.99148559570312</v>
      </c>
    </row>
    <row r="497" spans="1:3" x14ac:dyDescent="0.35">
      <c r="A497" s="527">
        <v>496</v>
      </c>
      <c r="B497" s="527">
        <v>4.4993747025728226E-2</v>
      </c>
      <c r="C497" s="527">
        <v>162.76869201660156</v>
      </c>
    </row>
    <row r="498" spans="1:3" x14ac:dyDescent="0.35">
      <c r="A498" s="527">
        <v>497</v>
      </c>
      <c r="B498" s="527">
        <v>4.5761439949274063E-2</v>
      </c>
      <c r="C498" s="527">
        <v>165.54588317871094</v>
      </c>
    </row>
    <row r="499" spans="1:3" x14ac:dyDescent="0.35">
      <c r="A499" s="527">
        <v>498</v>
      </c>
      <c r="B499" s="527">
        <v>4.6529132872819901E-2</v>
      </c>
      <c r="C499" s="527">
        <v>168.32307434082031</v>
      </c>
    </row>
    <row r="500" spans="1:3" x14ac:dyDescent="0.35">
      <c r="A500" s="527">
        <v>499</v>
      </c>
      <c r="B500" s="527">
        <v>4.7296825796365738E-2</v>
      </c>
      <c r="C500" s="527">
        <v>171.10026550292969</v>
      </c>
    </row>
    <row r="501" spans="1:3" x14ac:dyDescent="0.35">
      <c r="A501" s="527">
        <v>500</v>
      </c>
      <c r="B501" s="527">
        <v>4.8064518719911575E-2</v>
      </c>
      <c r="C501" s="527">
        <v>173.87747192382812</v>
      </c>
    </row>
    <row r="502" spans="1:3" x14ac:dyDescent="0.35">
      <c r="A502" s="527">
        <v>501</v>
      </c>
      <c r="B502" s="527">
        <v>4.8832215368747711E-2</v>
      </c>
      <c r="C502" s="527">
        <v>176.6546630859375</v>
      </c>
    </row>
    <row r="503" spans="1:3" x14ac:dyDescent="0.35">
      <c r="A503" s="527">
        <v>502</v>
      </c>
      <c r="B503" s="527">
        <v>4.9599908292293549E-2</v>
      </c>
      <c r="C503" s="527">
        <v>179.43185424804687</v>
      </c>
    </row>
    <row r="504" spans="1:3" x14ac:dyDescent="0.35">
      <c r="A504" s="527">
        <v>503</v>
      </c>
      <c r="B504" s="527">
        <v>5.0329215824604034E-2</v>
      </c>
      <c r="C504" s="527">
        <v>182.0701904296875</v>
      </c>
    </row>
    <row r="505" spans="1:3" x14ac:dyDescent="0.35">
      <c r="A505" s="527">
        <v>504</v>
      </c>
      <c r="B505" s="527">
        <v>5.1094990223646164E-2</v>
      </c>
      <c r="C505" s="527">
        <v>184.8404541015625</v>
      </c>
    </row>
    <row r="506" spans="1:3" x14ac:dyDescent="0.35">
      <c r="A506" s="527">
        <v>505</v>
      </c>
      <c r="B506" s="527">
        <v>5.1899053156375885E-2</v>
      </c>
      <c r="C506" s="527">
        <v>187.74920654296875</v>
      </c>
    </row>
    <row r="507" spans="1:3" x14ac:dyDescent="0.35">
      <c r="A507" s="527">
        <v>506</v>
      </c>
      <c r="B507" s="527">
        <v>5.2743319422006607E-2</v>
      </c>
      <c r="C507" s="527">
        <v>190.80342102050781</v>
      </c>
    </row>
    <row r="508" spans="1:3" x14ac:dyDescent="0.35">
      <c r="A508" s="527">
        <v>507</v>
      </c>
      <c r="B508" s="527">
        <v>5.3629796952009201E-2</v>
      </c>
      <c r="C508" s="527">
        <v>194.01033020019531</v>
      </c>
    </row>
    <row r="509" spans="1:3" x14ac:dyDescent="0.35">
      <c r="A509" s="527">
        <v>508</v>
      </c>
      <c r="B509" s="527">
        <v>5.4560601711273193E-2</v>
      </c>
      <c r="C509" s="527">
        <v>197.37759399414062</v>
      </c>
    </row>
    <row r="510" spans="1:3" x14ac:dyDescent="0.35">
      <c r="A510" s="527">
        <v>509</v>
      </c>
      <c r="B510" s="527">
        <v>5.5537942796945572E-2</v>
      </c>
      <c r="C510" s="527">
        <v>200.9132080078125</v>
      </c>
    </row>
    <row r="511" spans="1:3" x14ac:dyDescent="0.35">
      <c r="A511" s="527">
        <v>510</v>
      </c>
      <c r="B511" s="527">
        <v>5.6564155966043472E-2</v>
      </c>
      <c r="C511" s="527">
        <v>204.6256103515625</v>
      </c>
    </row>
    <row r="512" spans="1:3" x14ac:dyDescent="0.35">
      <c r="A512" s="527">
        <v>511</v>
      </c>
      <c r="B512" s="527">
        <v>5.7641677558422089E-2</v>
      </c>
      <c r="C512" s="527">
        <v>208.52363586425781</v>
      </c>
    </row>
    <row r="513" spans="1:3" x14ac:dyDescent="0.35">
      <c r="A513" s="527">
        <v>512</v>
      </c>
      <c r="B513" s="527">
        <v>5.8773074299097061E-2</v>
      </c>
      <c r="C513" s="527">
        <v>212.61656188964844</v>
      </c>
    </row>
    <row r="514" spans="1:3" x14ac:dyDescent="0.35">
      <c r="A514" s="527">
        <v>513</v>
      </c>
      <c r="B514" s="527">
        <v>5.9961039572954178E-2</v>
      </c>
      <c r="C514" s="527">
        <v>216.91413879394531</v>
      </c>
    </row>
    <row r="515" spans="1:3" x14ac:dyDescent="0.35">
      <c r="A515" s="527">
        <v>514</v>
      </c>
      <c r="B515" s="527">
        <v>6.120840460062027E-2</v>
      </c>
      <c r="C515" s="527">
        <v>221.42658996582031</v>
      </c>
    </row>
    <row r="516" spans="1:3" x14ac:dyDescent="0.35">
      <c r="A516" s="527">
        <v>515</v>
      </c>
      <c r="B516" s="527">
        <v>6.251814216375351E-2</v>
      </c>
      <c r="C516" s="527">
        <v>226.16465759277344</v>
      </c>
    </row>
    <row r="517" spans="1:3" x14ac:dyDescent="0.35">
      <c r="A517" s="527">
        <v>516</v>
      </c>
      <c r="B517" s="527">
        <v>6.3893362879753113E-2</v>
      </c>
      <c r="C517" s="527">
        <v>231.13963317871094</v>
      </c>
    </row>
    <row r="518" spans="1:3" x14ac:dyDescent="0.35">
      <c r="A518" s="527">
        <v>517</v>
      </c>
      <c r="B518" s="527">
        <v>6.5337337553501129E-2</v>
      </c>
      <c r="C518" s="527">
        <v>236.36335754394531</v>
      </c>
    </row>
    <row r="519" spans="1:3" x14ac:dyDescent="0.35">
      <c r="A519" s="527">
        <v>518</v>
      </c>
      <c r="B519" s="527">
        <v>6.6853523254394531E-2</v>
      </c>
      <c r="C519" s="527">
        <v>241.8482666015625</v>
      </c>
    </row>
    <row r="520" spans="1:3" x14ac:dyDescent="0.35">
      <c r="A520" s="527">
        <v>519</v>
      </c>
      <c r="B520" s="527">
        <v>6.8445511162281036E-2</v>
      </c>
      <c r="C520" s="527">
        <v>247.607421875</v>
      </c>
    </row>
    <row r="521" spans="1:3" x14ac:dyDescent="0.35">
      <c r="A521" s="527">
        <v>520</v>
      </c>
      <c r="B521" s="527">
        <v>7.0117101073265076E-2</v>
      </c>
      <c r="C521" s="527">
        <v>253.654541015625</v>
      </c>
    </row>
    <row r="522" spans="1:3" x14ac:dyDescent="0.35">
      <c r="A522" s="527">
        <v>521</v>
      </c>
      <c r="B522" s="527">
        <v>7.1872271597385406E-2</v>
      </c>
      <c r="C522" s="527">
        <v>260.00399780273437</v>
      </c>
    </row>
    <row r="523" spans="1:3" x14ac:dyDescent="0.35">
      <c r="A523" s="527">
        <v>522</v>
      </c>
      <c r="B523" s="527">
        <v>7.3715195059776306E-2</v>
      </c>
      <c r="C523" s="527">
        <v>266.67095947265625</v>
      </c>
    </row>
    <row r="524" spans="1:3" x14ac:dyDescent="0.35">
      <c r="A524" s="527">
        <v>523</v>
      </c>
      <c r="B524" s="527">
        <v>7.565026730298996E-2</v>
      </c>
      <c r="C524" s="527">
        <v>273.67123413085937</v>
      </c>
    </row>
    <row r="525" spans="1:3" x14ac:dyDescent="0.35">
      <c r="A525" s="527">
        <v>524</v>
      </c>
      <c r="B525" s="527">
        <v>7.7682092785835266E-2</v>
      </c>
      <c r="C525" s="527">
        <v>281.02154541015625</v>
      </c>
    </row>
    <row r="526" spans="1:3" x14ac:dyDescent="0.35">
      <c r="A526" s="527">
        <v>525</v>
      </c>
      <c r="B526" s="527">
        <v>7.9815514385700226E-2</v>
      </c>
      <c r="C526" s="527">
        <v>288.7393798828125</v>
      </c>
    </row>
    <row r="527" spans="1:3" x14ac:dyDescent="0.35">
      <c r="A527" s="527">
        <v>526</v>
      </c>
      <c r="B527" s="527">
        <v>8.2055598497390747E-2</v>
      </c>
      <c r="C527" s="527">
        <v>296.84307861328125</v>
      </c>
    </row>
    <row r="528" spans="1:3" x14ac:dyDescent="0.35">
      <c r="A528" s="527">
        <v>527</v>
      </c>
      <c r="B528" s="527">
        <v>8.4407694637775421E-2</v>
      </c>
      <c r="C528" s="527">
        <v>305.35198974609375</v>
      </c>
    </row>
    <row r="529" spans="1:3" x14ac:dyDescent="0.35">
      <c r="A529" s="527">
        <v>528</v>
      </c>
      <c r="B529" s="527">
        <v>8.6877390742301941E-2</v>
      </c>
      <c r="C529" s="527">
        <v>314.28631591796875</v>
      </c>
    </row>
    <row r="530" spans="1:3" x14ac:dyDescent="0.35">
      <c r="A530" s="527">
        <v>529</v>
      </c>
      <c r="B530" s="527">
        <v>8.9470580220222473E-2</v>
      </c>
      <c r="C530" s="527">
        <v>323.66738891601562</v>
      </c>
    </row>
    <row r="531" spans="1:3" x14ac:dyDescent="0.35">
      <c r="A531" s="527">
        <v>530</v>
      </c>
      <c r="B531" s="527">
        <v>9.2193417251110077E-2</v>
      </c>
      <c r="C531" s="527">
        <v>333.51748657226562</v>
      </c>
    </row>
    <row r="532" spans="1:3" x14ac:dyDescent="0.35">
      <c r="A532" s="527">
        <v>531</v>
      </c>
      <c r="B532" s="527">
        <v>9.5052406191825867E-2</v>
      </c>
      <c r="C532" s="527">
        <v>343.860107421875</v>
      </c>
    </row>
    <row r="533" spans="1:3" x14ac:dyDescent="0.35">
      <c r="A533" s="527">
        <v>532</v>
      </c>
      <c r="B533" s="527">
        <v>9.805433452129364E-2</v>
      </c>
      <c r="C533" s="527">
        <v>354.7198486328125</v>
      </c>
    </row>
    <row r="534" spans="1:3" x14ac:dyDescent="0.35">
      <c r="A534" s="527">
        <v>533</v>
      </c>
      <c r="B534" s="527">
        <v>9.5052406191825867E-2</v>
      </c>
      <c r="C534" s="527">
        <v>343.860107421875</v>
      </c>
    </row>
    <row r="535" spans="1:3" x14ac:dyDescent="0.35">
      <c r="A535" s="527">
        <v>534</v>
      </c>
      <c r="B535" s="527">
        <v>9.2050470411777496E-2</v>
      </c>
      <c r="C535" s="527">
        <v>333.0003662109375</v>
      </c>
    </row>
    <row r="536" spans="1:3" x14ac:dyDescent="0.35">
      <c r="A536" s="527">
        <v>535</v>
      </c>
      <c r="B536" s="527">
        <v>8.9198634028434753E-2</v>
      </c>
      <c r="C536" s="527">
        <v>322.68359375</v>
      </c>
    </row>
    <row r="537" spans="1:3" x14ac:dyDescent="0.35">
      <c r="A537" s="527">
        <v>536</v>
      </c>
      <c r="B537" s="527">
        <v>8.6489386856555939E-2</v>
      </c>
      <c r="C537" s="527">
        <v>312.88265991210937</v>
      </c>
    </row>
    <row r="538" spans="1:3" x14ac:dyDescent="0.35">
      <c r="A538" s="527">
        <v>537</v>
      </c>
      <c r="B538" s="527">
        <v>8.3915606141090393E-2</v>
      </c>
      <c r="C538" s="527">
        <v>303.57180786132812</v>
      </c>
    </row>
    <row r="539" spans="1:3" x14ac:dyDescent="0.35">
      <c r="A539" s="527">
        <v>538</v>
      </c>
      <c r="B539" s="527">
        <v>8.1341825425624847E-2</v>
      </c>
      <c r="C539" s="527">
        <v>294.26092529296875</v>
      </c>
    </row>
    <row r="540" spans="1:3" x14ac:dyDescent="0.35">
      <c r="A540" s="527">
        <v>539</v>
      </c>
      <c r="B540" s="527">
        <v>7.8639350831508636E-2</v>
      </c>
      <c r="C540" s="527">
        <v>284.4844970703125</v>
      </c>
    </row>
    <row r="541" spans="1:3" x14ac:dyDescent="0.35">
      <c r="A541" s="527">
        <v>540</v>
      </c>
      <c r="B541" s="527">
        <v>7.5801752507686615E-2</v>
      </c>
      <c r="C541" s="527">
        <v>274.21926879882812</v>
      </c>
    </row>
    <row r="542" spans="1:3" x14ac:dyDescent="0.35">
      <c r="A542" s="527">
        <v>541</v>
      </c>
      <c r="B542" s="527">
        <v>7.282228022813797E-2</v>
      </c>
      <c r="C542" s="527">
        <v>263.44076538085937</v>
      </c>
    </row>
    <row r="543" spans="1:3" x14ac:dyDescent="0.35">
      <c r="A543" s="527">
        <v>542</v>
      </c>
      <c r="B543" s="527">
        <v>6.9693833589553833E-2</v>
      </c>
      <c r="C543" s="527">
        <v>252.12332153320312</v>
      </c>
    </row>
    <row r="544" spans="1:3" x14ac:dyDescent="0.35">
      <c r="A544" s="527">
        <v>543</v>
      </c>
      <c r="B544" s="527">
        <v>6.640896201133728E-2</v>
      </c>
      <c r="C544" s="527">
        <v>240.24002075195312</v>
      </c>
    </row>
    <row r="545" spans="1:3" x14ac:dyDescent="0.35">
      <c r="A545" s="527">
        <v>544</v>
      </c>
      <c r="B545" s="527">
        <v>6.2959842383861542E-2</v>
      </c>
      <c r="C545" s="527">
        <v>227.76255798339844</v>
      </c>
    </row>
    <row r="546" spans="1:3" x14ac:dyDescent="0.35">
      <c r="A546" s="527">
        <v>545</v>
      </c>
      <c r="B546" s="527">
        <v>5.9338271617889404E-2</v>
      </c>
      <c r="C546" s="527">
        <v>214.66122436523437</v>
      </c>
    </row>
    <row r="547" spans="1:3" x14ac:dyDescent="0.35">
      <c r="A547" s="527">
        <v>546</v>
      </c>
      <c r="B547" s="527">
        <v>5.5535625666379929E-2</v>
      </c>
      <c r="C547" s="527">
        <v>200.90481567382812</v>
      </c>
    </row>
    <row r="548" spans="1:3" x14ac:dyDescent="0.35">
      <c r="A548" s="527">
        <v>547</v>
      </c>
      <c r="B548" s="527">
        <v>5.1542840898036957E-2</v>
      </c>
      <c r="C548" s="527">
        <v>186.46058654785156</v>
      </c>
    </row>
    <row r="549" spans="1:3" x14ac:dyDescent="0.35">
      <c r="A549" s="527">
        <v>548</v>
      </c>
      <c r="B549" s="527">
        <v>4.7350421547889709E-2</v>
      </c>
      <c r="C549" s="527">
        <v>171.29415893554687</v>
      </c>
    </row>
    <row r="550" spans="1:3" x14ac:dyDescent="0.35">
      <c r="A550" s="527">
        <v>549</v>
      </c>
      <c r="B550" s="527">
        <v>4.294838011264801E-2</v>
      </c>
      <c r="C550" s="527">
        <v>155.36940002441406</v>
      </c>
    </row>
    <row r="551" spans="1:3" x14ac:dyDescent="0.35">
      <c r="A551" s="527">
        <v>550</v>
      </c>
      <c r="B551" s="527">
        <v>3.8326237350702286E-2</v>
      </c>
      <c r="C551" s="527">
        <v>138.64839172363281</v>
      </c>
    </row>
    <row r="552" spans="1:3" x14ac:dyDescent="0.35">
      <c r="A552" s="527">
        <v>551</v>
      </c>
      <c r="B552" s="527">
        <v>3.3472985029220581E-2</v>
      </c>
      <c r="C552" s="527">
        <v>121.09135437011719</v>
      </c>
    </row>
    <row r="553" spans="1:3" x14ac:dyDescent="0.35">
      <c r="A553" s="527">
        <v>552</v>
      </c>
      <c r="B553" s="527">
        <v>2.8377071022987366E-2</v>
      </c>
      <c r="C553" s="527">
        <v>102.65645599365234</v>
      </c>
    </row>
    <row r="554" spans="1:3" x14ac:dyDescent="0.35">
      <c r="A554" s="527">
        <v>553</v>
      </c>
      <c r="B554" s="527">
        <v>2.30263601988554E-2</v>
      </c>
      <c r="C554" s="527">
        <v>83.299812316894531</v>
      </c>
    </row>
    <row r="555" spans="1:3" x14ac:dyDescent="0.35">
      <c r="A555" s="527">
        <v>554</v>
      </c>
      <c r="B555" s="527">
        <v>1.7408115789294243E-2</v>
      </c>
      <c r="C555" s="527">
        <v>62.975334167480469</v>
      </c>
    </row>
    <row r="556" spans="1:3" x14ac:dyDescent="0.35">
      <c r="A556" s="527">
        <v>555</v>
      </c>
      <c r="B556" s="527">
        <v>1.1508959345519543E-2</v>
      </c>
      <c r="C556" s="527">
        <v>41.634632110595703</v>
      </c>
    </row>
    <row r="557" spans="1:3" x14ac:dyDescent="0.35">
      <c r="A557" s="527">
        <v>556</v>
      </c>
      <c r="B557" s="527">
        <v>5.3148441947996616E-3</v>
      </c>
      <c r="C557" s="527">
        <v>19.226898193359375</v>
      </c>
    </row>
    <row r="558" spans="1:3" x14ac:dyDescent="0.35">
      <c r="A558" s="527">
        <v>557</v>
      </c>
      <c r="B558" s="527">
        <v>-1.1889768065884709E-3</v>
      </c>
      <c r="C558" s="527">
        <v>-4.3012242317199707</v>
      </c>
    </row>
    <row r="559" spans="1:3" x14ac:dyDescent="0.35">
      <c r="A559" s="527">
        <v>558</v>
      </c>
      <c r="B559" s="527">
        <v>-8.0179888755083084E-3</v>
      </c>
      <c r="C559" s="527">
        <v>-29.005752563476563</v>
      </c>
    </row>
    <row r="560" spans="1:3" x14ac:dyDescent="0.35">
      <c r="A560" s="527">
        <v>559</v>
      </c>
      <c r="B560" s="527">
        <v>-1.5188450925052166E-2</v>
      </c>
      <c r="C560" s="527">
        <v>-54.945507049560547</v>
      </c>
    </row>
    <row r="561" spans="1:3" x14ac:dyDescent="0.35">
      <c r="A561" s="527">
        <v>560</v>
      </c>
      <c r="B561" s="527">
        <v>-2.2717436775565147E-2</v>
      </c>
      <c r="C561" s="527">
        <v>-82.1822509765625</v>
      </c>
    </row>
    <row r="562" spans="1:3" x14ac:dyDescent="0.35">
      <c r="A562" s="527">
        <v>561</v>
      </c>
      <c r="B562" s="527">
        <v>-3.0622871592640877E-2</v>
      </c>
      <c r="C562" s="527">
        <v>-110.78083038330078</v>
      </c>
    </row>
    <row r="563" spans="1:3" x14ac:dyDescent="0.35">
      <c r="A563" s="527">
        <v>562</v>
      </c>
      <c r="B563" s="527">
        <v>-3.8923576474189758E-2</v>
      </c>
      <c r="C563" s="527">
        <v>-140.80934143066406</v>
      </c>
    </row>
    <row r="564" spans="1:3" x14ac:dyDescent="0.35">
      <c r="A564" s="527">
        <v>563</v>
      </c>
      <c r="B564" s="527">
        <v>-4.7639321535825729E-2</v>
      </c>
      <c r="C564" s="527">
        <v>-172.33926391601562</v>
      </c>
    </row>
    <row r="565" spans="1:3" x14ac:dyDescent="0.35">
      <c r="A565" s="527">
        <v>564</v>
      </c>
      <c r="B565" s="527">
        <v>-3.8923576474189758E-2</v>
      </c>
      <c r="C565" s="527">
        <v>-140.80934143066406</v>
      </c>
    </row>
    <row r="566" spans="1:3" x14ac:dyDescent="0.35">
      <c r="A566" s="527">
        <v>565</v>
      </c>
      <c r="B566" s="527">
        <v>-3.0643623322248459E-2</v>
      </c>
      <c r="C566" s="527">
        <v>-110.85589599609375</v>
      </c>
    </row>
    <row r="567" spans="1:3" x14ac:dyDescent="0.35">
      <c r="A567" s="527">
        <v>566</v>
      </c>
      <c r="B567" s="527">
        <v>-2.277766540646553E-2</v>
      </c>
      <c r="C567" s="527">
        <v>-82.400131225585938</v>
      </c>
    </row>
    <row r="568" spans="1:3" x14ac:dyDescent="0.35">
      <c r="A568" s="527">
        <v>567</v>
      </c>
      <c r="B568" s="527">
        <v>-1.5305006876587868E-2</v>
      </c>
      <c r="C568" s="527">
        <v>-55.367156982421875</v>
      </c>
    </row>
    <row r="569" spans="1:3" x14ac:dyDescent="0.35">
      <c r="A569" s="527">
        <v>568</v>
      </c>
      <c r="B569" s="527">
        <v>-8.2059809938073158E-3</v>
      </c>
      <c r="C569" s="527">
        <v>-29.685829162597656</v>
      </c>
    </row>
    <row r="570" spans="1:3" x14ac:dyDescent="0.35">
      <c r="A570" s="527">
        <v>569</v>
      </c>
      <c r="B570" s="527">
        <v>-1.106954412534833E-3</v>
      </c>
      <c r="C570" s="527">
        <v>-4.0045013427734375</v>
      </c>
    </row>
    <row r="571" spans="1:3" x14ac:dyDescent="0.35">
      <c r="A571" s="527">
        <v>570</v>
      </c>
      <c r="B571" s="527">
        <v>5.6371204555034637E-3</v>
      </c>
      <c r="C571" s="527">
        <v>20.392759323120117</v>
      </c>
    </row>
    <row r="572" spans="1:3" x14ac:dyDescent="0.35">
      <c r="A572" s="527">
        <v>571</v>
      </c>
      <c r="B572" s="527">
        <v>1.2043992057442665E-2</v>
      </c>
      <c r="C572" s="527">
        <v>43.570159912109375</v>
      </c>
    </row>
    <row r="573" spans="1:3" x14ac:dyDescent="0.35">
      <c r="A573" s="527">
        <v>572</v>
      </c>
      <c r="B573" s="527">
        <v>1.813051849603653E-2</v>
      </c>
      <c r="C573" s="527">
        <v>65.58868408203125</v>
      </c>
    </row>
    <row r="574" spans="1:3" x14ac:dyDescent="0.35">
      <c r="A574" s="527">
        <v>573</v>
      </c>
      <c r="B574" s="527">
        <v>2.3912720382213593E-2</v>
      </c>
      <c r="C574" s="527">
        <v>86.50628662109375</v>
      </c>
    </row>
    <row r="575" spans="1:3" x14ac:dyDescent="0.35">
      <c r="A575" s="527">
        <v>574</v>
      </c>
      <c r="B575" s="527">
        <v>2.9405811801552773E-2</v>
      </c>
      <c r="C575" s="527">
        <v>106.37801361083984</v>
      </c>
    </row>
    <row r="576" spans="1:3" x14ac:dyDescent="0.35">
      <c r="A576" s="527">
        <v>575</v>
      </c>
      <c r="B576" s="527">
        <v>3.4624248743057251E-2</v>
      </c>
      <c r="C576" s="527">
        <v>125.25614929199219</v>
      </c>
    </row>
    <row r="577" spans="1:3" x14ac:dyDescent="0.35">
      <c r="A577" s="527">
        <v>576</v>
      </c>
      <c r="B577" s="527">
        <v>3.984268382191658E-2</v>
      </c>
      <c r="C577" s="527">
        <v>144.13427734375</v>
      </c>
    </row>
    <row r="578" spans="1:3" x14ac:dyDescent="0.35">
      <c r="A578" s="527">
        <v>577</v>
      </c>
      <c r="B578" s="527">
        <v>4.5061122626066208E-2</v>
      </c>
      <c r="C578" s="527">
        <v>163.01242065429687</v>
      </c>
    </row>
    <row r="579" spans="1:3" x14ac:dyDescent="0.35">
      <c r="A579" s="527">
        <v>578</v>
      </c>
      <c r="B579" s="527">
        <v>5.0279557704925537E-2</v>
      </c>
      <c r="C579" s="527">
        <v>181.89054870605469</v>
      </c>
    </row>
    <row r="580" spans="1:3" x14ac:dyDescent="0.35">
      <c r="A580" s="527">
        <v>579</v>
      </c>
      <c r="B580" s="527">
        <v>5.5497996509075165E-2</v>
      </c>
      <c r="C580" s="527">
        <v>200.76869201660156</v>
      </c>
    </row>
    <row r="581" spans="1:3" x14ac:dyDescent="0.35">
      <c r="A581" s="527">
        <v>580</v>
      </c>
      <c r="B581" s="527">
        <v>6.0455508530139923E-2</v>
      </c>
      <c r="C581" s="527">
        <v>218.70291137695312</v>
      </c>
    </row>
    <row r="582" spans="1:3" x14ac:dyDescent="0.35">
      <c r="A582" s="527">
        <v>581</v>
      </c>
      <c r="B582" s="527">
        <v>6.5165147185325623E-2</v>
      </c>
      <c r="C582" s="527">
        <v>235.74043273925781</v>
      </c>
    </row>
    <row r="583" spans="1:3" x14ac:dyDescent="0.35">
      <c r="A583" s="527">
        <v>582</v>
      </c>
      <c r="B583" s="527">
        <v>6.9874785840511322E-2</v>
      </c>
      <c r="C583" s="527">
        <v>252.7779541015625</v>
      </c>
    </row>
    <row r="584" spans="1:3" x14ac:dyDescent="0.35">
      <c r="A584" s="527">
        <v>583</v>
      </c>
      <c r="B584" s="527">
        <v>7.4348941445350647E-2</v>
      </c>
      <c r="C584" s="527">
        <v>268.96359252929687</v>
      </c>
    </row>
    <row r="585" spans="1:3" x14ac:dyDescent="0.35">
      <c r="A585" s="527">
        <v>584</v>
      </c>
      <c r="B585" s="527">
        <v>7.8599393367767334E-2</v>
      </c>
      <c r="C585" s="527">
        <v>284.3399658203125</v>
      </c>
    </row>
    <row r="586" spans="1:3" x14ac:dyDescent="0.35">
      <c r="A586" s="527">
        <v>585</v>
      </c>
      <c r="B586" s="527">
        <v>8.2637317478656769E-2</v>
      </c>
      <c r="C586" s="527">
        <v>298.947509765625</v>
      </c>
    </row>
    <row r="587" spans="1:3" x14ac:dyDescent="0.35">
      <c r="A587" s="527">
        <v>586</v>
      </c>
      <c r="B587" s="527">
        <v>8.6473353207111359E-2</v>
      </c>
      <c r="C587" s="527">
        <v>312.82467651367187</v>
      </c>
    </row>
    <row r="588" spans="1:3" x14ac:dyDescent="0.35">
      <c r="A588" s="527">
        <v>587</v>
      </c>
      <c r="B588" s="527">
        <v>9.0117581188678741E-2</v>
      </c>
      <c r="C588" s="527">
        <v>326.00796508789063</v>
      </c>
    </row>
    <row r="589" spans="1:3" x14ac:dyDescent="0.35">
      <c r="A589" s="527">
        <v>588</v>
      </c>
      <c r="B589" s="527">
        <v>9.3579597771167755E-2</v>
      </c>
      <c r="C589" s="527">
        <v>338.5321044921875</v>
      </c>
    </row>
    <row r="590" spans="1:3" x14ac:dyDescent="0.35">
      <c r="A590" s="527">
        <v>589</v>
      </c>
      <c r="B590" s="527">
        <v>9.6868515014648438E-2</v>
      </c>
      <c r="C590" s="527">
        <v>350.4300537109375</v>
      </c>
    </row>
    <row r="591" spans="1:3" x14ac:dyDescent="0.35">
      <c r="A591" s="527">
        <v>590</v>
      </c>
      <c r="B591" s="527">
        <v>9.9992983043193817E-2</v>
      </c>
      <c r="C591" s="527">
        <v>361.73309326171875</v>
      </c>
    </row>
    <row r="592" spans="1:3" x14ac:dyDescent="0.35">
      <c r="A592" s="527">
        <v>591</v>
      </c>
      <c r="B592" s="527">
        <v>0.10296123474836349</v>
      </c>
      <c r="C592" s="527">
        <v>372.47097778320312</v>
      </c>
    </row>
    <row r="593" spans="1:3" x14ac:dyDescent="0.35">
      <c r="A593" s="527">
        <v>592</v>
      </c>
      <c r="B593" s="527">
        <v>0.10578106343746185</v>
      </c>
      <c r="C593" s="527">
        <v>382.67196655273437</v>
      </c>
    </row>
    <row r="594" spans="1:3" x14ac:dyDescent="0.35">
      <c r="A594" s="527">
        <v>593</v>
      </c>
      <c r="B594" s="527">
        <v>0.10845991224050522</v>
      </c>
      <c r="C594" s="527">
        <v>392.36288452148437</v>
      </c>
    </row>
    <row r="595" spans="1:3" x14ac:dyDescent="0.35">
      <c r="A595" s="527">
        <v>594</v>
      </c>
      <c r="B595" s="527">
        <v>0.11100481450557709</v>
      </c>
      <c r="C595" s="527">
        <v>401.56930541992187</v>
      </c>
    </row>
    <row r="596" spans="1:3" x14ac:dyDescent="0.35">
      <c r="A596" s="527">
        <v>595</v>
      </c>
      <c r="B596" s="527">
        <v>0.10858715325593948</v>
      </c>
      <c r="C596" s="527">
        <v>392.82321166992187</v>
      </c>
    </row>
    <row r="597" spans="1:3" x14ac:dyDescent="0.35">
      <c r="A597" s="527">
        <v>596</v>
      </c>
      <c r="B597" s="527">
        <v>0.10629038512706757</v>
      </c>
      <c r="C597" s="527">
        <v>384.51443481445312</v>
      </c>
    </row>
    <row r="598" spans="1:3" x14ac:dyDescent="0.35">
      <c r="A598" s="527">
        <v>597</v>
      </c>
      <c r="B598" s="527">
        <v>0.10410844534635544</v>
      </c>
      <c r="C598" s="527">
        <v>376.62112426757812</v>
      </c>
    </row>
    <row r="599" spans="1:3" x14ac:dyDescent="0.35">
      <c r="A599" s="527">
        <v>598</v>
      </c>
      <c r="B599" s="527">
        <v>0.10203561186790466</v>
      </c>
      <c r="C599" s="527">
        <v>369.1224365234375</v>
      </c>
    </row>
    <row r="600" spans="1:3" x14ac:dyDescent="0.35">
      <c r="A600" s="527">
        <v>599</v>
      </c>
      <c r="B600" s="527">
        <v>0.1000664159655571</v>
      </c>
      <c r="C600" s="527">
        <v>361.99871826171875</v>
      </c>
    </row>
    <row r="601" spans="1:3" x14ac:dyDescent="0.35">
      <c r="A601" s="527">
        <v>600</v>
      </c>
      <c r="B601" s="527">
        <v>9.8195679485797882E-2</v>
      </c>
      <c r="C601" s="527">
        <v>355.23117065429687</v>
      </c>
    </row>
    <row r="602" spans="1:3" x14ac:dyDescent="0.35">
      <c r="A602" s="527">
        <v>601</v>
      </c>
      <c r="B602" s="527">
        <v>9.6418477594852448E-2</v>
      </c>
      <c r="C602" s="527">
        <v>348.802001953125</v>
      </c>
    </row>
    <row r="603" spans="1:3" x14ac:dyDescent="0.35">
      <c r="A603" s="527">
        <v>602</v>
      </c>
      <c r="B603" s="527">
        <v>9.4730138778686523E-2</v>
      </c>
      <c r="C603" s="527">
        <v>342.69430541992187</v>
      </c>
    </row>
    <row r="604" spans="1:3" x14ac:dyDescent="0.35">
      <c r="A604" s="527">
        <v>603</v>
      </c>
      <c r="B604" s="527">
        <v>9.3126215040683746E-2</v>
      </c>
      <c r="C604" s="527">
        <v>336.8919677734375</v>
      </c>
    </row>
    <row r="605" spans="1:3" x14ac:dyDescent="0.35">
      <c r="A605" s="527">
        <v>604</v>
      </c>
      <c r="B605" s="527">
        <v>9.1602489352226257E-2</v>
      </c>
      <c r="C605" s="527">
        <v>331.3797607421875</v>
      </c>
    </row>
    <row r="606" spans="1:3" x14ac:dyDescent="0.35">
      <c r="A606" s="527">
        <v>605</v>
      </c>
      <c r="B606" s="527">
        <v>9.0154953300952911E-2</v>
      </c>
      <c r="C606" s="527">
        <v>326.14315795898437</v>
      </c>
    </row>
    <row r="607" spans="1:3" x14ac:dyDescent="0.35">
      <c r="A607" s="527">
        <v>606</v>
      </c>
      <c r="B607" s="527">
        <v>8.8779784739017487E-2</v>
      </c>
      <c r="C607" s="527">
        <v>321.16839599609375</v>
      </c>
    </row>
    <row r="608" spans="1:3" x14ac:dyDescent="0.35">
      <c r="A608" s="527">
        <v>607</v>
      </c>
      <c r="B608" s="527">
        <v>8.7473385035991669E-2</v>
      </c>
      <c r="C608" s="527">
        <v>316.44235229492187</v>
      </c>
    </row>
    <row r="609" spans="1:3" x14ac:dyDescent="0.35">
      <c r="A609" s="527">
        <v>608</v>
      </c>
      <c r="B609" s="527">
        <v>8.6232297122478485E-2</v>
      </c>
      <c r="C609" s="527">
        <v>311.95263671875</v>
      </c>
    </row>
    <row r="610" spans="1:3" x14ac:dyDescent="0.35">
      <c r="A610" s="527">
        <v>609</v>
      </c>
      <c r="B610" s="527">
        <v>8.505326509475708E-2</v>
      </c>
      <c r="C610" s="527">
        <v>307.6873779296875</v>
      </c>
    </row>
    <row r="611" spans="1:3" x14ac:dyDescent="0.35">
      <c r="A611" s="527">
        <v>610</v>
      </c>
      <c r="B611" s="527">
        <v>8.3933189511299133E-2</v>
      </c>
      <c r="C611" s="527">
        <v>303.63540649414062</v>
      </c>
    </row>
    <row r="612" spans="1:3" x14ac:dyDescent="0.35">
      <c r="A612" s="527">
        <v>611</v>
      </c>
      <c r="B612" s="527">
        <v>8.2869112491607666E-2</v>
      </c>
      <c r="C612" s="527">
        <v>299.78604125976562</v>
      </c>
    </row>
    <row r="613" spans="1:3" x14ac:dyDescent="0.35">
      <c r="A613" s="527">
        <v>612</v>
      </c>
      <c r="B613" s="527">
        <v>8.1858240067958832E-2</v>
      </c>
      <c r="C613" s="527">
        <v>296.12911987304687</v>
      </c>
    </row>
    <row r="614" spans="1:3" x14ac:dyDescent="0.35">
      <c r="A614" s="527">
        <v>613</v>
      </c>
      <c r="B614" s="527">
        <v>8.0897919833660126E-2</v>
      </c>
      <c r="C614" s="527">
        <v>292.65505981445312</v>
      </c>
    </row>
    <row r="615" spans="1:3" x14ac:dyDescent="0.35">
      <c r="A615" s="527">
        <v>614</v>
      </c>
      <c r="B615" s="527">
        <v>7.99856036901474E-2</v>
      </c>
      <c r="C615" s="527">
        <v>289.35470581054687</v>
      </c>
    </row>
    <row r="616" spans="1:3" x14ac:dyDescent="0.35">
      <c r="A616" s="527">
        <v>615</v>
      </c>
      <c r="B616" s="527">
        <v>7.9118907451629639E-2</v>
      </c>
      <c r="C616" s="527">
        <v>286.2193603515625</v>
      </c>
    </row>
    <row r="617" spans="1:3" x14ac:dyDescent="0.35">
      <c r="A617" s="527">
        <v>616</v>
      </c>
      <c r="B617" s="527">
        <v>7.99856036901474E-2</v>
      </c>
      <c r="C617" s="527">
        <v>289.35470581054687</v>
      </c>
    </row>
    <row r="618" spans="1:3" x14ac:dyDescent="0.35">
      <c r="A618" s="527">
        <v>617</v>
      </c>
      <c r="B618" s="527">
        <v>8.0852299928665161E-2</v>
      </c>
      <c r="C618" s="527">
        <v>292.49002075195312</v>
      </c>
    </row>
    <row r="619" spans="1:3" x14ac:dyDescent="0.35">
      <c r="A619" s="527">
        <v>618</v>
      </c>
      <c r="B619" s="527">
        <v>8.1762328743934631E-2</v>
      </c>
      <c r="C619" s="527">
        <v>295.78213500976562</v>
      </c>
    </row>
    <row r="620" spans="1:3" x14ac:dyDescent="0.35">
      <c r="A620" s="527">
        <v>619</v>
      </c>
      <c r="B620" s="527">
        <v>8.2717865705490112E-2</v>
      </c>
      <c r="C620" s="527">
        <v>299.23886108398437</v>
      </c>
    </row>
    <row r="621" spans="1:3" x14ac:dyDescent="0.35">
      <c r="A621" s="527">
        <v>620</v>
      </c>
      <c r="B621" s="527">
        <v>8.3721168339252472E-2</v>
      </c>
      <c r="C621" s="527">
        <v>302.868408203125</v>
      </c>
    </row>
    <row r="622" spans="1:3" x14ac:dyDescent="0.35">
      <c r="A622" s="527">
        <v>621</v>
      </c>
      <c r="B622" s="527">
        <v>8.4774643182754517E-2</v>
      </c>
      <c r="C622" s="527">
        <v>306.679443359375</v>
      </c>
    </row>
    <row r="623" spans="1:3" x14ac:dyDescent="0.35">
      <c r="A623" s="527">
        <v>622</v>
      </c>
      <c r="B623" s="527">
        <v>8.5880793631076813E-2</v>
      </c>
      <c r="C623" s="527">
        <v>310.6810302734375</v>
      </c>
    </row>
    <row r="624" spans="1:3" x14ac:dyDescent="0.35">
      <c r="A624" s="527">
        <v>623</v>
      </c>
      <c r="B624" s="527">
        <v>8.7042249739170074E-2</v>
      </c>
      <c r="C624" s="527">
        <v>314.8826904296875</v>
      </c>
    </row>
    <row r="625" spans="1:3" x14ac:dyDescent="0.35">
      <c r="A625" s="527">
        <v>624</v>
      </c>
      <c r="B625" s="527">
        <v>8.826177567243576E-2</v>
      </c>
      <c r="C625" s="527">
        <v>319.29443359375</v>
      </c>
    </row>
    <row r="626" spans="1:3" x14ac:dyDescent="0.35">
      <c r="A626" s="527">
        <v>625</v>
      </c>
      <c r="B626" s="527">
        <v>8.9542277157306671E-2</v>
      </c>
      <c r="C626" s="527">
        <v>323.9267578125</v>
      </c>
    </row>
    <row r="627" spans="1:3" x14ac:dyDescent="0.35">
      <c r="A627" s="527">
        <v>626</v>
      </c>
      <c r="B627" s="527">
        <v>9.0886808931827545E-2</v>
      </c>
      <c r="C627" s="527">
        <v>328.79071044921875</v>
      </c>
    </row>
    <row r="628" spans="1:3" x14ac:dyDescent="0.35">
      <c r="A628" s="527">
        <v>627</v>
      </c>
      <c r="B628" s="527">
        <v>9.2298567295074463E-2</v>
      </c>
      <c r="C628" s="527">
        <v>333.89785766601562</v>
      </c>
    </row>
    <row r="629" spans="1:3" x14ac:dyDescent="0.35">
      <c r="A629" s="527">
        <v>628</v>
      </c>
      <c r="B629" s="527">
        <v>9.378090500831604E-2</v>
      </c>
      <c r="C629" s="527">
        <v>339.2603759765625</v>
      </c>
    </row>
    <row r="630" spans="1:3" x14ac:dyDescent="0.35">
      <c r="A630" s="527">
        <v>629</v>
      </c>
      <c r="B630" s="527">
        <v>9.5337368547916412E-2</v>
      </c>
      <c r="C630" s="527">
        <v>344.8909912109375</v>
      </c>
    </row>
    <row r="631" spans="1:3" x14ac:dyDescent="0.35">
      <c r="A631" s="527">
        <v>630</v>
      </c>
      <c r="B631" s="527">
        <v>9.6971653401851654E-2</v>
      </c>
      <c r="C631" s="527">
        <v>350.80316162109375</v>
      </c>
    </row>
    <row r="632" spans="1:3" x14ac:dyDescent="0.35">
      <c r="A632" s="527">
        <v>631</v>
      </c>
      <c r="B632" s="527">
        <v>9.8687648773193359E-2</v>
      </c>
      <c r="C632" s="527">
        <v>357.01092529296875</v>
      </c>
    </row>
    <row r="633" spans="1:3" x14ac:dyDescent="0.35">
      <c r="A633" s="527">
        <v>632</v>
      </c>
      <c r="B633" s="527">
        <v>0.10048945248126984</v>
      </c>
      <c r="C633" s="527">
        <v>363.52908325195312</v>
      </c>
    </row>
    <row r="634" spans="1:3" x14ac:dyDescent="0.35">
      <c r="A634" s="527">
        <v>633</v>
      </c>
      <c r="B634" s="527">
        <v>0.10238133370876312</v>
      </c>
      <c r="C634" s="527">
        <v>370.37313842773437</v>
      </c>
    </row>
    <row r="635" spans="1:3" x14ac:dyDescent="0.35">
      <c r="A635" s="527">
        <v>634</v>
      </c>
      <c r="B635" s="527">
        <v>0.10436782240867615</v>
      </c>
      <c r="C635" s="527">
        <v>377.55941772460937</v>
      </c>
    </row>
    <row r="636" spans="1:3" x14ac:dyDescent="0.35">
      <c r="A636" s="527">
        <v>635</v>
      </c>
      <c r="B636" s="527">
        <v>0.10645362734794617</v>
      </c>
      <c r="C636" s="527">
        <v>385.10498046875</v>
      </c>
    </row>
    <row r="637" spans="1:3" x14ac:dyDescent="0.35">
      <c r="A637" s="527">
        <v>636</v>
      </c>
      <c r="B637" s="527">
        <v>0.10864372551441193</v>
      </c>
      <c r="C637" s="527">
        <v>393.02786254882812</v>
      </c>
    </row>
    <row r="638" spans="1:3" x14ac:dyDescent="0.35">
      <c r="A638" s="527">
        <v>637</v>
      </c>
      <c r="B638" s="527">
        <v>0.10634411871433258</v>
      </c>
      <c r="C638" s="527">
        <v>384.7088623046875</v>
      </c>
    </row>
    <row r="639" spans="1:3" x14ac:dyDescent="0.35">
      <c r="A639" s="527">
        <v>638</v>
      </c>
      <c r="B639" s="527">
        <v>0.1039295420050621</v>
      </c>
      <c r="C639" s="527">
        <v>375.97390747070312</v>
      </c>
    </row>
    <row r="640" spans="1:3" x14ac:dyDescent="0.35">
      <c r="A640" s="527">
        <v>639</v>
      </c>
      <c r="B640" s="527">
        <v>0.10139422863721848</v>
      </c>
      <c r="C640" s="527">
        <v>366.80218505859375</v>
      </c>
    </row>
    <row r="641" spans="1:3" x14ac:dyDescent="0.35">
      <c r="A641" s="527">
        <v>640</v>
      </c>
      <c r="B641" s="527">
        <v>9.8732151091098785E-2</v>
      </c>
      <c r="C641" s="527">
        <v>357.17190551757812</v>
      </c>
    </row>
    <row r="642" spans="1:3" x14ac:dyDescent="0.35">
      <c r="A642" s="527">
        <v>641</v>
      </c>
      <c r="B642" s="527">
        <v>9.5936968922615051E-2</v>
      </c>
      <c r="C642" s="527">
        <v>347.06011962890625</v>
      </c>
    </row>
    <row r="643" spans="1:3" x14ac:dyDescent="0.35">
      <c r="A643" s="527">
        <v>642</v>
      </c>
      <c r="B643" s="527">
        <v>9.3002036213874817E-2</v>
      </c>
      <c r="C643" s="527">
        <v>336.44271850585937</v>
      </c>
    </row>
    <row r="644" spans="1:3" x14ac:dyDescent="0.35">
      <c r="A644" s="527">
        <v>643</v>
      </c>
      <c r="B644" s="527">
        <v>8.9920349419116974E-2</v>
      </c>
      <c r="C644" s="527">
        <v>325.29446411132812</v>
      </c>
    </row>
    <row r="645" spans="1:3" x14ac:dyDescent="0.35">
      <c r="A645" s="527">
        <v>644</v>
      </c>
      <c r="B645" s="527">
        <v>8.6684577167034149E-2</v>
      </c>
      <c r="C645" s="527">
        <v>313.58877563476562</v>
      </c>
    </row>
    <row r="646" spans="1:3" x14ac:dyDescent="0.35">
      <c r="A646" s="527">
        <v>645</v>
      </c>
      <c r="B646" s="527">
        <v>8.3287015557289124E-2</v>
      </c>
      <c r="C646" s="527">
        <v>301.29782104492187</v>
      </c>
    </row>
    <row r="647" spans="1:3" x14ac:dyDescent="0.35">
      <c r="A647" s="527">
        <v>646</v>
      </c>
      <c r="B647" s="527">
        <v>7.9719580709934235E-2</v>
      </c>
      <c r="C647" s="527">
        <v>288.392333984375</v>
      </c>
    </row>
    <row r="648" spans="1:3" x14ac:dyDescent="0.35">
      <c r="A648" s="527">
        <v>647</v>
      </c>
      <c r="B648" s="527">
        <v>7.5973771512508392E-2</v>
      </c>
      <c r="C648" s="527">
        <v>274.841552734375</v>
      </c>
    </row>
    <row r="649" spans="1:3" x14ac:dyDescent="0.35">
      <c r="A649" s="527">
        <v>648</v>
      </c>
      <c r="B649" s="527">
        <v>7.2040677070617676E-2</v>
      </c>
      <c r="C649" s="527">
        <v>260.61322021484375</v>
      </c>
    </row>
    <row r="650" spans="1:3" x14ac:dyDescent="0.35">
      <c r="A650" s="527">
        <v>649</v>
      </c>
      <c r="B650" s="527">
        <v>6.7910917103290558E-2</v>
      </c>
      <c r="C650" s="527">
        <v>245.67349243164062</v>
      </c>
    </row>
    <row r="651" spans="1:3" x14ac:dyDescent="0.35">
      <c r="A651" s="527">
        <v>650</v>
      </c>
      <c r="B651" s="527">
        <v>6.357467919588089E-2</v>
      </c>
      <c r="C651" s="527">
        <v>229.98678588867187</v>
      </c>
    </row>
    <row r="652" spans="1:3" x14ac:dyDescent="0.35">
      <c r="A652" s="527">
        <v>651</v>
      </c>
      <c r="B652" s="527">
        <v>5.902162566781044E-2</v>
      </c>
      <c r="C652" s="527">
        <v>213.51571655273437</v>
      </c>
    </row>
    <row r="653" spans="1:3" x14ac:dyDescent="0.35">
      <c r="A653" s="527">
        <v>652</v>
      </c>
      <c r="B653" s="527">
        <v>5.4240919649600983E-2</v>
      </c>
      <c r="C653" s="527">
        <v>196.22111511230469</v>
      </c>
    </row>
    <row r="654" spans="1:3" x14ac:dyDescent="0.35">
      <c r="A654" s="527">
        <v>653</v>
      </c>
      <c r="B654" s="527">
        <v>4.9221176654100418E-2</v>
      </c>
      <c r="C654" s="527">
        <v>178.061767578125</v>
      </c>
    </row>
    <row r="655" spans="1:3" x14ac:dyDescent="0.35">
      <c r="A655" s="527">
        <v>654</v>
      </c>
      <c r="B655" s="527">
        <v>4.3950449675321579E-2</v>
      </c>
      <c r="C655" s="527">
        <v>158.99446105957031</v>
      </c>
    </row>
    <row r="656" spans="1:3" x14ac:dyDescent="0.35">
      <c r="A656" s="527">
        <v>655</v>
      </c>
      <c r="B656" s="527">
        <v>3.8679718971252441E-2</v>
      </c>
      <c r="C656" s="527">
        <v>139.92715454101562</v>
      </c>
    </row>
    <row r="657" spans="1:3" x14ac:dyDescent="0.35">
      <c r="A657" s="527">
        <v>656</v>
      </c>
      <c r="B657" s="527">
        <v>3.3408991992473602E-2</v>
      </c>
      <c r="C657" s="527">
        <v>120.85985565185547</v>
      </c>
    </row>
    <row r="658" spans="1:3" x14ac:dyDescent="0.35">
      <c r="A658" s="527">
        <v>657</v>
      </c>
      <c r="B658" s="527">
        <v>2.7874726802110672E-2</v>
      </c>
      <c r="C658" s="527">
        <v>100.83917999267578</v>
      </c>
    </row>
    <row r="659" spans="1:3" x14ac:dyDescent="0.35">
      <c r="A659" s="527">
        <v>658</v>
      </c>
      <c r="B659" s="527">
        <v>3.3132277429103851E-2</v>
      </c>
      <c r="C659" s="527">
        <v>119.85881805419922</v>
      </c>
    </row>
    <row r="660" spans="1:3" x14ac:dyDescent="0.35">
      <c r="A660" s="527">
        <v>659</v>
      </c>
      <c r="B660" s="527">
        <v>3.8126952946186066E-2</v>
      </c>
      <c r="C660" s="527">
        <v>137.92747497558594</v>
      </c>
    </row>
    <row r="661" spans="1:3" x14ac:dyDescent="0.35">
      <c r="A661" s="527">
        <v>660</v>
      </c>
      <c r="B661" s="527">
        <v>4.287189245223999E-2</v>
      </c>
      <c r="C661" s="527">
        <v>155.09269714355469</v>
      </c>
    </row>
    <row r="662" spans="1:3" x14ac:dyDescent="0.35">
      <c r="A662" s="527">
        <v>661</v>
      </c>
      <c r="B662" s="527">
        <v>4.7616831958293915E-2</v>
      </c>
      <c r="C662" s="527">
        <v>172.25791931152344</v>
      </c>
    </row>
    <row r="663" spans="1:3" x14ac:dyDescent="0.35">
      <c r="A663" s="527">
        <v>662</v>
      </c>
      <c r="B663" s="527">
        <v>5.2599020302295685E-2</v>
      </c>
      <c r="C663" s="527">
        <v>190.28140258789063</v>
      </c>
    </row>
    <row r="664" spans="1:3" x14ac:dyDescent="0.35">
      <c r="A664" s="527">
        <v>663</v>
      </c>
      <c r="B664" s="527">
        <v>5.7830318808555603E-2</v>
      </c>
      <c r="C664" s="527">
        <v>209.20606994628906</v>
      </c>
    </row>
    <row r="665" spans="1:3" x14ac:dyDescent="0.35">
      <c r="A665" s="527">
        <v>664</v>
      </c>
      <c r="B665" s="527">
        <v>6.3323177397251129E-2</v>
      </c>
      <c r="C665" s="527">
        <v>229.07696533203125</v>
      </c>
    </row>
    <row r="666" spans="1:3" x14ac:dyDescent="0.35">
      <c r="A666" s="527">
        <v>665</v>
      </c>
      <c r="B666" s="527">
        <v>6.9090686738491058E-2</v>
      </c>
      <c r="C666" s="527">
        <v>249.94139099121094</v>
      </c>
    </row>
    <row r="667" spans="1:3" x14ac:dyDescent="0.35">
      <c r="A667" s="527">
        <v>666</v>
      </c>
      <c r="B667" s="527">
        <v>7.5146563351154327E-2</v>
      </c>
      <c r="C667" s="527">
        <v>271.84906005859375</v>
      </c>
    </row>
    <row r="668" spans="1:3" x14ac:dyDescent="0.35">
      <c r="A668" s="527">
        <v>667</v>
      </c>
      <c r="B668" s="527">
        <v>8.1505239009857178E-2</v>
      </c>
      <c r="C668" s="527">
        <v>294.85211181640625</v>
      </c>
    </row>
    <row r="669" spans="1:3" x14ac:dyDescent="0.35">
      <c r="A669" s="527">
        <v>668</v>
      </c>
      <c r="B669" s="527">
        <v>8.8181845843791962E-2</v>
      </c>
      <c r="C669" s="527">
        <v>319.00527954101562</v>
      </c>
    </row>
    <row r="670" spans="1:3" x14ac:dyDescent="0.35">
      <c r="A670" s="527">
        <v>669</v>
      </c>
      <c r="B670" s="527">
        <v>9.5192283391952515E-2</v>
      </c>
      <c r="C670" s="527">
        <v>344.36614990234375</v>
      </c>
    </row>
    <row r="671" spans="1:3" x14ac:dyDescent="0.35">
      <c r="A671" s="527">
        <v>670</v>
      </c>
      <c r="B671" s="527">
        <v>0.10255324840545654</v>
      </c>
      <c r="C671" s="527">
        <v>370.99502563476563</v>
      </c>
    </row>
    <row r="672" spans="1:3" x14ac:dyDescent="0.35">
      <c r="A672" s="527">
        <v>671</v>
      </c>
      <c r="B672" s="527">
        <v>0.11028225719928741</v>
      </c>
      <c r="C672" s="527">
        <v>398.95538330078125</v>
      </c>
    </row>
    <row r="673" spans="1:3" x14ac:dyDescent="0.35">
      <c r="A673" s="527">
        <v>672</v>
      </c>
      <c r="B673" s="527">
        <v>0.11839771270751953</v>
      </c>
      <c r="C673" s="527">
        <v>428.31375122070312</v>
      </c>
    </row>
    <row r="674" spans="1:3" x14ac:dyDescent="0.35">
      <c r="A674" s="527">
        <v>673</v>
      </c>
      <c r="B674" s="527">
        <v>0.12651316821575165</v>
      </c>
      <c r="C674" s="527">
        <v>457.67208862304687</v>
      </c>
    </row>
    <row r="675" spans="1:3" x14ac:dyDescent="0.35">
      <c r="A675" s="527">
        <v>674</v>
      </c>
      <c r="B675" s="527">
        <v>0.1342228502035141</v>
      </c>
      <c r="C675" s="527">
        <v>485.56253051757812</v>
      </c>
    </row>
    <row r="676" spans="1:3" x14ac:dyDescent="0.35">
      <c r="A676" s="527">
        <v>675</v>
      </c>
      <c r="B676" s="527">
        <v>0.12689866125583649</v>
      </c>
      <c r="C676" s="527">
        <v>459.06661987304687</v>
      </c>
    </row>
    <row r="677" spans="1:3" x14ac:dyDescent="0.35">
      <c r="A677" s="527">
        <v>676</v>
      </c>
      <c r="B677" s="527">
        <v>0.11994066089391708</v>
      </c>
      <c r="C677" s="527">
        <v>433.8955078125</v>
      </c>
    </row>
    <row r="678" spans="1:3" x14ac:dyDescent="0.35">
      <c r="A678" s="527">
        <v>677</v>
      </c>
      <c r="B678" s="527">
        <v>0.11333057284355164</v>
      </c>
      <c r="C678" s="527">
        <v>409.98294067382812</v>
      </c>
    </row>
    <row r="679" spans="1:3" x14ac:dyDescent="0.35">
      <c r="A679" s="527">
        <v>678</v>
      </c>
      <c r="B679" s="527">
        <v>0.10705098509788513</v>
      </c>
      <c r="C679" s="527">
        <v>387.2659912109375</v>
      </c>
    </row>
    <row r="680" spans="1:3" x14ac:dyDescent="0.35">
      <c r="A680" s="527">
        <v>679</v>
      </c>
      <c r="B680" s="527">
        <v>0.10108537971973419</v>
      </c>
      <c r="C680" s="527">
        <v>365.68490600585937</v>
      </c>
    </row>
    <row r="681" spans="1:3" x14ac:dyDescent="0.35">
      <c r="A681" s="527">
        <v>680</v>
      </c>
      <c r="B681" s="527">
        <v>9.54180508852005E-2</v>
      </c>
      <c r="C681" s="527">
        <v>345.182861328125</v>
      </c>
    </row>
    <row r="682" spans="1:3" x14ac:dyDescent="0.35">
      <c r="A682" s="527">
        <v>681</v>
      </c>
      <c r="B682" s="527">
        <v>9.0034089982509613E-2</v>
      </c>
      <c r="C682" s="527">
        <v>325.7059326171875</v>
      </c>
    </row>
    <row r="683" spans="1:3" x14ac:dyDescent="0.35">
      <c r="A683" s="527">
        <v>682</v>
      </c>
      <c r="B683" s="527">
        <v>8.491932600736618E-2</v>
      </c>
      <c r="C683" s="527">
        <v>307.20285034179687</v>
      </c>
    </row>
    <row r="684" spans="1:3" x14ac:dyDescent="0.35">
      <c r="A684" s="527">
        <v>683</v>
      </c>
      <c r="B684" s="527">
        <v>8.0060303211212158E-2</v>
      </c>
      <c r="C684" s="527">
        <v>289.62490844726562</v>
      </c>
    </row>
    <row r="685" spans="1:3" x14ac:dyDescent="0.35">
      <c r="A685" s="527">
        <v>684</v>
      </c>
      <c r="B685" s="527">
        <v>7.5444228947162628E-2</v>
      </c>
      <c r="C685" s="527">
        <v>272.92587280273437</v>
      </c>
    </row>
    <row r="686" spans="1:3" x14ac:dyDescent="0.35">
      <c r="A686" s="527">
        <v>685</v>
      </c>
      <c r="B686" s="527">
        <v>7.1058958768844604E-2</v>
      </c>
      <c r="C686" s="527">
        <v>257.06179809570312</v>
      </c>
    </row>
    <row r="687" spans="1:3" x14ac:dyDescent="0.35">
      <c r="A687" s="527">
        <v>686</v>
      </c>
      <c r="B687" s="527">
        <v>6.6892951726913452E-2</v>
      </c>
      <c r="C687" s="527">
        <v>241.99090576171875</v>
      </c>
    </row>
    <row r="688" spans="1:3" x14ac:dyDescent="0.35">
      <c r="A688" s="527">
        <v>687</v>
      </c>
      <c r="B688" s="527">
        <v>6.27269446849823E-2</v>
      </c>
      <c r="C688" s="527">
        <v>226.92002868652344</v>
      </c>
    </row>
    <row r="689" spans="1:3" x14ac:dyDescent="0.35">
      <c r="A689" s="527">
        <v>688</v>
      </c>
      <c r="B689" s="527">
        <v>5.8769237250089645E-2</v>
      </c>
      <c r="C689" s="527">
        <v>212.60269165039062</v>
      </c>
    </row>
    <row r="690" spans="1:3" x14ac:dyDescent="0.35">
      <c r="A690" s="527">
        <v>689</v>
      </c>
      <c r="B690" s="527">
        <v>5.4811533540487289E-2</v>
      </c>
      <c r="C690" s="527">
        <v>198.28535461425781</v>
      </c>
    </row>
    <row r="691" spans="1:3" x14ac:dyDescent="0.35">
      <c r="A691" s="527">
        <v>690</v>
      </c>
      <c r="B691" s="527">
        <v>5.0853826105594635E-2</v>
      </c>
      <c r="C691" s="527">
        <v>183.968017578125</v>
      </c>
    </row>
    <row r="692" spans="1:3" x14ac:dyDescent="0.35">
      <c r="A692" s="527">
        <v>691</v>
      </c>
      <c r="B692" s="527">
        <v>4.6896118670701981E-2</v>
      </c>
      <c r="C692" s="527">
        <v>169.65068054199219</v>
      </c>
    </row>
    <row r="693" spans="1:3" x14ac:dyDescent="0.35">
      <c r="A693" s="527">
        <v>692</v>
      </c>
      <c r="B693" s="527">
        <v>4.2938414961099625E-2</v>
      </c>
      <c r="C693" s="527">
        <v>155.33334350585937</v>
      </c>
    </row>
    <row r="694" spans="1:3" x14ac:dyDescent="0.35">
      <c r="A694" s="527">
        <v>693</v>
      </c>
      <c r="B694" s="527">
        <v>3.898070752620697E-2</v>
      </c>
      <c r="C694" s="527">
        <v>141.01600646972656</v>
      </c>
    </row>
    <row r="695" spans="1:3" x14ac:dyDescent="0.35">
      <c r="A695" s="527">
        <v>694</v>
      </c>
      <c r="B695" s="527">
        <v>3.4825116395950317E-2</v>
      </c>
      <c r="C695" s="527">
        <v>125.98280334472656</v>
      </c>
    </row>
    <row r="696" spans="1:3" x14ac:dyDescent="0.35">
      <c r="A696" s="527">
        <v>695</v>
      </c>
      <c r="B696" s="527">
        <v>3.0669525265693665E-2</v>
      </c>
      <c r="C696" s="527">
        <v>110.94960021972656</v>
      </c>
    </row>
    <row r="697" spans="1:3" x14ac:dyDescent="0.35">
      <c r="A697" s="527">
        <v>696</v>
      </c>
      <c r="B697" s="527">
        <v>2.6513934135437012E-2</v>
      </c>
      <c r="C697" s="527">
        <v>95.916397094726563</v>
      </c>
    </row>
    <row r="698" spans="1:3" x14ac:dyDescent="0.35">
      <c r="A698" s="527">
        <v>697</v>
      </c>
      <c r="B698" s="527">
        <v>2.2358343005180359E-2</v>
      </c>
      <c r="C698" s="527">
        <v>80.883193969726563</v>
      </c>
    </row>
    <row r="699" spans="1:3" x14ac:dyDescent="0.35">
      <c r="A699" s="527">
        <v>698</v>
      </c>
      <c r="B699" s="527">
        <v>1.8202750012278557E-2</v>
      </c>
      <c r="C699" s="527">
        <v>65.849990844726562</v>
      </c>
    </row>
    <row r="700" spans="1:3" x14ac:dyDescent="0.35">
      <c r="A700" s="527">
        <v>699</v>
      </c>
      <c r="B700" s="527">
        <v>1.4047159813344479E-2</v>
      </c>
      <c r="C700" s="527">
        <v>50.816787719726563</v>
      </c>
    </row>
    <row r="701" spans="1:3" x14ac:dyDescent="0.35">
      <c r="A701" s="527">
        <v>700</v>
      </c>
      <c r="B701" s="527">
        <v>9.8915677517652512E-3</v>
      </c>
      <c r="C701" s="527">
        <v>35.783584594726562</v>
      </c>
    </row>
    <row r="702" spans="1:3" x14ac:dyDescent="0.35">
      <c r="A702" s="527">
        <v>701</v>
      </c>
      <c r="B702" s="527">
        <v>5.7359766215085983E-3</v>
      </c>
      <c r="C702" s="527">
        <v>20.75037956237793</v>
      </c>
    </row>
    <row r="703" spans="1:3" x14ac:dyDescent="0.35">
      <c r="A703" s="527">
        <v>702</v>
      </c>
      <c r="B703" s="527">
        <v>1.58038514200598E-3</v>
      </c>
      <c r="C703" s="527">
        <v>5.7171769142150879</v>
      </c>
    </row>
    <row r="704" spans="1:3" x14ac:dyDescent="0.35">
      <c r="A704" s="527">
        <v>703</v>
      </c>
      <c r="B704" s="527">
        <v>-2.5752063374966383E-3</v>
      </c>
      <c r="C704" s="527">
        <v>-9.3160266876220703</v>
      </c>
    </row>
    <row r="705" spans="1:3" x14ac:dyDescent="0.35">
      <c r="A705" s="527">
        <v>704</v>
      </c>
      <c r="B705" s="527">
        <v>-6.93857716396451E-3</v>
      </c>
      <c r="C705" s="527">
        <v>-25.100889205932617</v>
      </c>
    </row>
    <row r="706" spans="1:3" x14ac:dyDescent="0.35">
      <c r="A706" s="527">
        <v>705</v>
      </c>
      <c r="B706" s="527">
        <v>-1.1301948688924313E-2</v>
      </c>
      <c r="C706" s="527">
        <v>-40.885753631591797</v>
      </c>
    </row>
    <row r="707" spans="1:3" x14ac:dyDescent="0.35">
      <c r="A707" s="527">
        <v>706</v>
      </c>
      <c r="B707" s="527">
        <v>-1.5883488580584526E-2</v>
      </c>
      <c r="C707" s="527">
        <v>-57.459861755371094</v>
      </c>
    </row>
    <row r="708" spans="1:3" x14ac:dyDescent="0.35">
      <c r="A708" s="527">
        <v>707</v>
      </c>
      <c r="B708" s="527">
        <v>-2.0465027540922165E-2</v>
      </c>
      <c r="C708" s="527">
        <v>-74.033966064453125</v>
      </c>
    </row>
    <row r="709" spans="1:3" x14ac:dyDescent="0.35">
      <c r="A709" s="527">
        <v>708</v>
      </c>
      <c r="B709" s="527">
        <v>-1.5883488580584526E-2</v>
      </c>
      <c r="C709" s="527">
        <v>-57.459861755371094</v>
      </c>
    </row>
    <row r="710" spans="1:3" x14ac:dyDescent="0.35">
      <c r="A710" s="527">
        <v>709</v>
      </c>
      <c r="B710" s="527">
        <v>-1.1301948688924313E-2</v>
      </c>
      <c r="C710" s="527">
        <v>-40.885753631591797</v>
      </c>
    </row>
    <row r="711" spans="1:3" x14ac:dyDescent="0.35">
      <c r="A711" s="527">
        <v>710</v>
      </c>
      <c r="B711" s="527">
        <v>-6.9494857452809811E-3</v>
      </c>
      <c r="C711" s="527">
        <v>-25.140352249145508</v>
      </c>
    </row>
    <row r="712" spans="1:3" x14ac:dyDescent="0.35">
      <c r="A712" s="527">
        <v>711</v>
      </c>
      <c r="B712" s="527">
        <v>-2.5970230344682932E-3</v>
      </c>
      <c r="C712" s="527">
        <v>-9.3949508666992187</v>
      </c>
    </row>
    <row r="713" spans="1:3" x14ac:dyDescent="0.35">
      <c r="A713" s="527">
        <v>712</v>
      </c>
      <c r="B713" s="527">
        <v>1.755439443513751E-3</v>
      </c>
      <c r="C713" s="527">
        <v>6.3504505157470703</v>
      </c>
    </row>
    <row r="714" spans="1:3" x14ac:dyDescent="0.35">
      <c r="A714" s="527">
        <v>713</v>
      </c>
      <c r="B714" s="527">
        <v>6.1079021543264389E-3</v>
      </c>
      <c r="C714" s="527">
        <v>22.095851898193359</v>
      </c>
    </row>
    <row r="715" spans="1:3" x14ac:dyDescent="0.35">
      <c r="A715" s="527">
        <v>714</v>
      </c>
      <c r="B715" s="527">
        <v>1.0460364632308483E-2</v>
      </c>
      <c r="C715" s="527">
        <v>37.841255187988281</v>
      </c>
    </row>
    <row r="716" spans="1:3" x14ac:dyDescent="0.35">
      <c r="A716" s="527">
        <v>715</v>
      </c>
      <c r="B716" s="527">
        <v>1.4812827110290527E-2</v>
      </c>
      <c r="C716" s="527">
        <v>53.586654663085938</v>
      </c>
    </row>
    <row r="717" spans="1:3" x14ac:dyDescent="0.35">
      <c r="A717" s="527">
        <v>716</v>
      </c>
      <c r="B717" s="527">
        <v>1.9165290519595146E-2</v>
      </c>
      <c r="C717" s="527">
        <v>69.332054138183594</v>
      </c>
    </row>
    <row r="718" spans="1:3" x14ac:dyDescent="0.35">
      <c r="A718" s="527">
        <v>717</v>
      </c>
      <c r="B718" s="527">
        <v>2.3517752066254616E-2</v>
      </c>
      <c r="C718" s="527">
        <v>85.077461242675781</v>
      </c>
    </row>
    <row r="719" spans="1:3" x14ac:dyDescent="0.35">
      <c r="A719" s="527">
        <v>718</v>
      </c>
      <c r="B719" s="527">
        <v>2.7870215475559235E-2</v>
      </c>
      <c r="C719" s="527">
        <v>100.82286071777344</v>
      </c>
    </row>
    <row r="720" spans="1:3" x14ac:dyDescent="0.35">
      <c r="A720" s="527">
        <v>719</v>
      </c>
      <c r="B720" s="527">
        <v>3.2222677022218704E-2</v>
      </c>
      <c r="C720" s="527">
        <v>116.56826019287109</v>
      </c>
    </row>
    <row r="721" spans="1:3" x14ac:dyDescent="0.35">
      <c r="A721" s="527">
        <v>720</v>
      </c>
      <c r="B721" s="527">
        <v>3.6575138568878174E-2</v>
      </c>
      <c r="C721" s="527">
        <v>132.31365966796875</v>
      </c>
    </row>
    <row r="722" spans="1:3" x14ac:dyDescent="0.35">
      <c r="A722" s="527">
        <v>721</v>
      </c>
      <c r="B722" s="527">
        <v>4.0927603840827942E-2</v>
      </c>
      <c r="C722" s="527">
        <v>148.05906677246094</v>
      </c>
    </row>
    <row r="723" spans="1:3" x14ac:dyDescent="0.35">
      <c r="A723" s="527">
        <v>722</v>
      </c>
      <c r="B723" s="527">
        <v>4.549768939614296E-2</v>
      </c>
      <c r="C723" s="527">
        <v>164.59173583984375</v>
      </c>
    </row>
    <row r="724" spans="1:3" x14ac:dyDescent="0.35">
      <c r="A724" s="527">
        <v>723</v>
      </c>
      <c r="B724" s="527">
        <v>5.0296276807785034E-2</v>
      </c>
      <c r="C724" s="527">
        <v>181.95103454589844</v>
      </c>
    </row>
    <row r="725" spans="1:3" x14ac:dyDescent="0.35">
      <c r="A725" s="527">
        <v>724</v>
      </c>
      <c r="B725" s="527">
        <v>5.5334798991680145E-2</v>
      </c>
      <c r="C725" s="527">
        <v>200.17831420898437</v>
      </c>
    </row>
    <row r="726" spans="1:3" x14ac:dyDescent="0.35">
      <c r="A726" s="527">
        <v>725</v>
      </c>
      <c r="B726" s="527">
        <v>6.0625243932008743E-2</v>
      </c>
      <c r="C726" s="527">
        <v>219.31694030761719</v>
      </c>
    </row>
    <row r="727" spans="1:3" x14ac:dyDescent="0.35">
      <c r="A727" s="527">
        <v>726</v>
      </c>
      <c r="B727" s="527">
        <v>6.6180214285850525E-2</v>
      </c>
      <c r="C727" s="527">
        <v>239.41250610351562</v>
      </c>
    </row>
    <row r="728" spans="1:3" x14ac:dyDescent="0.35">
      <c r="A728" s="527">
        <v>727</v>
      </c>
      <c r="B728" s="527">
        <v>7.2012923657894135E-2</v>
      </c>
      <c r="C728" s="527">
        <v>260.51284790039062</v>
      </c>
    </row>
    <row r="729" spans="1:3" x14ac:dyDescent="0.35">
      <c r="A729" s="527">
        <v>728</v>
      </c>
      <c r="B729" s="527">
        <v>7.813727855682373E-2</v>
      </c>
      <c r="C729" s="527">
        <v>282.668212890625</v>
      </c>
    </row>
    <row r="730" spans="1:3" x14ac:dyDescent="0.35">
      <c r="A730" s="527">
        <v>729</v>
      </c>
      <c r="B730" s="527">
        <v>8.4567844867706299E-2</v>
      </c>
      <c r="C730" s="527">
        <v>305.93133544921875</v>
      </c>
    </row>
    <row r="731" spans="1:3" x14ac:dyDescent="0.35">
      <c r="A731" s="527">
        <v>730</v>
      </c>
      <c r="B731" s="527">
        <v>7.813727855682373E-2</v>
      </c>
      <c r="C731" s="527">
        <v>282.668212890625</v>
      </c>
    </row>
    <row r="732" spans="1:3" x14ac:dyDescent="0.35">
      <c r="A732" s="527">
        <v>731</v>
      </c>
      <c r="B732" s="527">
        <v>7.2028234601020813E-2</v>
      </c>
      <c r="C732" s="527">
        <v>260.5682373046875</v>
      </c>
    </row>
    <row r="733" spans="1:3" x14ac:dyDescent="0.35">
      <c r="A733" s="527">
        <v>732</v>
      </c>
      <c r="B733" s="527">
        <v>6.5919198095798492E-2</v>
      </c>
      <c r="C733" s="527">
        <v>238.46827697753906</v>
      </c>
    </row>
    <row r="734" spans="1:3" x14ac:dyDescent="0.35">
      <c r="A734" s="527">
        <v>733</v>
      </c>
      <c r="B734" s="527">
        <v>5.9810154139995575E-2</v>
      </c>
      <c r="C734" s="527">
        <v>216.36830139160156</v>
      </c>
    </row>
    <row r="735" spans="1:3" x14ac:dyDescent="0.35">
      <c r="A735" s="527">
        <v>734</v>
      </c>
      <c r="B735" s="527">
        <v>5.4006565362215042E-2</v>
      </c>
      <c r="C735" s="527">
        <v>195.37332153320312</v>
      </c>
    </row>
    <row r="736" spans="1:3" x14ac:dyDescent="0.35">
      <c r="A736" s="527">
        <v>735</v>
      </c>
      <c r="B736" s="527">
        <v>4.8202976584434509E-2</v>
      </c>
      <c r="C736" s="527">
        <v>174.37834167480469</v>
      </c>
    </row>
    <row r="737" spans="1:3" x14ac:dyDescent="0.35">
      <c r="A737" s="527">
        <v>736</v>
      </c>
      <c r="B737" s="527">
        <v>4.2399387806653976E-2</v>
      </c>
      <c r="C737" s="527">
        <v>153.38337707519531</v>
      </c>
    </row>
    <row r="738" spans="1:3" x14ac:dyDescent="0.35">
      <c r="A738" s="527">
        <v>737</v>
      </c>
      <c r="B738" s="527">
        <v>3.6595799028873444E-2</v>
      </c>
      <c r="C738" s="527">
        <v>132.38839721679687</v>
      </c>
    </row>
    <row r="739" spans="1:3" x14ac:dyDescent="0.35">
      <c r="A739" s="527">
        <v>738</v>
      </c>
      <c r="B739" s="527">
        <v>3.1082389876246452E-2</v>
      </c>
      <c r="C739" s="527">
        <v>112.44317626953125</v>
      </c>
    </row>
    <row r="740" spans="1:3" x14ac:dyDescent="0.35">
      <c r="A740" s="527">
        <v>739</v>
      </c>
      <c r="B740" s="527">
        <v>2.5568980723619461E-2</v>
      </c>
      <c r="C740" s="527">
        <v>92.497947692871094</v>
      </c>
    </row>
    <row r="741" spans="1:3" x14ac:dyDescent="0.35">
      <c r="A741" s="527">
        <v>740</v>
      </c>
      <c r="B741" s="527">
        <v>2.005557157099247E-2</v>
      </c>
      <c r="C741" s="527">
        <v>72.552726745605469</v>
      </c>
    </row>
    <row r="742" spans="1:3" x14ac:dyDescent="0.35">
      <c r="A742" s="527">
        <v>741</v>
      </c>
      <c r="B742" s="527">
        <v>1.4542161487042904E-2</v>
      </c>
      <c r="C742" s="527">
        <v>52.607498168945313</v>
      </c>
    </row>
    <row r="743" spans="1:3" x14ac:dyDescent="0.35">
      <c r="A743" s="527">
        <v>742</v>
      </c>
      <c r="B743" s="527">
        <v>9.0287523344159126E-3</v>
      </c>
      <c r="C743" s="527">
        <v>32.662273406982422</v>
      </c>
    </row>
    <row r="744" spans="1:3" x14ac:dyDescent="0.35">
      <c r="A744" s="527">
        <v>743</v>
      </c>
      <c r="B744" s="527">
        <v>3.515342716127634E-3</v>
      </c>
      <c r="C744" s="527">
        <v>12.717049598693848</v>
      </c>
    </row>
    <row r="745" spans="1:3" x14ac:dyDescent="0.35">
      <c r="A745" s="527">
        <v>744</v>
      </c>
      <c r="B745" s="527">
        <v>-1.9980669021606445E-3</v>
      </c>
      <c r="C745" s="527">
        <v>-7.2281761169433594</v>
      </c>
    </row>
    <row r="746" spans="1:3" x14ac:dyDescent="0.35">
      <c r="A746" s="527">
        <v>745</v>
      </c>
      <c r="B746" s="527">
        <v>-7.5114765204489231E-3</v>
      </c>
      <c r="C746" s="527">
        <v>-27.17340087890625</v>
      </c>
    </row>
    <row r="747" spans="1:3" x14ac:dyDescent="0.35">
      <c r="A747" s="527">
        <v>746</v>
      </c>
      <c r="B747" s="527">
        <v>-1.3024886138737202E-2</v>
      </c>
      <c r="C747" s="527">
        <v>-47.118625640869141</v>
      </c>
    </row>
    <row r="748" spans="1:3" x14ac:dyDescent="0.35">
      <c r="A748" s="527">
        <v>747</v>
      </c>
      <c r="B748" s="527">
        <v>-1.8538296222686768E-2</v>
      </c>
      <c r="C748" s="527">
        <v>-67.063850402832031</v>
      </c>
    </row>
    <row r="749" spans="1:3" x14ac:dyDescent="0.35">
      <c r="A749" s="527">
        <v>748</v>
      </c>
      <c r="B749" s="527">
        <v>-2.4051705375313759E-2</v>
      </c>
      <c r="C749" s="527">
        <v>-87.009078979492187</v>
      </c>
    </row>
    <row r="750" spans="1:3" x14ac:dyDescent="0.35">
      <c r="A750" s="527">
        <v>749</v>
      </c>
      <c r="B750" s="527">
        <v>-2.956511452794075E-2</v>
      </c>
      <c r="C750" s="527">
        <v>-106.95429992675781</v>
      </c>
    </row>
    <row r="751" spans="1:3" x14ac:dyDescent="0.35">
      <c r="A751" s="527">
        <v>750</v>
      </c>
      <c r="B751" s="527">
        <v>-3.5078525543212891E-2</v>
      </c>
      <c r="C751" s="527">
        <v>-126.89952850341797</v>
      </c>
    </row>
    <row r="752" spans="1:3" x14ac:dyDescent="0.35">
      <c r="A752" s="527">
        <v>751</v>
      </c>
      <c r="B752" s="527">
        <v>-4.0316261351108551E-2</v>
      </c>
      <c r="C752" s="527">
        <v>-145.84748840332031</v>
      </c>
    </row>
    <row r="753" spans="1:3" x14ac:dyDescent="0.35">
      <c r="A753" s="527">
        <v>752</v>
      </c>
      <c r="B753" s="527">
        <v>-3.5340409725904465E-2</v>
      </c>
      <c r="C753" s="527">
        <v>-127.846923828125</v>
      </c>
    </row>
    <row r="754" spans="1:3" x14ac:dyDescent="0.35">
      <c r="A754" s="527">
        <v>753</v>
      </c>
      <c r="B754" s="527">
        <v>-3.0364558100700378E-2</v>
      </c>
      <c r="C754" s="527">
        <v>-109.84635925292969</v>
      </c>
    </row>
    <row r="755" spans="1:3" x14ac:dyDescent="0.35">
      <c r="A755" s="527">
        <v>754</v>
      </c>
      <c r="B755" s="527">
        <v>-2.5388706475496292E-2</v>
      </c>
      <c r="C755" s="527">
        <v>-91.845794677734375</v>
      </c>
    </row>
    <row r="756" spans="1:3" x14ac:dyDescent="0.35">
      <c r="A756" s="527">
        <v>755</v>
      </c>
      <c r="B756" s="527">
        <v>-2.0412854850292206E-2</v>
      </c>
      <c r="C756" s="527">
        <v>-73.845230102539062</v>
      </c>
    </row>
    <row r="757" spans="1:3" x14ac:dyDescent="0.35">
      <c r="A757" s="527">
        <v>756</v>
      </c>
      <c r="B757" s="527">
        <v>-1.5437002293765545E-2</v>
      </c>
      <c r="C757" s="527">
        <v>-55.844661712646484</v>
      </c>
    </row>
    <row r="758" spans="1:3" x14ac:dyDescent="0.35">
      <c r="A758" s="527">
        <v>757</v>
      </c>
      <c r="B758" s="527">
        <v>-1.0461150668561459E-2</v>
      </c>
      <c r="C758" s="527">
        <v>-37.844097137451172</v>
      </c>
    </row>
    <row r="759" spans="1:3" x14ac:dyDescent="0.35">
      <c r="A759" s="527">
        <v>758</v>
      </c>
      <c r="B759" s="527">
        <v>-5.485298577696085E-3</v>
      </c>
      <c r="C759" s="527">
        <v>-19.843530654907227</v>
      </c>
    </row>
    <row r="760" spans="1:3" x14ac:dyDescent="0.35">
      <c r="A760" s="527">
        <v>759</v>
      </c>
      <c r="B760" s="527">
        <v>-7.5823895167559385E-4</v>
      </c>
      <c r="C760" s="527">
        <v>-2.7429935932159424</v>
      </c>
    </row>
    <row r="761" spans="1:3" x14ac:dyDescent="0.35">
      <c r="A761" s="527">
        <v>760</v>
      </c>
      <c r="B761" s="527">
        <v>3.9688204415142536E-3</v>
      </c>
      <c r="C761" s="527">
        <v>14.3575439453125</v>
      </c>
    </row>
    <row r="762" spans="1:3" x14ac:dyDescent="0.35">
      <c r="A762" s="527">
        <v>761</v>
      </c>
      <c r="B762" s="527">
        <v>8.6958799511194229E-3</v>
      </c>
      <c r="C762" s="527">
        <v>31.45808219909668</v>
      </c>
    </row>
    <row r="763" spans="1:3" x14ac:dyDescent="0.35">
      <c r="A763" s="527">
        <v>762</v>
      </c>
      <c r="B763" s="527">
        <v>1.342293992638588E-2</v>
      </c>
      <c r="C763" s="527">
        <v>48.558620452880859</v>
      </c>
    </row>
    <row r="764" spans="1:3" x14ac:dyDescent="0.35">
      <c r="A764" s="527">
        <v>763</v>
      </c>
      <c r="B764" s="527">
        <v>1.8149999901652336E-2</v>
      </c>
      <c r="C764" s="527">
        <v>65.659156799316406</v>
      </c>
    </row>
    <row r="765" spans="1:3" x14ac:dyDescent="0.35">
      <c r="A765" s="527">
        <v>764</v>
      </c>
      <c r="B765" s="527">
        <v>2.2877058014273643E-2</v>
      </c>
      <c r="C765" s="527">
        <v>82.759696960449219</v>
      </c>
    </row>
    <row r="766" spans="1:3" x14ac:dyDescent="0.35">
      <c r="A766" s="527">
        <v>765</v>
      </c>
      <c r="B766" s="527">
        <v>2.7367765083909035E-2</v>
      </c>
      <c r="C766" s="527">
        <v>99.005203247070313</v>
      </c>
    </row>
    <row r="767" spans="1:3" x14ac:dyDescent="0.35">
      <c r="A767" s="527">
        <v>766</v>
      </c>
      <c r="B767" s="527">
        <v>3.1858470290899277E-2</v>
      </c>
      <c r="C767" s="527">
        <v>115.25071716308594</v>
      </c>
    </row>
    <row r="768" spans="1:3" x14ac:dyDescent="0.35">
      <c r="A768" s="527">
        <v>767</v>
      </c>
      <c r="B768" s="527">
        <v>3.6349177360534668E-2</v>
      </c>
      <c r="C768" s="527">
        <v>131.49623107910156</v>
      </c>
    </row>
    <row r="769" spans="1:3" x14ac:dyDescent="0.35">
      <c r="A769" s="527">
        <v>768</v>
      </c>
      <c r="B769" s="527">
        <v>4.0839884430170059E-2</v>
      </c>
      <c r="C769" s="527">
        <v>147.74172973632812</v>
      </c>
    </row>
    <row r="770" spans="1:3" x14ac:dyDescent="0.35">
      <c r="A770" s="527">
        <v>769</v>
      </c>
      <c r="B770" s="527">
        <v>3.6349177360534668E-2</v>
      </c>
      <c r="C770" s="527">
        <v>131.49623107910156</v>
      </c>
    </row>
    <row r="771" spans="1:3" x14ac:dyDescent="0.35">
      <c r="A771" s="527">
        <v>770</v>
      </c>
      <c r="B771" s="527">
        <v>3.1858470290899277E-2</v>
      </c>
      <c r="C771" s="527">
        <v>115.25071716308594</v>
      </c>
    </row>
    <row r="772" spans="1:3" x14ac:dyDescent="0.35">
      <c r="A772" s="527">
        <v>771</v>
      </c>
      <c r="B772" s="527">
        <v>2.7367765083909035E-2</v>
      </c>
      <c r="C772" s="527">
        <v>99.005203247070313</v>
      </c>
    </row>
    <row r="773" spans="1:3" x14ac:dyDescent="0.35">
      <c r="A773" s="527">
        <v>772</v>
      </c>
      <c r="B773" s="527">
        <v>2.2877058014273643E-2</v>
      </c>
      <c r="C773" s="527">
        <v>82.759696960449219</v>
      </c>
    </row>
    <row r="774" spans="1:3" x14ac:dyDescent="0.35">
      <c r="A774" s="527">
        <v>773</v>
      </c>
      <c r="B774" s="527">
        <v>1.8610887229442596E-2</v>
      </c>
      <c r="C774" s="527">
        <v>67.326461791992187</v>
      </c>
    </row>
    <row r="775" spans="1:3" x14ac:dyDescent="0.35">
      <c r="A775" s="527">
        <v>774</v>
      </c>
      <c r="B775" s="527">
        <v>1.4344716444611549E-2</v>
      </c>
      <c r="C775" s="527">
        <v>51.893222808837891</v>
      </c>
    </row>
    <row r="776" spans="1:3" x14ac:dyDescent="0.35">
      <c r="A776" s="527">
        <v>775</v>
      </c>
      <c r="B776" s="527">
        <v>1.0078544728457928E-2</v>
      </c>
      <c r="C776" s="527">
        <v>36.459987640380859</v>
      </c>
    </row>
    <row r="777" spans="1:3" x14ac:dyDescent="0.35">
      <c r="A777" s="527">
        <v>776</v>
      </c>
      <c r="B777" s="527">
        <v>5.8123739436268806E-3</v>
      </c>
      <c r="C777" s="527">
        <v>21.026754379272461</v>
      </c>
    </row>
    <row r="778" spans="1:3" x14ac:dyDescent="0.35">
      <c r="A778" s="527">
        <v>777</v>
      </c>
      <c r="B778" s="527">
        <v>1.5462025767192245E-3</v>
      </c>
      <c r="C778" s="527">
        <v>5.5935187339782715</v>
      </c>
    </row>
    <row r="779" spans="1:3" x14ac:dyDescent="0.35">
      <c r="A779" s="527">
        <v>778</v>
      </c>
      <c r="B779" s="527">
        <v>-2.7199685573577881E-3</v>
      </c>
      <c r="C779" s="527">
        <v>-9.839716911315918</v>
      </c>
    </row>
    <row r="780" spans="1:3" x14ac:dyDescent="0.35">
      <c r="A780" s="527">
        <v>779</v>
      </c>
      <c r="B780" s="527">
        <v>-6.9861398078501225E-3</v>
      </c>
      <c r="C780" s="527">
        <v>-25.272951126098633</v>
      </c>
    </row>
    <row r="781" spans="1:3" x14ac:dyDescent="0.35">
      <c r="A781" s="527">
        <v>780</v>
      </c>
      <c r="B781" s="527">
        <v>-1.1252311058342457E-2</v>
      </c>
      <c r="C781" s="527">
        <v>-40.706188201904297</v>
      </c>
    </row>
    <row r="782" spans="1:3" x14ac:dyDescent="0.35">
      <c r="A782" s="527">
        <v>781</v>
      </c>
      <c r="B782" s="527">
        <v>-1.5518481843173504E-2</v>
      </c>
      <c r="C782" s="527">
        <v>-56.139423370361328</v>
      </c>
    </row>
    <row r="783" spans="1:3" x14ac:dyDescent="0.35">
      <c r="A783" s="527">
        <v>782</v>
      </c>
      <c r="B783" s="527">
        <v>-1.9784653559327126E-2</v>
      </c>
      <c r="C783" s="527">
        <v>-71.572654724121094</v>
      </c>
    </row>
    <row r="784" spans="1:3" x14ac:dyDescent="0.35">
      <c r="A784" s="527">
        <v>783</v>
      </c>
      <c r="B784" s="527">
        <v>-2.4050824344158173E-2</v>
      </c>
      <c r="C784" s="527">
        <v>-87.005889892578125</v>
      </c>
    </row>
    <row r="785" spans="1:3" x14ac:dyDescent="0.35">
      <c r="A785" s="527">
        <v>784</v>
      </c>
      <c r="B785" s="527">
        <v>-2.831699512898922E-2</v>
      </c>
      <c r="C785" s="527">
        <v>-102.43912506103516</v>
      </c>
    </row>
    <row r="786" spans="1:3" x14ac:dyDescent="0.35">
      <c r="A786" s="527">
        <v>785</v>
      </c>
      <c r="B786" s="527">
        <v>-2.4050824344158173E-2</v>
      </c>
      <c r="C786" s="527">
        <v>-87.005889892578125</v>
      </c>
    </row>
    <row r="787" spans="1:3" x14ac:dyDescent="0.35">
      <c r="A787" s="527">
        <v>786</v>
      </c>
      <c r="B787" s="527">
        <v>-1.9997961819171906E-2</v>
      </c>
      <c r="C787" s="527">
        <v>-72.344322204589844</v>
      </c>
    </row>
    <row r="788" spans="1:3" x14ac:dyDescent="0.35">
      <c r="A788" s="527">
        <v>787</v>
      </c>
      <c r="B788" s="527">
        <v>-1.5945099294185638E-2</v>
      </c>
      <c r="C788" s="527">
        <v>-57.682746887207031</v>
      </c>
    </row>
    <row r="789" spans="1:3" x14ac:dyDescent="0.35">
      <c r="A789" s="527">
        <v>788</v>
      </c>
      <c r="B789" s="527">
        <v>-1.1892236769199371E-2</v>
      </c>
      <c r="C789" s="527">
        <v>-43.021171569824219</v>
      </c>
    </row>
    <row r="790" spans="1:3" x14ac:dyDescent="0.35">
      <c r="A790" s="527">
        <v>789</v>
      </c>
      <c r="B790" s="527">
        <v>-8.0420169979333878E-3</v>
      </c>
      <c r="C790" s="527">
        <v>-29.092678070068359</v>
      </c>
    </row>
    <row r="791" spans="1:3" x14ac:dyDescent="0.35">
      <c r="A791" s="527">
        <v>790</v>
      </c>
      <c r="B791" s="527">
        <v>-4.1917976923286915E-3</v>
      </c>
      <c r="C791" s="527">
        <v>-15.164182662963867</v>
      </c>
    </row>
    <row r="792" spans="1:3" x14ac:dyDescent="0.35">
      <c r="A792" s="527">
        <v>791</v>
      </c>
      <c r="B792" s="527">
        <v>-3.4157818299718201E-4</v>
      </c>
      <c r="C792" s="527">
        <v>-1.2356879711151123</v>
      </c>
    </row>
    <row r="793" spans="1:3" x14ac:dyDescent="0.35">
      <c r="A793" s="527">
        <v>792</v>
      </c>
      <c r="B793" s="527">
        <v>3.5086413845419884E-3</v>
      </c>
      <c r="C793" s="527">
        <v>12.692806243896484</v>
      </c>
    </row>
    <row r="794" spans="1:3" x14ac:dyDescent="0.35">
      <c r="A794" s="527">
        <v>793</v>
      </c>
      <c r="B794" s="527">
        <v>7.1663497947156429E-3</v>
      </c>
      <c r="C794" s="527">
        <v>25.924877166748047</v>
      </c>
    </row>
    <row r="795" spans="1:3" x14ac:dyDescent="0.35">
      <c r="A795" s="527">
        <v>794</v>
      </c>
      <c r="B795" s="527">
        <v>1.0824058204889297E-2</v>
      </c>
      <c r="C795" s="527">
        <v>39.156948089599609</v>
      </c>
    </row>
    <row r="796" spans="1:3" x14ac:dyDescent="0.35">
      <c r="A796" s="527">
        <v>795</v>
      </c>
      <c r="B796" s="527">
        <v>1.4481767080724239E-2</v>
      </c>
      <c r="C796" s="527">
        <v>52.389015197753906</v>
      </c>
    </row>
    <row r="797" spans="1:3" x14ac:dyDescent="0.35">
      <c r="A797" s="527">
        <v>796</v>
      </c>
      <c r="B797" s="527">
        <v>1.8139475956559181E-2</v>
      </c>
      <c r="C797" s="527">
        <v>65.621086120605469</v>
      </c>
    </row>
    <row r="798" spans="1:3" x14ac:dyDescent="0.35">
      <c r="A798" s="527">
        <v>797</v>
      </c>
      <c r="B798" s="527">
        <v>2.1797183901071548E-2</v>
      </c>
      <c r="C798" s="527">
        <v>78.853157043457031</v>
      </c>
    </row>
    <row r="799" spans="1:3" x14ac:dyDescent="0.35">
      <c r="A799" s="527">
        <v>798</v>
      </c>
      <c r="B799" s="527">
        <v>2.5454891845583916E-2</v>
      </c>
      <c r="C799" s="527">
        <v>92.085227966308594</v>
      </c>
    </row>
    <row r="800" spans="1:3" x14ac:dyDescent="0.35">
      <c r="A800" s="527">
        <v>799</v>
      </c>
      <c r="B800" s="527">
        <v>2.8929715976119041E-2</v>
      </c>
      <c r="C800" s="527">
        <v>104.65569305419922</v>
      </c>
    </row>
    <row r="801" spans="1:3" x14ac:dyDescent="0.35">
      <c r="A801" s="527">
        <v>800</v>
      </c>
      <c r="B801" s="527">
        <v>3.2404538244009018E-2</v>
      </c>
      <c r="C801" s="527">
        <v>117.22615814208984</v>
      </c>
    </row>
    <row r="802" spans="1:3" x14ac:dyDescent="0.35">
      <c r="A802" s="527">
        <v>801</v>
      </c>
      <c r="B802" s="527">
        <v>3.5879362374544144E-2</v>
      </c>
      <c r="C802" s="527">
        <v>129.796630859375</v>
      </c>
    </row>
    <row r="803" spans="1:3" x14ac:dyDescent="0.35">
      <c r="A803" s="527">
        <v>802</v>
      </c>
      <c r="B803" s="527">
        <v>3.9180442690849304E-2</v>
      </c>
      <c r="C803" s="527">
        <v>141.73857116699219</v>
      </c>
    </row>
    <row r="804" spans="1:3" x14ac:dyDescent="0.35">
      <c r="A804" s="527">
        <v>803</v>
      </c>
      <c r="B804" s="527">
        <v>4.2481526732444763E-2</v>
      </c>
      <c r="C804" s="527">
        <v>153.68051147460937</v>
      </c>
    </row>
    <row r="805" spans="1:3" x14ac:dyDescent="0.35">
      <c r="A805" s="527">
        <v>804</v>
      </c>
      <c r="B805" s="527">
        <v>3.9180442690849304E-2</v>
      </c>
      <c r="C805" s="527">
        <v>141.73857116699219</v>
      </c>
    </row>
    <row r="806" spans="1:3" x14ac:dyDescent="0.35">
      <c r="A806" s="527">
        <v>805</v>
      </c>
      <c r="B806" s="527">
        <v>3.5879362374544144E-2</v>
      </c>
      <c r="C806" s="527">
        <v>129.796630859375</v>
      </c>
    </row>
    <row r="807" spans="1:3" x14ac:dyDescent="0.35">
      <c r="A807" s="527">
        <v>806</v>
      </c>
      <c r="B807" s="527">
        <v>3.2578278332948685E-2</v>
      </c>
      <c r="C807" s="527">
        <v>117.85468292236328</v>
      </c>
    </row>
    <row r="808" spans="1:3" x14ac:dyDescent="0.35">
      <c r="A808" s="527">
        <v>807</v>
      </c>
      <c r="B808" s="527">
        <v>2.9277198016643524E-2</v>
      </c>
      <c r="C808" s="527">
        <v>105.91274261474609</v>
      </c>
    </row>
    <row r="809" spans="1:3" x14ac:dyDescent="0.35">
      <c r="A809" s="527">
        <v>808</v>
      </c>
      <c r="B809" s="527">
        <v>2.5976115837693214E-2</v>
      </c>
      <c r="C809" s="527">
        <v>93.970794677734375</v>
      </c>
    </row>
    <row r="810" spans="1:3" x14ac:dyDescent="0.35">
      <c r="A810" s="527">
        <v>809</v>
      </c>
      <c r="B810" s="527">
        <v>2.2675033658742905E-2</v>
      </c>
      <c r="C810" s="527">
        <v>82.028854370117188</v>
      </c>
    </row>
    <row r="811" spans="1:3" x14ac:dyDescent="0.35">
      <c r="A811" s="527">
        <v>810</v>
      </c>
      <c r="B811" s="527">
        <v>1.9373951479792595E-2</v>
      </c>
      <c r="C811" s="527">
        <v>70.086906433105469</v>
      </c>
    </row>
    <row r="812" spans="1:3" x14ac:dyDescent="0.35">
      <c r="A812" s="527">
        <v>811</v>
      </c>
      <c r="B812" s="527">
        <v>1.6072869300842285E-2</v>
      </c>
      <c r="C812" s="527">
        <v>58.144966125488281</v>
      </c>
    </row>
    <row r="813" spans="1:3" x14ac:dyDescent="0.35">
      <c r="A813" s="527">
        <v>812</v>
      </c>
      <c r="B813" s="527">
        <v>1.277178805321455E-2</v>
      </c>
      <c r="C813" s="527">
        <v>46.203022003173828</v>
      </c>
    </row>
    <row r="814" spans="1:3" x14ac:dyDescent="0.35">
      <c r="A814" s="527">
        <v>813</v>
      </c>
      <c r="B814" s="527">
        <v>9.4707058742642403E-3</v>
      </c>
      <c r="C814" s="527">
        <v>34.261081695556641</v>
      </c>
    </row>
    <row r="815" spans="1:3" x14ac:dyDescent="0.35">
      <c r="A815" s="527">
        <v>814</v>
      </c>
      <c r="B815" s="527">
        <v>6.1696241609752178E-3</v>
      </c>
      <c r="C815" s="527">
        <v>22.319137573242188</v>
      </c>
    </row>
    <row r="816" spans="1:3" x14ac:dyDescent="0.35">
      <c r="A816" s="527">
        <v>815</v>
      </c>
      <c r="B816" s="527">
        <v>2.8685422148555517E-3</v>
      </c>
      <c r="C816" s="527">
        <v>10.377194404602051</v>
      </c>
    </row>
    <row r="817" spans="1:3" x14ac:dyDescent="0.35">
      <c r="A817" s="527">
        <v>816</v>
      </c>
      <c r="B817" s="527">
        <v>-4.3253964395262301E-4</v>
      </c>
      <c r="C817" s="527">
        <v>-1.5647486448287964</v>
      </c>
    </row>
    <row r="818" spans="1:3" x14ac:dyDescent="0.35">
      <c r="A818" s="527">
        <v>817</v>
      </c>
      <c r="B818" s="527">
        <v>-3.7336216773837805E-3</v>
      </c>
      <c r="C818" s="527">
        <v>-13.506691932678223</v>
      </c>
    </row>
    <row r="819" spans="1:3" x14ac:dyDescent="0.35">
      <c r="A819" s="527">
        <v>818</v>
      </c>
      <c r="B819" s="527">
        <v>-7.0347036235034466E-3</v>
      </c>
      <c r="C819" s="527">
        <v>-25.448635101318359</v>
      </c>
    </row>
    <row r="820" spans="1:3" x14ac:dyDescent="0.35">
      <c r="A820" s="527">
        <v>819</v>
      </c>
      <c r="B820" s="527">
        <v>-1.0335785336792469E-2</v>
      </c>
      <c r="C820" s="527">
        <v>-37.390579223632812</v>
      </c>
    </row>
    <row r="821" spans="1:3" x14ac:dyDescent="0.35">
      <c r="A821" s="527">
        <v>820</v>
      </c>
      <c r="B821" s="527">
        <v>-1.3636867515742779E-2</v>
      </c>
      <c r="C821" s="527">
        <v>-49.33251953125</v>
      </c>
    </row>
    <row r="822" spans="1:3" x14ac:dyDescent="0.35">
      <c r="A822" s="527">
        <v>821</v>
      </c>
      <c r="B822" s="527">
        <v>-1.6937948763370514E-2</v>
      </c>
      <c r="C822" s="527">
        <v>-61.274463653564453</v>
      </c>
    </row>
    <row r="823" spans="1:3" x14ac:dyDescent="0.35">
      <c r="A823" s="527">
        <v>822</v>
      </c>
      <c r="B823" s="527">
        <v>-1.3636867515742779E-2</v>
      </c>
      <c r="C823" s="527">
        <v>-49.33251953125</v>
      </c>
    </row>
    <row r="824" spans="1:3" x14ac:dyDescent="0.35">
      <c r="A824" s="527">
        <v>823</v>
      </c>
      <c r="B824" s="527">
        <v>-1.0335785336792469E-2</v>
      </c>
      <c r="C824" s="527">
        <v>-37.390579223632812</v>
      </c>
    </row>
    <row r="825" spans="1:3" x14ac:dyDescent="0.35">
      <c r="A825" s="527">
        <v>824</v>
      </c>
      <c r="B825" s="527">
        <v>-7.1997577324509621E-3</v>
      </c>
      <c r="C825" s="527">
        <v>-26.045732498168945</v>
      </c>
    </row>
    <row r="826" spans="1:3" x14ac:dyDescent="0.35">
      <c r="A826" s="527">
        <v>825</v>
      </c>
      <c r="B826" s="527">
        <v>-4.0637296624481678E-3</v>
      </c>
      <c r="C826" s="527">
        <v>-14.700885772705078</v>
      </c>
    </row>
    <row r="827" spans="1:3" x14ac:dyDescent="0.35">
      <c r="A827" s="527">
        <v>826</v>
      </c>
      <c r="B827" s="527">
        <v>-1.0845033684745431E-3</v>
      </c>
      <c r="C827" s="527">
        <v>-3.9232823848724365</v>
      </c>
    </row>
    <row r="828" spans="1:3" x14ac:dyDescent="0.35">
      <c r="A828" s="527">
        <v>827</v>
      </c>
      <c r="B828" s="527">
        <v>1.8947231583297253E-3</v>
      </c>
      <c r="C828" s="527">
        <v>6.8543210029602051</v>
      </c>
    </row>
    <row r="829" spans="1:3" x14ac:dyDescent="0.35">
      <c r="A829" s="527">
        <v>828</v>
      </c>
      <c r="B829" s="527">
        <v>4.8739495687186718E-3</v>
      </c>
      <c r="C829" s="527">
        <v>17.631925582885742</v>
      </c>
    </row>
    <row r="830" spans="1:3" x14ac:dyDescent="0.35">
      <c r="A830" s="527">
        <v>829</v>
      </c>
      <c r="B830" s="527">
        <v>7.8531764447689056E-3</v>
      </c>
      <c r="C830" s="527">
        <v>28.409528732299805</v>
      </c>
    </row>
    <row r="831" spans="1:3" x14ac:dyDescent="0.35">
      <c r="A831" s="527">
        <v>830</v>
      </c>
      <c r="B831" s="527">
        <v>1.0683441534638405E-2</v>
      </c>
      <c r="C831" s="527">
        <v>38.648250579833984</v>
      </c>
    </row>
    <row r="832" spans="1:3" x14ac:dyDescent="0.35">
      <c r="A832" s="527">
        <v>831</v>
      </c>
      <c r="B832" s="527">
        <v>1.3513706624507904E-2</v>
      </c>
      <c r="C832" s="527">
        <v>48.886974334716797</v>
      </c>
    </row>
    <row r="833" spans="1:3" x14ac:dyDescent="0.35">
      <c r="A833" s="527">
        <v>832</v>
      </c>
      <c r="B833" s="527">
        <v>1.6343971714377403E-2</v>
      </c>
      <c r="C833" s="527">
        <v>59.125698089599609</v>
      </c>
    </row>
    <row r="834" spans="1:3" x14ac:dyDescent="0.35">
      <c r="A834" s="527">
        <v>833</v>
      </c>
      <c r="B834" s="527">
        <v>1.9174236804246902E-2</v>
      </c>
      <c r="C834" s="527">
        <v>69.364425659179688</v>
      </c>
    </row>
    <row r="835" spans="1:3" x14ac:dyDescent="0.35">
      <c r="A835" s="527">
        <v>834</v>
      </c>
      <c r="B835" s="527">
        <v>2.2004501894116402E-2</v>
      </c>
      <c r="C835" s="527">
        <v>79.6031494140625</v>
      </c>
    </row>
    <row r="836" spans="1:3" x14ac:dyDescent="0.35">
      <c r="A836" s="527">
        <v>835</v>
      </c>
      <c r="B836" s="527">
        <v>2.4693254381418228E-2</v>
      </c>
      <c r="C836" s="527">
        <v>89.329933166503906</v>
      </c>
    </row>
    <row r="837" spans="1:3" x14ac:dyDescent="0.35">
      <c r="A837" s="527">
        <v>836</v>
      </c>
      <c r="B837" s="527">
        <v>2.7247568592429161E-2</v>
      </c>
      <c r="C837" s="527">
        <v>98.570381164550781</v>
      </c>
    </row>
    <row r="838" spans="1:3" x14ac:dyDescent="0.35">
      <c r="A838" s="527">
        <v>837</v>
      </c>
      <c r="B838" s="527">
        <v>2.9801882803440094E-2</v>
      </c>
      <c r="C838" s="527">
        <v>107.81082916259766</v>
      </c>
    </row>
    <row r="839" spans="1:3" x14ac:dyDescent="0.35">
      <c r="A839" s="527">
        <v>838</v>
      </c>
      <c r="B839" s="527">
        <v>0.10403846204280853</v>
      </c>
      <c r="C839" s="527">
        <v>107.81082916259766</v>
      </c>
    </row>
    <row r="840" spans="1:3" x14ac:dyDescent="0.35">
      <c r="A840" s="527">
        <v>839</v>
      </c>
      <c r="B840" s="527">
        <v>0.11295558512210846</v>
      </c>
      <c r="C840" s="527">
        <v>117.05127716064453</v>
      </c>
    </row>
    <row r="841" spans="1:3" x14ac:dyDescent="0.35">
      <c r="A841" s="527">
        <v>840</v>
      </c>
      <c r="B841" s="527">
        <v>0.12187270075082779</v>
      </c>
      <c r="C841" s="527">
        <v>126.29172515869141</v>
      </c>
    </row>
    <row r="842" spans="1:3" x14ac:dyDescent="0.35">
      <c r="A842" s="527">
        <v>841</v>
      </c>
      <c r="B842" s="527">
        <v>0.13078981637954712</v>
      </c>
      <c r="C842" s="527">
        <v>135.53218078613281</v>
      </c>
    </row>
    <row r="843" spans="1:3" x14ac:dyDescent="0.35">
      <c r="A843" s="527">
        <v>842</v>
      </c>
      <c r="B843" s="527">
        <v>0.13970693945884705</v>
      </c>
      <c r="C843" s="527">
        <v>144.77262878417969</v>
      </c>
    </row>
    <row r="844" spans="1:3" x14ac:dyDescent="0.35">
      <c r="A844" s="527">
        <v>843</v>
      </c>
      <c r="B844" s="527">
        <v>0.14862406253814697</v>
      </c>
      <c r="C844" s="527">
        <v>154.01307678222656</v>
      </c>
    </row>
    <row r="845" spans="1:3" x14ac:dyDescent="0.35">
      <c r="A845" s="527">
        <v>844</v>
      </c>
      <c r="B845" s="527">
        <v>0.15709532797336578</v>
      </c>
      <c r="C845" s="527">
        <v>162.79148864746094</v>
      </c>
    </row>
    <row r="846" spans="1:3" x14ac:dyDescent="0.35">
      <c r="A846" s="527">
        <v>845</v>
      </c>
      <c r="B846" s="527">
        <v>0.16556659340858459</v>
      </c>
      <c r="C846" s="527">
        <v>171.56991577148437</v>
      </c>
    </row>
    <row r="847" spans="1:3" x14ac:dyDescent="0.35">
      <c r="A847" s="527">
        <v>846</v>
      </c>
      <c r="B847" s="527">
        <v>0.17361429333686829</v>
      </c>
      <c r="C847" s="527">
        <v>179.909423828125</v>
      </c>
    </row>
    <row r="848" spans="1:3" x14ac:dyDescent="0.35">
      <c r="A848" s="527">
        <v>847</v>
      </c>
      <c r="B848" s="527">
        <v>0.18125960230827332</v>
      </c>
      <c r="C848" s="527">
        <v>187.83195495605469</v>
      </c>
    </row>
    <row r="849" spans="1:3" x14ac:dyDescent="0.35">
      <c r="A849" s="527">
        <v>848</v>
      </c>
      <c r="B849" s="527">
        <v>0.18890491127967834</v>
      </c>
      <c r="C849" s="527">
        <v>195.75448608398437</v>
      </c>
    </row>
    <row r="850" spans="1:3" x14ac:dyDescent="0.35">
      <c r="A850" s="527">
        <v>849</v>
      </c>
      <c r="B850" s="527">
        <v>0.18125960230827332</v>
      </c>
      <c r="C850" s="527">
        <v>187.83195495605469</v>
      </c>
    </row>
    <row r="851" spans="1:3" x14ac:dyDescent="0.35">
      <c r="A851" s="527">
        <v>850</v>
      </c>
      <c r="B851" s="527">
        <v>0.17399655282497406</v>
      </c>
      <c r="C851" s="527">
        <v>180.30555725097656</v>
      </c>
    </row>
    <row r="852" spans="1:3" x14ac:dyDescent="0.35">
      <c r="A852" s="527">
        <v>851</v>
      </c>
      <c r="B852" s="527">
        <v>0.1667335033416748</v>
      </c>
      <c r="C852" s="527">
        <v>172.77914428710937</v>
      </c>
    </row>
    <row r="853" spans="1:3" x14ac:dyDescent="0.35">
      <c r="A853" s="527">
        <v>852</v>
      </c>
      <c r="B853" s="527">
        <v>0.15983361005783081</v>
      </c>
      <c r="C853" s="527">
        <v>165.62907409667969</v>
      </c>
    </row>
    <row r="854" spans="1:3" x14ac:dyDescent="0.35">
      <c r="A854" s="527">
        <v>853</v>
      </c>
      <c r="B854" s="527">
        <v>0.15293370187282562</v>
      </c>
      <c r="C854" s="527">
        <v>158.47898864746094</v>
      </c>
    </row>
    <row r="855" spans="1:3" x14ac:dyDescent="0.35">
      <c r="A855" s="527">
        <v>854</v>
      </c>
      <c r="B855" s="527">
        <v>0.14603380858898163</v>
      </c>
      <c r="C855" s="527">
        <v>151.32890319824219</v>
      </c>
    </row>
    <row r="856" spans="1:3" x14ac:dyDescent="0.35">
      <c r="A856" s="527">
        <v>855</v>
      </c>
      <c r="B856" s="527">
        <v>0.1394789069890976</v>
      </c>
      <c r="C856" s="527">
        <v>144.53631591796875</v>
      </c>
    </row>
    <row r="857" spans="1:3" x14ac:dyDescent="0.35">
      <c r="A857" s="527">
        <v>856</v>
      </c>
      <c r="B857" s="527">
        <v>0.13325175642967224</v>
      </c>
      <c r="C857" s="527">
        <v>138.0833740234375</v>
      </c>
    </row>
    <row r="858" spans="1:3" x14ac:dyDescent="0.35">
      <c r="A858" s="527">
        <v>857</v>
      </c>
      <c r="B858" s="527">
        <v>0.12733595073223114</v>
      </c>
      <c r="C858" s="527">
        <v>131.95307922363281</v>
      </c>
    </row>
    <row r="859" spans="1:3" x14ac:dyDescent="0.35">
      <c r="A859" s="527">
        <v>858</v>
      </c>
      <c r="B859" s="527">
        <v>0.12171594798564911</v>
      </c>
      <c r="C859" s="527">
        <v>126.12928771972656</v>
      </c>
    </row>
    <row r="860" spans="1:3" x14ac:dyDescent="0.35">
      <c r="A860" s="527">
        <v>859</v>
      </c>
      <c r="B860" s="527">
        <v>0.11637693643569946</v>
      </c>
      <c r="C860" s="527">
        <v>120.59668731689453</v>
      </c>
    </row>
    <row r="861" spans="1:3" x14ac:dyDescent="0.35">
      <c r="A861" s="527">
        <v>860</v>
      </c>
      <c r="B861" s="527">
        <v>0.1113048791885376</v>
      </c>
      <c r="C861" s="527">
        <v>115.34072113037109</v>
      </c>
    </row>
    <row r="862" spans="1:3" x14ac:dyDescent="0.35">
      <c r="A862" s="527">
        <v>861</v>
      </c>
      <c r="B862" s="527">
        <v>0.10648642480373383</v>
      </c>
      <c r="C862" s="527">
        <v>110.34754943847656</v>
      </c>
    </row>
    <row r="863" spans="1:3" x14ac:dyDescent="0.35">
      <c r="A863" s="527">
        <v>862</v>
      </c>
      <c r="B863" s="527">
        <v>0.10190889239311218</v>
      </c>
      <c r="C863" s="527">
        <v>105.60404205322266</v>
      </c>
    </row>
    <row r="864" spans="1:3" x14ac:dyDescent="0.35">
      <c r="A864" s="527">
        <v>863</v>
      </c>
      <c r="B864" s="527">
        <v>9.7560234367847443E-2</v>
      </c>
      <c r="C864" s="527">
        <v>101.09770202636719</v>
      </c>
    </row>
    <row r="865" spans="1:3" x14ac:dyDescent="0.35">
      <c r="A865" s="527">
        <v>864</v>
      </c>
      <c r="B865" s="527">
        <v>9.3429014086723328E-2</v>
      </c>
      <c r="C865" s="527">
        <v>96.816688537597656</v>
      </c>
    </row>
    <row r="866" spans="1:3" x14ac:dyDescent="0.35">
      <c r="A866" s="527">
        <v>865</v>
      </c>
      <c r="B866" s="527">
        <v>8.9504346251487732E-2</v>
      </c>
      <c r="C866" s="527">
        <v>92.749717712402344</v>
      </c>
    </row>
    <row r="867" spans="1:3" x14ac:dyDescent="0.35">
      <c r="A867" s="527">
        <v>866</v>
      </c>
      <c r="B867" s="527">
        <v>8.5775919258594513E-2</v>
      </c>
      <c r="C867" s="527">
        <v>88.886100769042969</v>
      </c>
    </row>
    <row r="868" spans="1:3" x14ac:dyDescent="0.35">
      <c r="A868" s="527">
        <v>867</v>
      </c>
      <c r="B868" s="527">
        <v>8.2233913242816925E-2</v>
      </c>
      <c r="C868" s="527">
        <v>85.215660095214844</v>
      </c>
    </row>
    <row r="869" spans="1:3" x14ac:dyDescent="0.35">
      <c r="A869" s="527">
        <v>868</v>
      </c>
      <c r="B869" s="527">
        <v>7.8869007527828217E-2</v>
      </c>
      <c r="C869" s="527">
        <v>81.728744506835938</v>
      </c>
    </row>
    <row r="870" spans="1:3" x14ac:dyDescent="0.35">
      <c r="A870" s="527">
        <v>869</v>
      </c>
      <c r="B870" s="527">
        <v>7.5672343373298645E-2</v>
      </c>
      <c r="C870" s="527">
        <v>78.416175842285156</v>
      </c>
    </row>
    <row r="871" spans="1:3" x14ac:dyDescent="0.35">
      <c r="A871" s="527">
        <v>870</v>
      </c>
      <c r="B871" s="527">
        <v>7.263551652431488E-2</v>
      </c>
      <c r="C871" s="527">
        <v>75.269233703613281</v>
      </c>
    </row>
    <row r="872" spans="1:3" x14ac:dyDescent="0.35">
      <c r="A872" s="527">
        <v>871</v>
      </c>
      <c r="B872" s="527">
        <v>7.5672343373298645E-2</v>
      </c>
      <c r="C872" s="527">
        <v>78.416175842285156</v>
      </c>
    </row>
    <row r="873" spans="1:3" x14ac:dyDescent="0.35">
      <c r="A873" s="527">
        <v>872</v>
      </c>
      <c r="B873" s="527">
        <v>7.8557334840297699E-2</v>
      </c>
      <c r="C873" s="527">
        <v>81.405769348144531</v>
      </c>
    </row>
    <row r="874" spans="1:3" x14ac:dyDescent="0.35">
      <c r="A874" s="527">
        <v>873</v>
      </c>
      <c r="B874" s="527">
        <v>8.1298068165779114E-2</v>
      </c>
      <c r="C874" s="527">
        <v>84.245887756347656</v>
      </c>
    </row>
    <row r="875" spans="1:3" x14ac:dyDescent="0.35">
      <c r="A875" s="527">
        <v>874</v>
      </c>
      <c r="B875" s="527">
        <v>8.3901770412921906E-2</v>
      </c>
      <c r="C875" s="527">
        <v>86.943992614746094</v>
      </c>
    </row>
    <row r="876" spans="1:3" x14ac:dyDescent="0.35">
      <c r="A876" s="527">
        <v>875</v>
      </c>
      <c r="B876" s="527">
        <v>8.6375288665294647E-2</v>
      </c>
      <c r="C876" s="527">
        <v>89.507194519042969</v>
      </c>
    </row>
    <row r="877" spans="1:3" x14ac:dyDescent="0.35">
      <c r="A877" s="527">
        <v>876</v>
      </c>
      <c r="B877" s="527">
        <v>8.8848799467086792E-2</v>
      </c>
      <c r="C877" s="527">
        <v>92.070404052734375</v>
      </c>
    </row>
    <row r="878" spans="1:3" x14ac:dyDescent="0.35">
      <c r="A878" s="527">
        <v>877</v>
      </c>
      <c r="B878" s="527">
        <v>9.1322317719459534E-2</v>
      </c>
      <c r="C878" s="527">
        <v>94.63360595703125</v>
      </c>
    </row>
    <row r="879" spans="1:3" x14ac:dyDescent="0.35">
      <c r="A879" s="527">
        <v>878</v>
      </c>
      <c r="B879" s="527">
        <v>9.3795835971832275E-2</v>
      </c>
      <c r="C879" s="527">
        <v>97.196807861328125</v>
      </c>
    </row>
    <row r="880" spans="1:3" x14ac:dyDescent="0.35">
      <c r="A880" s="527">
        <v>879</v>
      </c>
      <c r="B880" s="527">
        <v>9.6145674586296082E-2</v>
      </c>
      <c r="C880" s="527">
        <v>99.631851196289063</v>
      </c>
    </row>
    <row r="881" spans="1:3" x14ac:dyDescent="0.35">
      <c r="A881" s="527">
        <v>880</v>
      </c>
      <c r="B881" s="527">
        <v>9.8495513200759888E-2</v>
      </c>
      <c r="C881" s="527">
        <v>102.06689453125</v>
      </c>
    </row>
    <row r="882" spans="1:3" x14ac:dyDescent="0.35">
      <c r="A882" s="527">
        <v>881</v>
      </c>
      <c r="B882" s="527">
        <v>0.10084535181522369</v>
      </c>
      <c r="C882" s="527">
        <v>104.50193786621094</v>
      </c>
    </row>
    <row r="883" spans="1:3" x14ac:dyDescent="0.35">
      <c r="A883" s="527">
        <v>882</v>
      </c>
      <c r="B883" s="527">
        <v>0.1031951978802681</v>
      </c>
      <c r="C883" s="527">
        <v>106.93698120117187</v>
      </c>
    </row>
    <row r="884" spans="1:3" x14ac:dyDescent="0.35">
      <c r="A884" s="527">
        <v>883</v>
      </c>
      <c r="B884" s="527">
        <v>0.1055450364947319</v>
      </c>
      <c r="C884" s="527">
        <v>109.37202453613281</v>
      </c>
    </row>
    <row r="885" spans="1:3" x14ac:dyDescent="0.35">
      <c r="A885" s="527">
        <v>884</v>
      </c>
      <c r="B885" s="527">
        <v>0.1031951978802681</v>
      </c>
      <c r="C885" s="527">
        <v>106.93698120117187</v>
      </c>
    </row>
    <row r="886" spans="1:3" x14ac:dyDescent="0.35">
      <c r="A886" s="527">
        <v>885</v>
      </c>
      <c r="B886" s="527">
        <v>0.1007278636097908</v>
      </c>
      <c r="C886" s="527">
        <v>104.38018798828125</v>
      </c>
    </row>
    <row r="887" spans="1:3" x14ac:dyDescent="0.35">
      <c r="A887" s="527">
        <v>886</v>
      </c>
      <c r="B887" s="527">
        <v>9.8137162625789642E-2</v>
      </c>
      <c r="C887" s="527">
        <v>101.69554901123047</v>
      </c>
    </row>
    <row r="888" spans="1:3" x14ac:dyDescent="0.35">
      <c r="A888" s="527">
        <v>887</v>
      </c>
      <c r="B888" s="527">
        <v>9.5546461641788483E-2</v>
      </c>
      <c r="C888" s="527">
        <v>99.010917663574219</v>
      </c>
    </row>
    <row r="889" spans="1:3" x14ac:dyDescent="0.35">
      <c r="A889" s="527">
        <v>888</v>
      </c>
      <c r="B889" s="527">
        <v>9.295576810836792E-2</v>
      </c>
      <c r="C889" s="527">
        <v>96.326278686523438</v>
      </c>
    </row>
    <row r="890" spans="1:3" x14ac:dyDescent="0.35">
      <c r="A890" s="527">
        <v>889</v>
      </c>
      <c r="B890" s="527">
        <v>9.036506712436676E-2</v>
      </c>
      <c r="C890" s="527">
        <v>93.641647338867188</v>
      </c>
    </row>
    <row r="891" spans="1:3" x14ac:dyDescent="0.35">
      <c r="A891" s="527">
        <v>890</v>
      </c>
      <c r="B891" s="527">
        <v>8.7774366140365601E-2</v>
      </c>
      <c r="C891" s="527">
        <v>90.957008361816406</v>
      </c>
    </row>
    <row r="892" spans="1:3" x14ac:dyDescent="0.35">
      <c r="A892" s="527">
        <v>891</v>
      </c>
      <c r="B892" s="527">
        <v>8.5183672606945038E-2</v>
      </c>
      <c r="C892" s="527">
        <v>88.272377014160156</v>
      </c>
    </row>
    <row r="893" spans="1:3" x14ac:dyDescent="0.35">
      <c r="A893" s="527">
        <v>892</v>
      </c>
      <c r="B893" s="527">
        <v>8.2722507417201996E-2</v>
      </c>
      <c r="C893" s="527">
        <v>85.721969604492188</v>
      </c>
    </row>
    <row r="894" spans="1:3" x14ac:dyDescent="0.35">
      <c r="A894" s="527">
        <v>893</v>
      </c>
      <c r="B894" s="527">
        <v>8.0384403467178345E-2</v>
      </c>
      <c r="C894" s="527">
        <v>83.299087524414063</v>
      </c>
    </row>
    <row r="895" spans="1:3" x14ac:dyDescent="0.35">
      <c r="A895" s="527">
        <v>894</v>
      </c>
      <c r="B895" s="527">
        <v>7.8046292066574097E-2</v>
      </c>
      <c r="C895" s="527">
        <v>80.876205444335938</v>
      </c>
    </row>
    <row r="896" spans="1:3" x14ac:dyDescent="0.35">
      <c r="A896" s="527">
        <v>895</v>
      </c>
      <c r="B896" s="527">
        <v>7.5708188116550446E-2</v>
      </c>
      <c r="C896" s="527">
        <v>78.453315734863281</v>
      </c>
    </row>
    <row r="897" spans="1:3" x14ac:dyDescent="0.35">
      <c r="A897" s="527">
        <v>896</v>
      </c>
      <c r="B897" s="527">
        <v>7.3370084166526794E-2</v>
      </c>
      <c r="C897" s="527">
        <v>76.030433654785156</v>
      </c>
    </row>
    <row r="898" spans="1:3" x14ac:dyDescent="0.35">
      <c r="A898" s="527">
        <v>897</v>
      </c>
      <c r="B898" s="527">
        <v>7.1148887276649475E-2</v>
      </c>
      <c r="C898" s="527">
        <v>73.72869873046875</v>
      </c>
    </row>
    <row r="899" spans="1:3" x14ac:dyDescent="0.35">
      <c r="A899" s="527">
        <v>898</v>
      </c>
      <c r="B899" s="527">
        <v>6.8927682936191559E-2</v>
      </c>
      <c r="C899" s="527">
        <v>71.426956176757813</v>
      </c>
    </row>
    <row r="900" spans="1:3" x14ac:dyDescent="0.35">
      <c r="A900" s="527">
        <v>899</v>
      </c>
      <c r="B900" s="527">
        <v>6.6817544400691986E-2</v>
      </c>
      <c r="C900" s="527">
        <v>69.240303039550781</v>
      </c>
    </row>
    <row r="901" spans="1:3" x14ac:dyDescent="0.35">
      <c r="A901" s="527">
        <v>900</v>
      </c>
      <c r="B901" s="527">
        <v>6.8927682936191559E-2</v>
      </c>
      <c r="C901" s="527">
        <v>71.426956176757813</v>
      </c>
    </row>
    <row r="902" spans="1:3" x14ac:dyDescent="0.35">
      <c r="A902" s="527">
        <v>901</v>
      </c>
      <c r="B902" s="527">
        <v>7.0932313799858093E-2</v>
      </c>
      <c r="C902" s="527">
        <v>73.5042724609375</v>
      </c>
    </row>
    <row r="903" spans="1:3" x14ac:dyDescent="0.35">
      <c r="A903" s="527">
        <v>902</v>
      </c>
      <c r="B903" s="527">
        <v>7.2836719453334808E-2</v>
      </c>
      <c r="C903" s="527">
        <v>75.477729797363281</v>
      </c>
    </row>
    <row r="904" spans="1:3" x14ac:dyDescent="0.35">
      <c r="A904" s="527">
        <v>903</v>
      </c>
      <c r="B904" s="527">
        <v>7.464589923620224E-2</v>
      </c>
      <c r="C904" s="527">
        <v>77.352508544921875</v>
      </c>
    </row>
    <row r="905" spans="1:3" x14ac:dyDescent="0.35">
      <c r="A905" s="527">
        <v>904</v>
      </c>
      <c r="B905" s="527">
        <v>7.6364621520042419E-2</v>
      </c>
      <c r="C905" s="527">
        <v>79.133552551269531</v>
      </c>
    </row>
    <row r="906" spans="1:3" x14ac:dyDescent="0.35">
      <c r="A906" s="527">
        <v>905</v>
      </c>
      <c r="B906" s="527">
        <v>7.7997408807277679E-2</v>
      </c>
      <c r="C906" s="527">
        <v>80.825546264648437</v>
      </c>
    </row>
    <row r="907" spans="1:3" x14ac:dyDescent="0.35">
      <c r="A907" s="527">
        <v>906</v>
      </c>
      <c r="B907" s="527">
        <v>7.9548552632331848E-2</v>
      </c>
      <c r="C907" s="527">
        <v>82.432937622070313</v>
      </c>
    </row>
    <row r="908" spans="1:3" x14ac:dyDescent="0.35">
      <c r="A908" s="527">
        <v>907</v>
      </c>
      <c r="B908" s="527">
        <v>8.1022143363952637E-2</v>
      </c>
      <c r="C908" s="527">
        <v>83.959953308105469</v>
      </c>
    </row>
    <row r="909" spans="1:3" x14ac:dyDescent="0.35">
      <c r="A909" s="527">
        <v>908</v>
      </c>
      <c r="B909" s="527">
        <v>8.2422055304050446E-2</v>
      </c>
      <c r="C909" s="527">
        <v>85.410621643066406</v>
      </c>
    </row>
    <row r="910" spans="1:3" x14ac:dyDescent="0.35">
      <c r="A910" s="527">
        <v>909</v>
      </c>
      <c r="B910" s="527">
        <v>8.3821967244148254E-2</v>
      </c>
      <c r="C910" s="527">
        <v>86.861297607421875</v>
      </c>
    </row>
    <row r="911" spans="1:3" x14ac:dyDescent="0.35">
      <c r="A911" s="527">
        <v>910</v>
      </c>
      <c r="B911" s="527">
        <v>8.5221879184246063E-2</v>
      </c>
      <c r="C911" s="527">
        <v>88.311965942382812</v>
      </c>
    </row>
    <row r="912" spans="1:3" x14ac:dyDescent="0.35">
      <c r="A912" s="527">
        <v>911</v>
      </c>
      <c r="B912" s="527">
        <v>8.6621783673763275E-2</v>
      </c>
      <c r="C912" s="527">
        <v>89.76263427734375</v>
      </c>
    </row>
    <row r="913" spans="1:3" x14ac:dyDescent="0.35">
      <c r="A913" s="527">
        <v>912</v>
      </c>
      <c r="B913" s="527">
        <v>8.8021695613861084E-2</v>
      </c>
      <c r="C913" s="527">
        <v>91.213302612304688</v>
      </c>
    </row>
    <row r="914" spans="1:3" x14ac:dyDescent="0.35">
      <c r="A914" s="527">
        <v>913</v>
      </c>
      <c r="B914" s="527">
        <v>8.9421607553958893E-2</v>
      </c>
      <c r="C914" s="527">
        <v>92.663978576660156</v>
      </c>
    </row>
    <row r="915" spans="1:3" x14ac:dyDescent="0.35">
      <c r="A915" s="527">
        <v>914</v>
      </c>
      <c r="B915" s="527">
        <v>9.0821519494056702E-2</v>
      </c>
      <c r="C915" s="527">
        <v>94.114646911621094</v>
      </c>
    </row>
    <row r="916" spans="1:3" x14ac:dyDescent="0.35">
      <c r="A916" s="527">
        <v>915</v>
      </c>
      <c r="B916" s="527">
        <v>9.2221423983573914E-2</v>
      </c>
      <c r="C916" s="527">
        <v>95.565315246582031</v>
      </c>
    </row>
    <row r="917" spans="1:3" x14ac:dyDescent="0.35">
      <c r="A917" s="527">
        <v>916</v>
      </c>
      <c r="B917" s="527">
        <v>9.3691334128379822E-2</v>
      </c>
      <c r="C917" s="527">
        <v>97.088516235351563</v>
      </c>
    </row>
    <row r="918" spans="1:3" x14ac:dyDescent="0.35">
      <c r="A918" s="527">
        <v>917</v>
      </c>
      <c r="B918" s="527">
        <v>9.5161236822605133E-2</v>
      </c>
      <c r="C918" s="527">
        <v>98.611724853515625</v>
      </c>
    </row>
    <row r="919" spans="1:3" x14ac:dyDescent="0.35">
      <c r="A919" s="527">
        <v>918</v>
      </c>
      <c r="B919" s="527">
        <v>9.6631146967411041E-2</v>
      </c>
      <c r="C919" s="527">
        <v>100.13492584228516</v>
      </c>
    </row>
    <row r="920" spans="1:3" x14ac:dyDescent="0.35">
      <c r="A920" s="527">
        <v>919</v>
      </c>
      <c r="B920" s="527">
        <v>9.8101049661636353E-2</v>
      </c>
      <c r="C920" s="527">
        <v>101.65812683105469</v>
      </c>
    </row>
    <row r="921" spans="1:3" x14ac:dyDescent="0.35">
      <c r="A921" s="527">
        <v>920</v>
      </c>
      <c r="B921" s="527">
        <v>9.9570952355861664E-2</v>
      </c>
      <c r="C921" s="527">
        <v>103.18133544921875</v>
      </c>
    </row>
    <row r="922" spans="1:3" x14ac:dyDescent="0.35">
      <c r="A922" s="527">
        <v>921</v>
      </c>
      <c r="B922" s="527">
        <v>0.10096736252307892</v>
      </c>
      <c r="C922" s="527">
        <v>104.62837219238281</v>
      </c>
    </row>
    <row r="923" spans="1:3" x14ac:dyDescent="0.35">
      <c r="A923" s="527">
        <v>922</v>
      </c>
      <c r="B923" s="527">
        <v>0.10236377269029617</v>
      </c>
      <c r="C923" s="527">
        <v>106.07541656494141</v>
      </c>
    </row>
    <row r="924" spans="1:3" x14ac:dyDescent="0.35">
      <c r="A924" s="527">
        <v>923</v>
      </c>
      <c r="B924" s="527">
        <v>0.10369036346673965</v>
      </c>
      <c r="C924" s="527">
        <v>107.45011138916016</v>
      </c>
    </row>
    <row r="925" spans="1:3" x14ac:dyDescent="0.35">
      <c r="A925" s="527">
        <v>924</v>
      </c>
      <c r="B925" s="527">
        <v>0.10501695424318314</v>
      </c>
      <c r="C925" s="527">
        <v>108.82479858398437</v>
      </c>
    </row>
    <row r="926" spans="1:3" x14ac:dyDescent="0.35">
      <c r="A926" s="527">
        <v>925</v>
      </c>
      <c r="B926" s="527">
        <v>0.10634354501962662</v>
      </c>
      <c r="C926" s="527">
        <v>110.19949340820312</v>
      </c>
    </row>
    <row r="927" spans="1:3" x14ac:dyDescent="0.35">
      <c r="A927" s="527">
        <v>926</v>
      </c>
      <c r="B927" s="527">
        <v>0.1076701357960701</v>
      </c>
      <c r="C927" s="527">
        <v>111.57418060302734</v>
      </c>
    </row>
    <row r="928" spans="1:3" x14ac:dyDescent="0.35">
      <c r="A928" s="527">
        <v>927</v>
      </c>
      <c r="B928" s="527">
        <v>0.10893039405345917</v>
      </c>
      <c r="C928" s="527">
        <v>112.88014221191406</v>
      </c>
    </row>
    <row r="929" spans="1:3" x14ac:dyDescent="0.35">
      <c r="A929" s="527">
        <v>928</v>
      </c>
      <c r="B929" s="527">
        <v>0.11019065976142883</v>
      </c>
      <c r="C929" s="527">
        <v>114.18609619140625</v>
      </c>
    </row>
    <row r="930" spans="1:3" x14ac:dyDescent="0.35">
      <c r="A930" s="527">
        <v>929</v>
      </c>
      <c r="B930" s="527">
        <v>0.1114509180188179</v>
      </c>
      <c r="C930" s="527">
        <v>115.49205017089844</v>
      </c>
    </row>
    <row r="931" spans="1:3" x14ac:dyDescent="0.35">
      <c r="A931" s="527">
        <v>930</v>
      </c>
      <c r="B931" s="527">
        <v>0.11264816671609879</v>
      </c>
      <c r="C931" s="527">
        <v>116.73271179199219</v>
      </c>
    </row>
    <row r="932" spans="1:3" x14ac:dyDescent="0.35">
      <c r="A932" s="527">
        <v>931</v>
      </c>
      <c r="B932" s="527">
        <v>0.11384540796279907</v>
      </c>
      <c r="C932" s="527">
        <v>117.97337341308594</v>
      </c>
    </row>
    <row r="933" spans="1:3" x14ac:dyDescent="0.35">
      <c r="A933" s="527">
        <v>932</v>
      </c>
      <c r="B933" s="527">
        <v>0.11498279869556427</v>
      </c>
      <c r="C933" s="527">
        <v>119.15199279785156</v>
      </c>
    </row>
    <row r="934" spans="1:3" x14ac:dyDescent="0.35">
      <c r="A934" s="527">
        <v>933</v>
      </c>
      <c r="B934" s="527">
        <v>0.11606331169605255</v>
      </c>
      <c r="C934" s="527">
        <v>120.27169036865234</v>
      </c>
    </row>
    <row r="935" spans="1:3" x14ac:dyDescent="0.35">
      <c r="A935" s="527">
        <v>934</v>
      </c>
      <c r="B935" s="527">
        <v>0.11714382469654083</v>
      </c>
      <c r="C935" s="527">
        <v>121.39138793945312</v>
      </c>
    </row>
    <row r="936" spans="1:3" x14ac:dyDescent="0.35">
      <c r="A936" s="527">
        <v>935</v>
      </c>
      <c r="B936" s="527">
        <v>0.11606331169605255</v>
      </c>
      <c r="C936" s="527">
        <v>120.27169036865234</v>
      </c>
    </row>
    <row r="937" spans="1:3" x14ac:dyDescent="0.35">
      <c r="A937" s="527">
        <v>936</v>
      </c>
      <c r="B937" s="527">
        <v>0.11503682285547256</v>
      </c>
      <c r="C937" s="527">
        <v>119.20798492431641</v>
      </c>
    </row>
    <row r="938" spans="1:3" x14ac:dyDescent="0.35">
      <c r="A938" s="527">
        <v>937</v>
      </c>
      <c r="B938" s="527">
        <v>0.11406165361404419</v>
      </c>
      <c r="C938" s="527">
        <v>118.19745635986328</v>
      </c>
    </row>
    <row r="939" spans="1:3" x14ac:dyDescent="0.35">
      <c r="A939" s="527">
        <v>938</v>
      </c>
      <c r="B939" s="527">
        <v>0.11313524842262268</v>
      </c>
      <c r="C939" s="527">
        <v>117.23745727539062</v>
      </c>
    </row>
    <row r="940" spans="1:3" x14ac:dyDescent="0.35">
      <c r="A940" s="527">
        <v>939</v>
      </c>
      <c r="B940" s="527">
        <v>0.11225516349077225</v>
      </c>
      <c r="C940" s="527">
        <v>116.32546234130859</v>
      </c>
    </row>
    <row r="941" spans="1:3" x14ac:dyDescent="0.35">
      <c r="A941" s="527">
        <v>940</v>
      </c>
      <c r="B941" s="527">
        <v>0.11141908168792725</v>
      </c>
      <c r="C941" s="527">
        <v>115.45906066894531</v>
      </c>
    </row>
    <row r="942" spans="1:3" x14ac:dyDescent="0.35">
      <c r="A942" s="527">
        <v>941</v>
      </c>
      <c r="B942" s="527">
        <v>0.11058299988508224</v>
      </c>
      <c r="C942" s="527">
        <v>114.59266662597656</v>
      </c>
    </row>
    <row r="943" spans="1:3" x14ac:dyDescent="0.35">
      <c r="A943" s="527">
        <v>942</v>
      </c>
      <c r="B943" s="527">
        <v>0.10978871583938599</v>
      </c>
      <c r="C943" s="527">
        <v>113.76958465576172</v>
      </c>
    </row>
    <row r="944" spans="1:3" x14ac:dyDescent="0.35">
      <c r="A944" s="527">
        <v>943</v>
      </c>
      <c r="B944" s="527">
        <v>0.10899443924427032</v>
      </c>
      <c r="C944" s="527">
        <v>112.94651031494141</v>
      </c>
    </row>
    <row r="945" spans="1:3" x14ac:dyDescent="0.35">
      <c r="A945" s="527">
        <v>944</v>
      </c>
      <c r="B945" s="527">
        <v>0.10823987424373627</v>
      </c>
      <c r="C945" s="527">
        <v>112.16458129882812</v>
      </c>
    </row>
    <row r="946" spans="1:3" x14ac:dyDescent="0.35">
      <c r="A946" s="527">
        <v>945</v>
      </c>
      <c r="B946" s="527">
        <v>0.10899443924427032</v>
      </c>
      <c r="C946" s="527">
        <v>112.94651031494141</v>
      </c>
    </row>
    <row r="947" spans="1:3" x14ac:dyDescent="0.35">
      <c r="A947" s="527">
        <v>946</v>
      </c>
      <c r="B947" s="527">
        <v>0.10971127450466156</v>
      </c>
      <c r="C947" s="527">
        <v>113.68933868408203</v>
      </c>
    </row>
    <row r="948" spans="1:3" x14ac:dyDescent="0.35">
      <c r="A948" s="527">
        <v>947</v>
      </c>
      <c r="B948" s="527">
        <v>0.11039227247238159</v>
      </c>
      <c r="C948" s="527">
        <v>114.39501953125</v>
      </c>
    </row>
    <row r="949" spans="1:3" x14ac:dyDescent="0.35">
      <c r="A949" s="527">
        <v>948</v>
      </c>
      <c r="B949" s="527">
        <v>0.11103921383619308</v>
      </c>
      <c r="C949" s="527">
        <v>115.06542205810547</v>
      </c>
    </row>
    <row r="950" spans="1:3" x14ac:dyDescent="0.35">
      <c r="A950" s="527">
        <v>949</v>
      </c>
      <c r="B950" s="527">
        <v>0.11165381222963333</v>
      </c>
      <c r="C950" s="527">
        <v>115.70230865478516</v>
      </c>
    </row>
    <row r="951" spans="1:3" x14ac:dyDescent="0.35">
      <c r="A951" s="527">
        <v>950</v>
      </c>
      <c r="B951" s="527">
        <v>0.11223768442869186</v>
      </c>
      <c r="C951" s="527">
        <v>116.30734252929687</v>
      </c>
    </row>
    <row r="952" spans="1:3" x14ac:dyDescent="0.35">
      <c r="A952" s="527">
        <v>951</v>
      </c>
      <c r="B952" s="527">
        <v>0.11279235780239105</v>
      </c>
      <c r="C952" s="527">
        <v>116.88213348388672</v>
      </c>
    </row>
    <row r="953" spans="1:3" x14ac:dyDescent="0.35">
      <c r="A953" s="527">
        <v>952</v>
      </c>
      <c r="B953" s="527">
        <v>0.11331929266452789</v>
      </c>
      <c r="C953" s="527">
        <v>117.42817687988281</v>
      </c>
    </row>
    <row r="954" spans="1:3" x14ac:dyDescent="0.35">
      <c r="A954" s="527">
        <v>953</v>
      </c>
      <c r="B954" s="527">
        <v>0.11381988972425461</v>
      </c>
      <c r="C954" s="527">
        <v>117.94692230224609</v>
      </c>
    </row>
    <row r="955" spans="1:3" x14ac:dyDescent="0.35">
      <c r="A955" s="527">
        <v>954</v>
      </c>
      <c r="B955" s="527">
        <v>0.11429545283317566</v>
      </c>
      <c r="C955" s="527">
        <v>118.43972778320312</v>
      </c>
    </row>
    <row r="956" spans="1:3" x14ac:dyDescent="0.35">
      <c r="A956" s="527">
        <v>955</v>
      </c>
      <c r="B956" s="527">
        <v>0.11474724113941193</v>
      </c>
      <c r="C956" s="527">
        <v>118.90789794921875</v>
      </c>
    </row>
    <row r="957" spans="1:3" x14ac:dyDescent="0.35">
      <c r="A957" s="527">
        <v>956</v>
      </c>
      <c r="B957" s="527">
        <v>0.11517643183469772</v>
      </c>
      <c r="C957" s="527">
        <v>119.35265350341797</v>
      </c>
    </row>
    <row r="958" spans="1:3" x14ac:dyDescent="0.35">
      <c r="A958" s="527">
        <v>957</v>
      </c>
      <c r="B958" s="527">
        <v>0.11560562998056412</v>
      </c>
      <c r="C958" s="527">
        <v>119.79741668701172</v>
      </c>
    </row>
    <row r="959" spans="1:3" x14ac:dyDescent="0.35">
      <c r="A959" s="527">
        <v>958</v>
      </c>
      <c r="B959" s="527">
        <v>0.11601337045431137</v>
      </c>
      <c r="C959" s="527">
        <v>120.21993255615234</v>
      </c>
    </row>
    <row r="960" spans="1:3" x14ac:dyDescent="0.35">
      <c r="A960" s="527">
        <v>959</v>
      </c>
      <c r="B960" s="527">
        <v>0.11640071868896484</v>
      </c>
      <c r="C960" s="527">
        <v>120.62133026123047</v>
      </c>
    </row>
    <row r="961" spans="1:3" x14ac:dyDescent="0.35">
      <c r="A961" s="527">
        <v>960</v>
      </c>
      <c r="B961" s="527">
        <v>0.11603273451328278</v>
      </c>
      <c r="C961" s="527">
        <v>120.24000549316406</v>
      </c>
    </row>
    <row r="962" spans="1:3" x14ac:dyDescent="0.35">
      <c r="A962" s="527">
        <v>961</v>
      </c>
      <c r="B962" s="527">
        <v>0.11568315327167511</v>
      </c>
      <c r="C962" s="527">
        <v>119.87774658203125</v>
      </c>
    </row>
    <row r="963" spans="1:3" x14ac:dyDescent="0.35">
      <c r="A963" s="527">
        <v>962</v>
      </c>
      <c r="B963" s="527">
        <v>0.11535105109214783</v>
      </c>
      <c r="C963" s="527">
        <v>119.53359985351562</v>
      </c>
    </row>
    <row r="964" spans="1:3" x14ac:dyDescent="0.35">
      <c r="A964" s="527">
        <v>963</v>
      </c>
      <c r="B964" s="527">
        <v>0.11501894146203995</v>
      </c>
      <c r="C964" s="527">
        <v>119.189453125</v>
      </c>
    </row>
    <row r="965" spans="1:3" x14ac:dyDescent="0.35">
      <c r="A965" s="527">
        <v>964</v>
      </c>
      <c r="B965" s="527">
        <v>0.11468683928251266</v>
      </c>
      <c r="C965" s="527">
        <v>118.84530639648437</v>
      </c>
    </row>
    <row r="966" spans="1:3" x14ac:dyDescent="0.35">
      <c r="A966" s="527">
        <v>965</v>
      </c>
      <c r="B966" s="527">
        <v>0.11435473710298538</v>
      </c>
      <c r="C966" s="527">
        <v>118.50116729736328</v>
      </c>
    </row>
    <row r="967" spans="1:3" x14ac:dyDescent="0.35">
      <c r="A967" s="527">
        <v>966</v>
      </c>
      <c r="B967" s="527">
        <v>0.11403923481702805</v>
      </c>
      <c r="C967" s="527">
        <v>118.17422485351562</v>
      </c>
    </row>
    <row r="968" spans="1:3" x14ac:dyDescent="0.35">
      <c r="A968" s="527">
        <v>967</v>
      </c>
      <c r="B968" s="527">
        <v>0.11373951286077499</v>
      </c>
      <c r="C968" s="527">
        <v>117.86363220214844</v>
      </c>
    </row>
    <row r="969" spans="1:3" x14ac:dyDescent="0.35">
      <c r="A969" s="527">
        <v>968</v>
      </c>
      <c r="B969" s="527">
        <v>0.11345477402210236</v>
      </c>
      <c r="C969" s="527">
        <v>117.56857299804688</v>
      </c>
    </row>
    <row r="970" spans="1:3" x14ac:dyDescent="0.35">
      <c r="A970" s="527">
        <v>969</v>
      </c>
      <c r="B970" s="527">
        <v>0.11318427324295044</v>
      </c>
      <c r="C970" s="527">
        <v>117.28826141357422</v>
      </c>
    </row>
    <row r="971" spans="1:3" x14ac:dyDescent="0.35">
      <c r="A971" s="527">
        <v>970</v>
      </c>
      <c r="B971" s="527">
        <v>0.11292730271816254</v>
      </c>
      <c r="C971" s="527">
        <v>117.02197265625</v>
      </c>
    </row>
    <row r="972" spans="1:3" x14ac:dyDescent="0.35">
      <c r="A972" s="527">
        <v>971</v>
      </c>
      <c r="B972" s="527">
        <v>0.11267032474279404</v>
      </c>
      <c r="C972" s="527">
        <v>116.75567626953125</v>
      </c>
    </row>
    <row r="973" spans="1:3" x14ac:dyDescent="0.35">
      <c r="A973" s="527">
        <v>972</v>
      </c>
      <c r="B973" s="527">
        <v>0.11292730271816254</v>
      </c>
      <c r="C973" s="527">
        <v>117.02197265625</v>
      </c>
    </row>
    <row r="974" spans="1:3" x14ac:dyDescent="0.35">
      <c r="A974" s="527">
        <v>973</v>
      </c>
      <c r="B974" s="527">
        <v>0.11318427324295044</v>
      </c>
      <c r="C974" s="527">
        <v>117.28826141357422</v>
      </c>
    </row>
    <row r="975" spans="1:3" x14ac:dyDescent="0.35">
      <c r="A975" s="527">
        <v>974</v>
      </c>
      <c r="B975" s="527">
        <v>0.11342840641736984</v>
      </c>
      <c r="C975" s="527">
        <v>117.54124450683594</v>
      </c>
    </row>
    <row r="976" spans="1:3" x14ac:dyDescent="0.35">
      <c r="A976" s="527">
        <v>975</v>
      </c>
      <c r="B976" s="527">
        <v>0.11366032063961029</v>
      </c>
      <c r="C976" s="527">
        <v>117.78157043457031</v>
      </c>
    </row>
    <row r="977" spans="1:3" x14ac:dyDescent="0.35">
      <c r="A977" s="527">
        <v>976</v>
      </c>
      <c r="B977" s="527">
        <v>0.11388064920902252</v>
      </c>
      <c r="C977" s="527">
        <v>118.0098876953125</v>
      </c>
    </row>
    <row r="978" spans="1:3" x14ac:dyDescent="0.35">
      <c r="A978" s="527">
        <v>977</v>
      </c>
      <c r="B978" s="527">
        <v>0.1140899583697319</v>
      </c>
      <c r="C978" s="527">
        <v>118.22678375244141</v>
      </c>
    </row>
    <row r="979" spans="1:3" x14ac:dyDescent="0.35">
      <c r="A979" s="527">
        <v>978</v>
      </c>
      <c r="B979" s="527">
        <v>0.11428879946470261</v>
      </c>
      <c r="C979" s="527">
        <v>118.43283843994141</v>
      </c>
    </row>
    <row r="980" spans="1:3" x14ac:dyDescent="0.35">
      <c r="A980" s="527">
        <v>979</v>
      </c>
      <c r="B980" s="527">
        <v>0.11447770148515701</v>
      </c>
      <c r="C980" s="527">
        <v>118.62858581542969</v>
      </c>
    </row>
    <row r="981" spans="1:3" x14ac:dyDescent="0.35">
      <c r="A981" s="527">
        <v>980</v>
      </c>
      <c r="B981" s="527">
        <v>0.11465715616941452</v>
      </c>
      <c r="C981" s="527">
        <v>118.81454467773437</v>
      </c>
    </row>
    <row r="982" spans="1:3" x14ac:dyDescent="0.35">
      <c r="A982" s="527">
        <v>981</v>
      </c>
      <c r="B982" s="527">
        <v>0.11482764035463333</v>
      </c>
      <c r="C982" s="527">
        <v>118.9912109375</v>
      </c>
    </row>
    <row r="983" spans="1:3" x14ac:dyDescent="0.35">
      <c r="A983" s="527">
        <v>982</v>
      </c>
      <c r="B983" s="527">
        <v>0.11498959362506866</v>
      </c>
      <c r="C983" s="527">
        <v>119.15904235839844</v>
      </c>
    </row>
    <row r="984" spans="1:3" x14ac:dyDescent="0.35">
      <c r="A984" s="527">
        <v>983</v>
      </c>
      <c r="B984" s="527">
        <v>0.11515155434608459</v>
      </c>
      <c r="C984" s="527">
        <v>119.32687377929687</v>
      </c>
    </row>
    <row r="985" spans="1:3" x14ac:dyDescent="0.35">
      <c r="A985" s="527">
        <v>984</v>
      </c>
      <c r="B985" s="527">
        <v>0.11530541628599167</v>
      </c>
      <c r="C985" s="527">
        <v>119.48631286621094</v>
      </c>
    </row>
    <row r="986" spans="1:3" x14ac:dyDescent="0.35">
      <c r="A986" s="527">
        <v>985</v>
      </c>
      <c r="B986" s="527">
        <v>0.11545158177614212</v>
      </c>
      <c r="C986" s="527">
        <v>119.63777923583984</v>
      </c>
    </row>
    <row r="987" spans="1:3" x14ac:dyDescent="0.35">
      <c r="A987" s="527">
        <v>986</v>
      </c>
      <c r="B987" s="527">
        <v>0.11559044569730759</v>
      </c>
      <c r="C987" s="527">
        <v>119.78167724609375</v>
      </c>
    </row>
    <row r="988" spans="1:3" x14ac:dyDescent="0.35">
      <c r="A988" s="527">
        <v>987</v>
      </c>
      <c r="B988" s="527">
        <v>0.11572930216789246</v>
      </c>
      <c r="C988" s="527">
        <v>119.92557525634766</v>
      </c>
    </row>
    <row r="989" spans="1:3" x14ac:dyDescent="0.35">
      <c r="A989" s="527">
        <v>988</v>
      </c>
      <c r="B989" s="527">
        <v>0.11586122214794159</v>
      </c>
      <c r="C989" s="527">
        <v>120.06227111816406</v>
      </c>
    </row>
    <row r="990" spans="1:3" x14ac:dyDescent="0.35">
      <c r="A990" s="527">
        <v>989</v>
      </c>
      <c r="B990" s="527">
        <v>0.11598654091358185</v>
      </c>
      <c r="C990" s="527">
        <v>120.192138671875</v>
      </c>
    </row>
    <row r="991" spans="1:3" x14ac:dyDescent="0.35">
      <c r="A991" s="527">
        <v>990</v>
      </c>
      <c r="B991" s="527">
        <v>0.11611185967922211</v>
      </c>
      <c r="C991" s="527">
        <v>120.32199859619141</v>
      </c>
    </row>
    <row r="992" spans="1:3" x14ac:dyDescent="0.35">
      <c r="A992" s="527">
        <v>991</v>
      </c>
      <c r="B992" s="527">
        <v>0.11623091250658035</v>
      </c>
      <c r="C992" s="527">
        <v>120.44537353515625</v>
      </c>
    </row>
    <row r="993" spans="1:3" x14ac:dyDescent="0.35">
      <c r="A993" s="527">
        <v>992</v>
      </c>
      <c r="B993" s="527">
        <v>0.11634401977062225</v>
      </c>
      <c r="C993" s="527">
        <v>120.56257629394531</v>
      </c>
    </row>
    <row r="994" spans="1:3" x14ac:dyDescent="0.35">
      <c r="A994" s="527">
        <v>993</v>
      </c>
      <c r="B994" s="527">
        <v>0.11645711958408356</v>
      </c>
      <c r="C994" s="527">
        <v>120.67977905273437</v>
      </c>
    </row>
    <row r="995" spans="1:3" x14ac:dyDescent="0.35">
      <c r="A995" s="527">
        <v>994</v>
      </c>
      <c r="B995" s="527">
        <v>0.11657021939754486</v>
      </c>
      <c r="C995" s="527">
        <v>120.79698181152344</v>
      </c>
    </row>
    <row r="996" spans="1:3" x14ac:dyDescent="0.35">
      <c r="A996" s="527">
        <v>995</v>
      </c>
      <c r="B996" s="527">
        <v>0.11668332666158676</v>
      </c>
      <c r="C996" s="527">
        <v>120.9141845703125</v>
      </c>
    </row>
    <row r="997" spans="1:3" x14ac:dyDescent="0.35">
      <c r="A997" s="527">
        <v>996</v>
      </c>
      <c r="B997" s="527">
        <v>0.116790771484375</v>
      </c>
      <c r="C997" s="527">
        <v>121.02552795410156</v>
      </c>
    </row>
    <row r="998" spans="1:3" x14ac:dyDescent="0.35">
      <c r="A998" s="527">
        <v>997</v>
      </c>
      <c r="B998" s="527">
        <v>0.11689821630716324</v>
      </c>
      <c r="C998" s="527">
        <v>121.13687133789062</v>
      </c>
    </row>
    <row r="999" spans="1:3" x14ac:dyDescent="0.35">
      <c r="A999" s="527">
        <v>998</v>
      </c>
      <c r="B999" s="527">
        <v>0.11700566112995148</v>
      </c>
      <c r="C999" s="527">
        <v>121.24821472167969</v>
      </c>
    </row>
    <row r="1000" spans="1:3" x14ac:dyDescent="0.35">
      <c r="A1000" s="527">
        <v>999</v>
      </c>
      <c r="B1000" s="527">
        <v>0.11711311340332031</v>
      </c>
      <c r="C1000" s="527">
        <v>121.35955047607422</v>
      </c>
    </row>
    <row r="1001" spans="1:3" x14ac:dyDescent="0.35">
      <c r="A1001" s="527">
        <v>1000</v>
      </c>
      <c r="B1001" s="527">
        <v>0.11722055822610855</v>
      </c>
      <c r="C1001" s="527">
        <v>121.47089385986328</v>
      </c>
    </row>
    <row r="1002" spans="1:3" x14ac:dyDescent="0.35">
      <c r="A1002" s="527">
        <v>1001</v>
      </c>
      <c r="B1002" s="527">
        <v>0.11732800304889679</v>
      </c>
      <c r="C1002" s="527">
        <v>121.58223724365234</v>
      </c>
    </row>
    <row r="1003" spans="1:3" x14ac:dyDescent="0.35">
      <c r="A1003" s="527">
        <v>1002</v>
      </c>
      <c r="B1003" s="527">
        <v>0.11743544787168503</v>
      </c>
      <c r="C1003" s="527">
        <v>121.69358062744141</v>
      </c>
    </row>
    <row r="1004" spans="1:3" x14ac:dyDescent="0.35">
      <c r="A1004" s="527">
        <v>1003</v>
      </c>
      <c r="B1004" s="527">
        <v>0.11754290014505386</v>
      </c>
      <c r="C1004" s="527">
        <v>121.80492401123047</v>
      </c>
    </row>
    <row r="1005" spans="1:3" x14ac:dyDescent="0.35">
      <c r="A1005" s="527">
        <v>1004</v>
      </c>
      <c r="B1005" s="527">
        <v>0.1176503449678421</v>
      </c>
      <c r="C1005" s="527">
        <v>121.91626739501953</v>
      </c>
    </row>
    <row r="1006" spans="1:3" x14ac:dyDescent="0.35">
      <c r="A1006" s="527">
        <v>1005</v>
      </c>
      <c r="B1006" s="527">
        <v>0.11775778979063034</v>
      </c>
      <c r="C1006" s="527">
        <v>122.02761077880859</v>
      </c>
    </row>
    <row r="1007" spans="1:3" x14ac:dyDescent="0.35">
      <c r="A1007" s="527">
        <v>1006</v>
      </c>
      <c r="B1007" s="527">
        <v>0.11786523461341858</v>
      </c>
      <c r="C1007" s="527">
        <v>122.13895416259766</v>
      </c>
    </row>
    <row r="1008" spans="1:3" x14ac:dyDescent="0.35">
      <c r="A1008" s="527">
        <v>1007</v>
      </c>
      <c r="B1008" s="527">
        <v>0.11797268688678741</v>
      </c>
      <c r="C1008" s="527">
        <v>122.25029754638672</v>
      </c>
    </row>
    <row r="1009" spans="1:3" x14ac:dyDescent="0.35">
      <c r="A1009" s="527">
        <v>1008</v>
      </c>
      <c r="B1009" s="527">
        <v>0.11808013170957565</v>
      </c>
      <c r="C1009" s="527">
        <v>122.36164093017578</v>
      </c>
    </row>
    <row r="1010" spans="1:3" x14ac:dyDescent="0.35">
      <c r="A1010" s="527">
        <v>1009</v>
      </c>
      <c r="B1010" s="527">
        <v>0.11818757653236389</v>
      </c>
      <c r="C1010" s="527">
        <v>122.47298431396484</v>
      </c>
    </row>
    <row r="1011" spans="1:3" x14ac:dyDescent="0.35">
      <c r="A1011" s="527">
        <v>1010</v>
      </c>
      <c r="B1011" s="527">
        <v>0.11829502135515213</v>
      </c>
      <c r="C1011" s="527">
        <v>122.58432769775391</v>
      </c>
    </row>
    <row r="1012" spans="1:3" x14ac:dyDescent="0.35">
      <c r="A1012" s="527">
        <v>1011</v>
      </c>
      <c r="B1012" s="527">
        <v>0.11840247362852097</v>
      </c>
      <c r="C1012" s="527">
        <v>122.69566345214844</v>
      </c>
    </row>
    <row r="1013" spans="1:3" x14ac:dyDescent="0.35">
      <c r="A1013" s="527">
        <v>1012</v>
      </c>
      <c r="B1013" s="527">
        <v>0.11829502135515213</v>
      </c>
      <c r="C1013" s="527">
        <v>122.58432769775391</v>
      </c>
    </row>
    <row r="1014" spans="1:3" x14ac:dyDescent="0.35">
      <c r="A1014" s="527">
        <v>1013</v>
      </c>
      <c r="B1014" s="527">
        <v>0.11818757653236389</v>
      </c>
      <c r="C1014" s="527">
        <v>122.47298431396484</v>
      </c>
    </row>
    <row r="1015" spans="1:3" x14ac:dyDescent="0.35">
      <c r="A1015" s="527">
        <v>1014</v>
      </c>
      <c r="B1015" s="527">
        <v>0.11808013170957565</v>
      </c>
      <c r="C1015" s="527">
        <v>122.36164093017578</v>
      </c>
    </row>
    <row r="1016" spans="1:3" x14ac:dyDescent="0.35">
      <c r="A1016" s="527">
        <v>1015</v>
      </c>
      <c r="B1016" s="527">
        <v>0.11797268688678741</v>
      </c>
      <c r="C1016" s="527">
        <v>122.25029754638672</v>
      </c>
    </row>
    <row r="1017" spans="1:3" x14ac:dyDescent="0.35">
      <c r="A1017" s="527">
        <v>1016</v>
      </c>
      <c r="B1017" s="527">
        <v>0.11787060648202896</v>
      </c>
      <c r="C1017" s="527">
        <v>122.14452362060547</v>
      </c>
    </row>
    <row r="1018" spans="1:3" x14ac:dyDescent="0.35">
      <c r="A1018" s="527">
        <v>1017</v>
      </c>
      <c r="B1018" s="527">
        <v>0.1177685335278511</v>
      </c>
      <c r="C1018" s="527">
        <v>122.03874206542969</v>
      </c>
    </row>
    <row r="1019" spans="1:3" x14ac:dyDescent="0.35">
      <c r="A1019" s="527">
        <v>1018</v>
      </c>
      <c r="B1019" s="527">
        <v>0.11767156422138214</v>
      </c>
      <c r="C1019" s="527">
        <v>121.93825531005859</v>
      </c>
    </row>
    <row r="1020" spans="1:3" x14ac:dyDescent="0.35">
      <c r="A1020" s="527">
        <v>1019</v>
      </c>
      <c r="B1020" s="527">
        <v>0.11757944524288177</v>
      </c>
      <c r="C1020" s="527">
        <v>121.84279632568359</v>
      </c>
    </row>
    <row r="1021" spans="1:3" x14ac:dyDescent="0.35">
      <c r="A1021" s="527">
        <v>1020</v>
      </c>
      <c r="B1021" s="527">
        <v>0.11749192327260971</v>
      </c>
      <c r="C1021" s="527">
        <v>121.75210571289062</v>
      </c>
    </row>
    <row r="1022" spans="1:3" x14ac:dyDescent="0.35">
      <c r="A1022" s="527">
        <v>1021</v>
      </c>
      <c r="B1022" s="527">
        <v>0.11740878969430923</v>
      </c>
      <c r="C1022" s="527">
        <v>121.66595458984375</v>
      </c>
    </row>
    <row r="1023" spans="1:3" x14ac:dyDescent="0.35">
      <c r="A1023" s="527">
        <v>1022</v>
      </c>
      <c r="B1023" s="527">
        <v>0.11732564866542816</v>
      </c>
      <c r="C1023" s="527">
        <v>121.57979583740234</v>
      </c>
    </row>
    <row r="1024" spans="1:3" x14ac:dyDescent="0.35">
      <c r="A1024" s="527">
        <v>1023</v>
      </c>
      <c r="B1024" s="527">
        <v>0.11724666506052017</v>
      </c>
      <c r="C1024" s="527">
        <v>121.49794769287109</v>
      </c>
    </row>
    <row r="1025" spans="1:3" x14ac:dyDescent="0.35">
      <c r="A1025" s="527">
        <v>1024</v>
      </c>
      <c r="B1025" s="527">
        <v>0.11717163026332855</v>
      </c>
      <c r="C1025" s="527">
        <v>121.42019653320312</v>
      </c>
    </row>
    <row r="1026" spans="1:3" x14ac:dyDescent="0.35">
      <c r="A1026" s="527">
        <v>1025</v>
      </c>
      <c r="B1026" s="527">
        <v>0.11710034310817719</v>
      </c>
      <c r="C1026" s="527">
        <v>121.34632873535156</v>
      </c>
    </row>
    <row r="1027" spans="1:3" x14ac:dyDescent="0.35">
      <c r="A1027" s="527">
        <v>1026</v>
      </c>
      <c r="B1027" s="527">
        <v>0.11703262478113174</v>
      </c>
      <c r="C1027" s="527">
        <v>121.27615356445312</v>
      </c>
    </row>
    <row r="1028" spans="1:3" x14ac:dyDescent="0.35">
      <c r="A1028" s="527">
        <v>1027</v>
      </c>
      <c r="B1028" s="527">
        <v>0.1169649064540863</v>
      </c>
      <c r="C1028" s="527">
        <v>121.20597839355469</v>
      </c>
    </row>
    <row r="1029" spans="1:3" x14ac:dyDescent="0.35">
      <c r="A1029" s="527">
        <v>1028</v>
      </c>
      <c r="B1029" s="527">
        <v>0.11689718812704086</v>
      </c>
      <c r="C1029" s="527">
        <v>121.13580322265625</v>
      </c>
    </row>
    <row r="1030" spans="1:3" x14ac:dyDescent="0.35">
      <c r="A1030" s="527">
        <v>1029</v>
      </c>
      <c r="B1030" s="527">
        <v>0.11683285981416702</v>
      </c>
      <c r="C1030" s="527">
        <v>121.06913757324219</v>
      </c>
    </row>
    <row r="1031" spans="1:3" x14ac:dyDescent="0.35">
      <c r="A1031" s="527">
        <v>1030</v>
      </c>
      <c r="B1031" s="527">
        <v>0.11689718812704086</v>
      </c>
      <c r="C1031" s="527">
        <v>121.13580322265625</v>
      </c>
    </row>
    <row r="1032" spans="1:3" x14ac:dyDescent="0.35">
      <c r="A1032" s="527">
        <v>1031</v>
      </c>
      <c r="B1032" s="527">
        <v>0.1169615238904953</v>
      </c>
      <c r="C1032" s="527">
        <v>121.20246887207031</v>
      </c>
    </row>
    <row r="1033" spans="1:3" x14ac:dyDescent="0.35">
      <c r="A1033" s="527">
        <v>1032</v>
      </c>
      <c r="B1033" s="527">
        <v>0.11702907085418701</v>
      </c>
      <c r="C1033" s="527">
        <v>121.27246856689453</v>
      </c>
    </row>
    <row r="1034" spans="1:3" x14ac:dyDescent="0.35">
      <c r="A1034" s="527">
        <v>1033</v>
      </c>
      <c r="B1034" s="527">
        <v>0.11710000038146973</v>
      </c>
      <c r="C1034" s="527">
        <v>121.34597015380859</v>
      </c>
    </row>
    <row r="1035" spans="1:3" x14ac:dyDescent="0.35">
      <c r="A1035" s="527">
        <v>1034</v>
      </c>
      <c r="B1035" s="527">
        <v>0.11717446893453598</v>
      </c>
      <c r="C1035" s="527">
        <v>121.42314147949219</v>
      </c>
    </row>
    <row r="1036" spans="1:3" x14ac:dyDescent="0.35">
      <c r="A1036" s="527">
        <v>1035</v>
      </c>
      <c r="B1036" s="527">
        <v>0.11725267022848129</v>
      </c>
      <c r="C1036" s="527">
        <v>121.50417327880859</v>
      </c>
    </row>
    <row r="1037" spans="1:3" x14ac:dyDescent="0.35">
      <c r="A1037" s="527">
        <v>1036</v>
      </c>
      <c r="B1037" s="527">
        <v>0.11733477562665939</v>
      </c>
      <c r="C1037" s="527">
        <v>121.58925628662109</v>
      </c>
    </row>
    <row r="1038" spans="1:3" x14ac:dyDescent="0.35">
      <c r="A1038" s="527">
        <v>1037</v>
      </c>
      <c r="B1038" s="527">
        <v>0.1174209862947464</v>
      </c>
      <c r="C1038" s="527">
        <v>121.67859649658203</v>
      </c>
    </row>
    <row r="1039" spans="1:3" x14ac:dyDescent="0.35">
      <c r="A1039" s="527">
        <v>1038</v>
      </c>
      <c r="B1039" s="527">
        <v>0.11751151084899902</v>
      </c>
      <c r="C1039" s="527">
        <v>121.77239990234375</v>
      </c>
    </row>
    <row r="1040" spans="1:3" x14ac:dyDescent="0.35">
      <c r="A1040" s="527">
        <v>1039</v>
      </c>
      <c r="B1040" s="527">
        <v>0.11760655790567398</v>
      </c>
      <c r="C1040" s="527">
        <v>121.87089538574219</v>
      </c>
    </row>
    <row r="1041" spans="1:3" x14ac:dyDescent="0.35">
      <c r="A1041" s="527">
        <v>1040</v>
      </c>
      <c r="B1041" s="527">
        <v>0.11770635843276978</v>
      </c>
      <c r="C1041" s="527">
        <v>121.97431182861328</v>
      </c>
    </row>
    <row r="1042" spans="1:3" x14ac:dyDescent="0.35">
      <c r="A1042" s="527">
        <v>1041</v>
      </c>
      <c r="B1042" s="527">
        <v>0.11781115084886551</v>
      </c>
      <c r="C1042" s="527">
        <v>122.08290100097656</v>
      </c>
    </row>
    <row r="1043" spans="1:3" x14ac:dyDescent="0.35">
      <c r="A1043" s="527">
        <v>1042</v>
      </c>
      <c r="B1043" s="527">
        <v>0.11791593581438065</v>
      </c>
      <c r="C1043" s="527">
        <v>122.19149017333984</v>
      </c>
    </row>
    <row r="1044" spans="1:3" x14ac:dyDescent="0.35">
      <c r="A1044" s="527">
        <v>1043</v>
      </c>
      <c r="B1044" s="527">
        <v>0.11802072823047638</v>
      </c>
      <c r="C1044" s="527">
        <v>122.30007934570312</v>
      </c>
    </row>
    <row r="1045" spans="1:3" x14ac:dyDescent="0.35">
      <c r="A1045" s="527">
        <v>1044</v>
      </c>
      <c r="B1045" s="527">
        <v>0.11813075840473175</v>
      </c>
      <c r="C1045" s="527">
        <v>122.41410064697266</v>
      </c>
    </row>
    <row r="1046" spans="1:3" x14ac:dyDescent="0.35">
      <c r="A1046" s="527">
        <v>1045</v>
      </c>
      <c r="B1046" s="527">
        <v>0.11824628710746765</v>
      </c>
      <c r="C1046" s="527">
        <v>122.53382110595703</v>
      </c>
    </row>
    <row r="1047" spans="1:3" x14ac:dyDescent="0.35">
      <c r="A1047" s="527">
        <v>1046</v>
      </c>
      <c r="B1047" s="527">
        <v>0.11836759746074677</v>
      </c>
      <c r="C1047" s="527">
        <v>122.65953063964844</v>
      </c>
    </row>
    <row r="1048" spans="1:3" x14ac:dyDescent="0.35">
      <c r="A1048" s="527">
        <v>1047</v>
      </c>
      <c r="B1048" s="527">
        <v>0.11849497258663177</v>
      </c>
      <c r="C1048" s="527">
        <v>122.79151916503906</v>
      </c>
    </row>
    <row r="1049" spans="1:3" x14ac:dyDescent="0.35">
      <c r="A1049" s="527">
        <v>1048</v>
      </c>
      <c r="B1049" s="527">
        <v>0.11862871795892715</v>
      </c>
      <c r="C1049" s="527">
        <v>122.93011474609375</v>
      </c>
    </row>
    <row r="1050" spans="1:3" x14ac:dyDescent="0.35">
      <c r="A1050" s="527">
        <v>1049</v>
      </c>
      <c r="B1050" s="527">
        <v>0.11876914650201797</v>
      </c>
      <c r="C1050" s="527">
        <v>123.07563781738281</v>
      </c>
    </row>
    <row r="1051" spans="1:3" x14ac:dyDescent="0.35">
      <c r="A1051" s="527">
        <v>1050</v>
      </c>
      <c r="B1051" s="527">
        <v>0.1189165934920311</v>
      </c>
      <c r="C1051" s="527">
        <v>123.22843170166016</v>
      </c>
    </row>
    <row r="1052" spans="1:3" x14ac:dyDescent="0.35">
      <c r="A1052" s="527">
        <v>1051</v>
      </c>
      <c r="B1052" s="527">
        <v>0.11907141655683517</v>
      </c>
      <c r="C1052" s="527">
        <v>123.38887023925781</v>
      </c>
    </row>
    <row r="1053" spans="1:3" x14ac:dyDescent="0.35">
      <c r="A1053" s="527">
        <v>1052</v>
      </c>
      <c r="B1053" s="527">
        <v>0.11923398077487946</v>
      </c>
      <c r="C1053" s="527">
        <v>123.55732727050781</v>
      </c>
    </row>
    <row r="1054" spans="1:3" x14ac:dyDescent="0.35">
      <c r="A1054" s="527">
        <v>1053</v>
      </c>
      <c r="B1054" s="527">
        <v>0.11940467357635498</v>
      </c>
      <c r="C1054" s="527">
        <v>123.73420715332031</v>
      </c>
    </row>
    <row r="1055" spans="1:3" x14ac:dyDescent="0.35">
      <c r="A1055" s="527">
        <v>1054</v>
      </c>
      <c r="B1055" s="527">
        <v>0.11958390474319458</v>
      </c>
      <c r="C1055" s="527">
        <v>123.91993713378906</v>
      </c>
    </row>
    <row r="1056" spans="1:3" x14ac:dyDescent="0.35">
      <c r="A1056" s="527">
        <v>1055</v>
      </c>
      <c r="B1056" s="527">
        <v>0.11977209150791168</v>
      </c>
      <c r="C1056" s="527">
        <v>124.11495208740234</v>
      </c>
    </row>
    <row r="1057" spans="1:3" x14ac:dyDescent="0.35">
      <c r="A1057" s="527">
        <v>1056</v>
      </c>
      <c r="B1057" s="527">
        <v>0.11957449465990067</v>
      </c>
      <c r="C1057" s="527">
        <v>123.91018676757812</v>
      </c>
    </row>
    <row r="1058" spans="1:3" x14ac:dyDescent="0.35">
      <c r="A1058" s="527">
        <v>1057</v>
      </c>
      <c r="B1058" s="527">
        <v>0.11936701834201813</v>
      </c>
      <c r="C1058" s="527">
        <v>123.69518280029297</v>
      </c>
    </row>
    <row r="1059" spans="1:3" x14ac:dyDescent="0.35">
      <c r="A1059" s="527">
        <v>1058</v>
      </c>
      <c r="B1059" s="527">
        <v>0.11914916336536407</v>
      </c>
      <c r="C1059" s="527">
        <v>123.46943664550781</v>
      </c>
    </row>
    <row r="1060" spans="1:3" x14ac:dyDescent="0.35">
      <c r="A1060" s="527">
        <v>1059</v>
      </c>
      <c r="B1060" s="527">
        <v>0.11892041563987732</v>
      </c>
      <c r="C1060" s="527">
        <v>123.23239135742187</v>
      </c>
    </row>
    <row r="1061" spans="1:3" x14ac:dyDescent="0.35">
      <c r="A1061" s="527">
        <v>1060</v>
      </c>
      <c r="B1061" s="527">
        <v>0.11868023872375488</v>
      </c>
      <c r="C1061" s="527">
        <v>122.98350524902344</v>
      </c>
    </row>
    <row r="1062" spans="1:3" x14ac:dyDescent="0.35">
      <c r="A1062" s="527">
        <v>1061</v>
      </c>
      <c r="B1062" s="527">
        <v>0.11842804402112961</v>
      </c>
      <c r="C1062" s="527">
        <v>122.72216796875</v>
      </c>
    </row>
    <row r="1063" spans="1:3" x14ac:dyDescent="0.35">
      <c r="A1063" s="527">
        <v>1062</v>
      </c>
      <c r="B1063" s="527">
        <v>0.11816324293613434</v>
      </c>
      <c r="C1063" s="527">
        <v>122.44776916503906</v>
      </c>
    </row>
    <row r="1064" spans="1:3" x14ac:dyDescent="0.35">
      <c r="A1064" s="527">
        <v>1063</v>
      </c>
      <c r="B1064" s="527">
        <v>0.11788520216941833</v>
      </c>
      <c r="C1064" s="527">
        <v>122.15964508056641</v>
      </c>
    </row>
    <row r="1065" spans="1:3" x14ac:dyDescent="0.35">
      <c r="A1065" s="527">
        <v>1064</v>
      </c>
      <c r="B1065" s="527">
        <v>0.11759325861930847</v>
      </c>
      <c r="C1065" s="527">
        <v>121.85711669921875</v>
      </c>
    </row>
    <row r="1066" spans="1:3" x14ac:dyDescent="0.35">
      <c r="A1066" s="527">
        <v>1065</v>
      </c>
      <c r="B1066" s="527">
        <v>0.11728671938180923</v>
      </c>
      <c r="C1066" s="527">
        <v>121.53945922851563</v>
      </c>
    </row>
    <row r="1067" spans="1:3" x14ac:dyDescent="0.35">
      <c r="A1067" s="527">
        <v>1066</v>
      </c>
      <c r="B1067" s="527">
        <v>0.11696485430002213</v>
      </c>
      <c r="C1067" s="527">
        <v>121.20592498779297</v>
      </c>
    </row>
    <row r="1068" spans="1:3" x14ac:dyDescent="0.35">
      <c r="A1068" s="527">
        <v>1067</v>
      </c>
      <c r="B1068" s="527">
        <v>0.11662689596414566</v>
      </c>
      <c r="C1068" s="527">
        <v>120.85570526123047</v>
      </c>
    </row>
    <row r="1069" spans="1:3" x14ac:dyDescent="0.35">
      <c r="A1069" s="527">
        <v>1068</v>
      </c>
      <c r="B1069" s="527">
        <v>0.11627203971147537</v>
      </c>
      <c r="C1069" s="527">
        <v>120.48798370361328</v>
      </c>
    </row>
    <row r="1070" spans="1:3" x14ac:dyDescent="0.35">
      <c r="A1070" s="527">
        <v>1069</v>
      </c>
      <c r="B1070" s="527">
        <v>0.11589943617582321</v>
      </c>
      <c r="C1070" s="527">
        <v>120.10187530517578</v>
      </c>
    </row>
    <row r="1071" spans="1:3" x14ac:dyDescent="0.35">
      <c r="A1071" s="527">
        <v>1070</v>
      </c>
      <c r="B1071" s="527">
        <v>0.11550820618867874</v>
      </c>
      <c r="C1071" s="527">
        <v>119.69645690917969</v>
      </c>
    </row>
    <row r="1072" spans="1:3" x14ac:dyDescent="0.35">
      <c r="A1072" s="527">
        <v>1071</v>
      </c>
      <c r="B1072" s="527">
        <v>0.11509741097688675</v>
      </c>
      <c r="C1072" s="527">
        <v>119.27076721191406</v>
      </c>
    </row>
    <row r="1073" spans="1:3" x14ac:dyDescent="0.35">
      <c r="A1073" s="527">
        <v>1072</v>
      </c>
      <c r="B1073" s="527">
        <v>0.11466608196496964</v>
      </c>
      <c r="C1073" s="527">
        <v>118.82379913330078</v>
      </c>
    </row>
    <row r="1074" spans="1:3" x14ac:dyDescent="0.35">
      <c r="A1074" s="527">
        <v>1073</v>
      </c>
      <c r="B1074" s="527">
        <v>0.11421318352222443</v>
      </c>
      <c r="C1074" s="527">
        <v>118.35447692871094</v>
      </c>
    </row>
    <row r="1075" spans="1:3" x14ac:dyDescent="0.35">
      <c r="A1075" s="527">
        <v>1074</v>
      </c>
      <c r="B1075" s="527">
        <v>0.11373763531446457</v>
      </c>
      <c r="C1075" s="527">
        <v>117.86168670654297</v>
      </c>
    </row>
    <row r="1076" spans="1:3" x14ac:dyDescent="0.35">
      <c r="A1076" s="527">
        <v>1075</v>
      </c>
      <c r="B1076" s="527">
        <v>0.11323831230401993</v>
      </c>
      <c r="C1076" s="527">
        <v>117.34426116943359</v>
      </c>
    </row>
    <row r="1077" spans="1:3" x14ac:dyDescent="0.35">
      <c r="A1077" s="527">
        <v>1076</v>
      </c>
      <c r="B1077" s="527">
        <v>0.11271402984857559</v>
      </c>
      <c r="C1077" s="527">
        <v>116.80096435546875</v>
      </c>
    </row>
    <row r="1078" spans="1:3" x14ac:dyDescent="0.35">
      <c r="A1078" s="527">
        <v>1077</v>
      </c>
      <c r="B1078" s="527">
        <v>0.11216352880001068</v>
      </c>
      <c r="C1078" s="527">
        <v>116.23049926757812</v>
      </c>
    </row>
    <row r="1079" spans="1:3" x14ac:dyDescent="0.35">
      <c r="A1079" s="527">
        <v>1078</v>
      </c>
      <c r="B1079" s="527">
        <v>0.11158549785614014</v>
      </c>
      <c r="C1079" s="527">
        <v>115.63151550292969</v>
      </c>
    </row>
    <row r="1080" spans="1:3" x14ac:dyDescent="0.35">
      <c r="A1080" s="527">
        <v>1079</v>
      </c>
      <c r="B1080" s="527">
        <v>0.11097857356071472</v>
      </c>
      <c r="C1080" s="527">
        <v>115.00257873535156</v>
      </c>
    </row>
    <row r="1081" spans="1:3" x14ac:dyDescent="0.35">
      <c r="A1081" s="527">
        <v>1080</v>
      </c>
      <c r="B1081" s="527">
        <v>0.11034129559993744</v>
      </c>
      <c r="C1081" s="527">
        <v>114.34220123291016</v>
      </c>
    </row>
    <row r="1082" spans="1:3" x14ac:dyDescent="0.35">
      <c r="A1082" s="527">
        <v>1081</v>
      </c>
      <c r="B1082" s="527">
        <v>0.10967215895652771</v>
      </c>
      <c r="C1082" s="527">
        <v>113.64879608154297</v>
      </c>
    </row>
    <row r="1083" spans="1:3" x14ac:dyDescent="0.35">
      <c r="A1083" s="527">
        <v>1082</v>
      </c>
      <c r="B1083" s="527">
        <v>0.1089695617556572</v>
      </c>
      <c r="C1083" s="527">
        <v>112.92073059082031</v>
      </c>
    </row>
    <row r="1084" spans="1:3" x14ac:dyDescent="0.35">
      <c r="A1084" s="527">
        <v>1083</v>
      </c>
      <c r="B1084" s="527">
        <v>0.10823184251785278</v>
      </c>
      <c r="C1084" s="527">
        <v>112.15625762939453</v>
      </c>
    </row>
    <row r="1085" spans="1:3" x14ac:dyDescent="0.35">
      <c r="A1085" s="527">
        <v>1084</v>
      </c>
      <c r="B1085" s="527">
        <v>0.1074572280049324</v>
      </c>
      <c r="C1085" s="527">
        <v>111.35355377197266</v>
      </c>
    </row>
    <row r="1086" spans="1:3" x14ac:dyDescent="0.35">
      <c r="A1086" s="527">
        <v>1085</v>
      </c>
      <c r="B1086" s="527">
        <v>0.10664388537406921</v>
      </c>
      <c r="C1086" s="527">
        <v>110.51072692871094</v>
      </c>
    </row>
    <row r="1087" spans="1:3" x14ac:dyDescent="0.35">
      <c r="A1087" s="527">
        <v>1086</v>
      </c>
      <c r="B1087" s="527">
        <v>0.10578987747430801</v>
      </c>
      <c r="C1087" s="527">
        <v>109.62574768066406</v>
      </c>
    </row>
    <row r="1088" spans="1:3" x14ac:dyDescent="0.35">
      <c r="A1088" s="527">
        <v>1087</v>
      </c>
      <c r="B1088" s="527">
        <v>0.10489317029714584</v>
      </c>
      <c r="C1088" s="527">
        <v>108.69652557373047</v>
      </c>
    </row>
    <row r="1089" spans="1:3" x14ac:dyDescent="0.35">
      <c r="A1089" s="527">
        <v>1088</v>
      </c>
      <c r="B1089" s="527">
        <v>0.10395162552595139</v>
      </c>
      <c r="C1089" s="527">
        <v>107.72084045410156</v>
      </c>
    </row>
    <row r="1090" spans="1:3" x14ac:dyDescent="0.35">
      <c r="A1090" s="527">
        <v>1089</v>
      </c>
      <c r="B1090" s="527">
        <v>0.10296300053596497</v>
      </c>
      <c r="C1090" s="527">
        <v>106.69637298583984</v>
      </c>
    </row>
    <row r="1091" spans="1:3" x14ac:dyDescent="0.35">
      <c r="A1091" s="527">
        <v>1090</v>
      </c>
      <c r="B1091" s="527">
        <v>0.10192494839429855</v>
      </c>
      <c r="C1091" s="527">
        <v>105.62068176269531</v>
      </c>
    </row>
    <row r="1092" spans="1:3" x14ac:dyDescent="0.35">
      <c r="A1092" s="527">
        <v>1091</v>
      </c>
      <c r="B1092" s="527">
        <v>0.10083499550819397</v>
      </c>
      <c r="C1092" s="527">
        <v>104.49120330810547</v>
      </c>
    </row>
    <row r="1093" spans="1:3" x14ac:dyDescent="0.35">
      <c r="A1093" s="527">
        <v>1092</v>
      </c>
      <c r="B1093" s="527">
        <v>9.9690541625022888E-2</v>
      </c>
      <c r="C1093" s="527">
        <v>103.30525207519531</v>
      </c>
    </row>
    <row r="1094" spans="1:3" x14ac:dyDescent="0.35">
      <c r="A1094" s="527">
        <v>1093</v>
      </c>
      <c r="B1094" s="527">
        <v>9.8488867282867432E-2</v>
      </c>
      <c r="C1094" s="527">
        <v>102.06000518798828</v>
      </c>
    </row>
    <row r="1095" spans="1:3" x14ac:dyDescent="0.35">
      <c r="A1095" s="527">
        <v>1094</v>
      </c>
      <c r="B1095" s="527">
        <v>9.7227104008197784E-2</v>
      </c>
      <c r="C1095" s="527">
        <v>100.75249481201172</v>
      </c>
    </row>
    <row r="1096" spans="1:3" x14ac:dyDescent="0.35">
      <c r="A1096" s="527">
        <v>1095</v>
      </c>
      <c r="B1096" s="527">
        <v>9.5902256667613983E-2</v>
      </c>
      <c r="C1096" s="527">
        <v>99.379608154296875</v>
      </c>
    </row>
    <row r="1097" spans="1:3" x14ac:dyDescent="0.35">
      <c r="A1097" s="527">
        <v>1096</v>
      </c>
      <c r="B1097" s="527">
        <v>9.4511166214942932E-2</v>
      </c>
      <c r="C1097" s="527">
        <v>97.938079833984375</v>
      </c>
    </row>
    <row r="1098" spans="1:3" x14ac:dyDescent="0.35">
      <c r="A1098" s="527">
        <v>1097</v>
      </c>
      <c r="B1098" s="527">
        <v>9.3050524592399597E-2</v>
      </c>
      <c r="C1098" s="527">
        <v>96.424476623535156</v>
      </c>
    </row>
    <row r="1099" spans="1:3" x14ac:dyDescent="0.35">
      <c r="A1099" s="527">
        <v>1098</v>
      </c>
      <c r="B1099" s="527">
        <v>9.1516844928264618E-2</v>
      </c>
      <c r="C1099" s="527">
        <v>94.835189819335937</v>
      </c>
    </row>
    <row r="1100" spans="1:3" x14ac:dyDescent="0.35">
      <c r="A1100" s="527">
        <v>1099</v>
      </c>
      <c r="B1100" s="527">
        <v>8.9906483888626099E-2</v>
      </c>
      <c r="C1100" s="527">
        <v>93.166435241699219</v>
      </c>
    </row>
    <row r="1101" spans="1:3" x14ac:dyDescent="0.35">
      <c r="A1101" s="527">
        <v>1100</v>
      </c>
      <c r="B1101" s="527">
        <v>8.821561187505722E-2</v>
      </c>
      <c r="C1101" s="527">
        <v>91.41424560546875</v>
      </c>
    </row>
    <row r="1102" spans="1:3" x14ac:dyDescent="0.35">
      <c r="A1102" s="527">
        <v>1101</v>
      </c>
      <c r="B1102" s="527">
        <v>8.6440183222293854E-2</v>
      </c>
      <c r="C1102" s="527">
        <v>89.574447631835938</v>
      </c>
    </row>
    <row r="1103" spans="1:3" x14ac:dyDescent="0.35">
      <c r="A1103" s="527">
        <v>1102</v>
      </c>
      <c r="B1103" s="527">
        <v>8.4575995802879333E-2</v>
      </c>
      <c r="C1103" s="527">
        <v>87.642662048339844</v>
      </c>
    </row>
    <row r="1104" spans="1:3" x14ac:dyDescent="0.35">
      <c r="A1104" s="527">
        <v>1103</v>
      </c>
      <c r="B1104" s="527">
        <v>8.2618586719036102E-2</v>
      </c>
      <c r="C1104" s="527">
        <v>85.614280700683594</v>
      </c>
    </row>
    <row r="1105" spans="1:3" x14ac:dyDescent="0.35">
      <c r="A1105" s="527">
        <v>1104</v>
      </c>
      <c r="B1105" s="527">
        <v>8.0563314259052277E-2</v>
      </c>
      <c r="C1105" s="527">
        <v>83.484489440917969</v>
      </c>
    </row>
    <row r="1106" spans="1:3" x14ac:dyDescent="0.35">
      <c r="A1106" s="527">
        <v>1105</v>
      </c>
      <c r="B1106" s="527">
        <v>7.8405275940895081E-2</v>
      </c>
      <c r="C1106" s="527">
        <v>81.248199462890625</v>
      </c>
    </row>
    <row r="1107" spans="1:3" x14ac:dyDescent="0.35">
      <c r="A1107" s="527">
        <v>1106</v>
      </c>
      <c r="B1107" s="527">
        <v>7.6139338314533234E-2</v>
      </c>
      <c r="C1107" s="527">
        <v>78.900100708007813</v>
      </c>
    </row>
    <row r="1108" spans="1:3" x14ac:dyDescent="0.35">
      <c r="A1108" s="527">
        <v>1107</v>
      </c>
      <c r="B1108" s="527">
        <v>7.3760099709033966E-2</v>
      </c>
      <c r="C1108" s="527">
        <v>76.434593200683594</v>
      </c>
    </row>
    <row r="1109" spans="1:3" x14ac:dyDescent="0.35">
      <c r="A1109" s="527">
        <v>1108</v>
      </c>
      <c r="B1109" s="527">
        <v>7.1261905133724213E-2</v>
      </c>
      <c r="C1109" s="527">
        <v>73.845817565917969</v>
      </c>
    </row>
    <row r="1110" spans="1:3" x14ac:dyDescent="0.35">
      <c r="A1110" s="527">
        <v>1109</v>
      </c>
      <c r="B1110" s="527">
        <v>6.8638794124126434E-2</v>
      </c>
      <c r="C1110" s="527">
        <v>71.127593994140625</v>
      </c>
    </row>
    <row r="1111" spans="1:3" x14ac:dyDescent="0.35">
      <c r="A1111" s="527">
        <v>1110</v>
      </c>
      <c r="B1111" s="527">
        <v>6.5884537994861603E-2</v>
      </c>
      <c r="C1111" s="527">
        <v>68.273468017578125</v>
      </c>
    </row>
    <row r="1112" spans="1:3" x14ac:dyDescent="0.35">
      <c r="A1112" s="527">
        <v>1111</v>
      </c>
      <c r="B1112" s="527">
        <v>6.2992557883262634E-2</v>
      </c>
      <c r="C1112" s="527">
        <v>65.276626586914062</v>
      </c>
    </row>
    <row r="1113" spans="1:3" x14ac:dyDescent="0.35">
      <c r="A1113" s="527">
        <v>1112</v>
      </c>
      <c r="B1113" s="527">
        <v>5.9955984354019165E-2</v>
      </c>
      <c r="C1113" s="527">
        <v>62.129947662353516</v>
      </c>
    </row>
    <row r="1114" spans="1:3" x14ac:dyDescent="0.35">
      <c r="A1114" s="527">
        <v>1113</v>
      </c>
      <c r="B1114" s="527">
        <v>5.6767579168081284E-2</v>
      </c>
      <c r="C1114" s="527">
        <v>58.825935363769531</v>
      </c>
    </row>
    <row r="1115" spans="1:3" x14ac:dyDescent="0.35">
      <c r="A1115" s="527">
        <v>1114</v>
      </c>
      <c r="B1115" s="527">
        <v>5.3419753909111023E-2</v>
      </c>
      <c r="C1115" s="527">
        <v>55.356719970703125</v>
      </c>
    </row>
    <row r="1116" spans="1:3" x14ac:dyDescent="0.35">
      <c r="A1116" s="527">
        <v>1115</v>
      </c>
      <c r="B1116" s="527">
        <v>4.9904540181159973E-2</v>
      </c>
      <c r="C1116" s="527">
        <v>51.714046478271484</v>
      </c>
    </row>
    <row r="1117" spans="1:3" x14ac:dyDescent="0.35">
      <c r="A1117" s="527">
        <v>1116</v>
      </c>
      <c r="B1117" s="527">
        <v>4.6213563531637192E-2</v>
      </c>
      <c r="C1117" s="527">
        <v>47.889236450195312</v>
      </c>
    </row>
    <row r="1118" spans="1:3" x14ac:dyDescent="0.35">
      <c r="A1118" s="527">
        <v>1117</v>
      </c>
      <c r="B1118" s="527">
        <v>4.2338039726018906E-2</v>
      </c>
      <c r="C1118" s="527">
        <v>43.873188018798828</v>
      </c>
    </row>
    <row r="1119" spans="1:3" x14ac:dyDescent="0.35">
      <c r="A1119" s="527">
        <v>1118</v>
      </c>
      <c r="B1119" s="527">
        <v>3.8268737494945526E-2</v>
      </c>
      <c r="C1119" s="527">
        <v>39.656337738037109</v>
      </c>
    </row>
    <row r="1120" spans="1:3" x14ac:dyDescent="0.35">
      <c r="A1120" s="527">
        <v>1119</v>
      </c>
      <c r="B1120" s="527">
        <v>3.3995974808931351E-2</v>
      </c>
      <c r="C1120" s="527">
        <v>35.228645324707031</v>
      </c>
    </row>
    <row r="1121" spans="1:3" x14ac:dyDescent="0.35">
      <c r="A1121" s="527">
        <v>1120</v>
      </c>
      <c r="B1121" s="527">
        <v>2.9509568586945534E-2</v>
      </c>
      <c r="C1121" s="527">
        <v>30.579566955566406</v>
      </c>
    </row>
    <row r="1122" spans="1:3" x14ac:dyDescent="0.35">
      <c r="A1122" s="527">
        <v>1121</v>
      </c>
      <c r="B1122" s="527">
        <v>2.4798844009637833E-2</v>
      </c>
      <c r="C1122" s="527">
        <v>25.698034286499023</v>
      </c>
    </row>
    <row r="1123" spans="1:3" x14ac:dyDescent="0.35">
      <c r="A1123" s="527">
        <v>1122</v>
      </c>
      <c r="B1123" s="527">
        <v>1.9852584227919579E-2</v>
      </c>
      <c r="C1123" s="527">
        <v>20.572425842285156</v>
      </c>
    </row>
    <row r="1124" spans="1:3" x14ac:dyDescent="0.35">
      <c r="A1124" s="527">
        <v>1123</v>
      </c>
      <c r="B1124" s="527">
        <v>1.4659009873867035E-2</v>
      </c>
      <c r="C1124" s="527">
        <v>15.190535545349121</v>
      </c>
    </row>
    <row r="1125" spans="1:3" x14ac:dyDescent="0.35">
      <c r="A1125" s="527">
        <v>1124</v>
      </c>
      <c r="B1125" s="527">
        <v>9.2057567089796066E-3</v>
      </c>
      <c r="C1125" s="527">
        <v>9.5395517349243164</v>
      </c>
    </row>
    <row r="1126" spans="1:3" x14ac:dyDescent="0.35">
      <c r="A1126" s="527">
        <v>1125</v>
      </c>
      <c r="B1126" s="527">
        <v>3.4798420965671539E-3</v>
      </c>
      <c r="C1126" s="527">
        <v>3.6060187816619873</v>
      </c>
    </row>
    <row r="1127" spans="1:3" x14ac:dyDescent="0.35">
      <c r="A1127" s="527">
        <v>1126</v>
      </c>
      <c r="B1127" s="527">
        <v>-2.5323687586933374E-3</v>
      </c>
      <c r="C1127" s="527">
        <v>-2.6241908073425293</v>
      </c>
    </row>
    <row r="1128" spans="1:3" x14ac:dyDescent="0.35">
      <c r="A1128" s="527">
        <v>1127</v>
      </c>
      <c r="B1128" s="527">
        <v>-8.845190517604351E-3</v>
      </c>
      <c r="C1128" s="527">
        <v>-9.1659107208251953</v>
      </c>
    </row>
    <row r="1129" spans="1:3" x14ac:dyDescent="0.35">
      <c r="A1129" s="527">
        <v>1128</v>
      </c>
      <c r="B1129" s="527">
        <v>-1.5473652631044388E-2</v>
      </c>
      <c r="C1129" s="527">
        <v>-16.034717559814453</v>
      </c>
    </row>
    <row r="1130" spans="1:3" x14ac:dyDescent="0.35">
      <c r="A1130" s="527">
        <v>1129</v>
      </c>
      <c r="B1130" s="527">
        <v>-2.2433537989854813E-2</v>
      </c>
      <c r="C1130" s="527">
        <v>-23.246963500976562</v>
      </c>
    </row>
    <row r="1131" spans="1:3" x14ac:dyDescent="0.35">
      <c r="A1131" s="527">
        <v>1130</v>
      </c>
      <c r="B1131" s="527">
        <v>-2.9741417616605759E-2</v>
      </c>
      <c r="C1131" s="527">
        <v>-30.819822311401367</v>
      </c>
    </row>
    <row r="1132" spans="1:3" x14ac:dyDescent="0.35">
      <c r="A1132" s="527">
        <v>1131</v>
      </c>
      <c r="B1132" s="527">
        <v>-2.2433537989854813E-2</v>
      </c>
      <c r="C1132" s="527">
        <v>-23.246963500976562</v>
      </c>
    </row>
    <row r="1133" spans="1:3" x14ac:dyDescent="0.35">
      <c r="A1133" s="527">
        <v>1132</v>
      </c>
      <c r="B1133" s="527">
        <v>-1.4760264195501804E-2</v>
      </c>
      <c r="C1133" s="527">
        <v>-15.295461654663086</v>
      </c>
    </row>
    <row r="1134" spans="1:3" x14ac:dyDescent="0.35">
      <c r="A1134" s="527">
        <v>1133</v>
      </c>
      <c r="B1134" s="527">
        <v>-6.7033269442617893E-3</v>
      </c>
      <c r="C1134" s="527">
        <v>-6.9463849067687988</v>
      </c>
    </row>
    <row r="1135" spans="1:3" x14ac:dyDescent="0.35">
      <c r="A1135" s="527">
        <v>1134</v>
      </c>
      <c r="B1135" s="527">
        <v>1.7564576119184494E-3</v>
      </c>
      <c r="C1135" s="527">
        <v>1.8201456069946289</v>
      </c>
    </row>
    <row r="1136" spans="1:3" x14ac:dyDescent="0.35">
      <c r="A1136" s="527">
        <v>1135</v>
      </c>
      <c r="B1136" s="527">
        <v>1.0639231652021408E-2</v>
      </c>
      <c r="C1136" s="527">
        <v>11.025002479553223</v>
      </c>
    </row>
    <row r="1137" spans="1:3" x14ac:dyDescent="0.35">
      <c r="A1137" s="527">
        <v>1136</v>
      </c>
      <c r="B1137" s="527">
        <v>1.9966144114732742E-2</v>
      </c>
      <c r="C1137" s="527">
        <v>20.690103530883789</v>
      </c>
    </row>
    <row r="1138" spans="1:3" x14ac:dyDescent="0.35">
      <c r="A1138" s="527">
        <v>1137</v>
      </c>
      <c r="B1138" s="527">
        <v>2.9759401455521584E-2</v>
      </c>
      <c r="C1138" s="527">
        <v>30.838457107543945</v>
      </c>
    </row>
    <row r="1139" spans="1:3" x14ac:dyDescent="0.35">
      <c r="A1139" s="527">
        <v>1138</v>
      </c>
      <c r="B1139" s="527">
        <v>4.0042322129011154E-2</v>
      </c>
      <c r="C1139" s="527">
        <v>41.494232177734375</v>
      </c>
    </row>
    <row r="1140" spans="1:3" x14ac:dyDescent="0.35">
      <c r="A1140" s="527">
        <v>1139</v>
      </c>
      <c r="B1140" s="527">
        <v>5.0839390605688095E-2</v>
      </c>
      <c r="C1140" s="527">
        <v>52.682792663574219</v>
      </c>
    </row>
    <row r="1141" spans="1:3" x14ac:dyDescent="0.35">
      <c r="A1141" s="527">
        <v>1140</v>
      </c>
      <c r="B1141" s="527">
        <v>6.2176309525966644E-2</v>
      </c>
      <c r="C1141" s="527">
        <v>64.430778503417969</v>
      </c>
    </row>
    <row r="1142" spans="1:3" x14ac:dyDescent="0.35">
      <c r="A1142" s="527">
        <v>1141</v>
      </c>
      <c r="B1142" s="527">
        <v>7.4080072343349457E-2</v>
      </c>
      <c r="C1142" s="527">
        <v>76.766166687011719</v>
      </c>
    </row>
    <row r="1143" spans="1:3" x14ac:dyDescent="0.35">
      <c r="A1143" s="527">
        <v>1142</v>
      </c>
      <c r="B1143" s="527">
        <v>8.6579032242298126E-2</v>
      </c>
      <c r="C1143" s="527">
        <v>89.718330383300781</v>
      </c>
    </row>
    <row r="1144" spans="1:3" x14ac:dyDescent="0.35">
      <c r="A1144" s="527">
        <v>1143</v>
      </c>
      <c r="B1144" s="527">
        <v>9.9702931940555573E-2</v>
      </c>
      <c r="C1144" s="527">
        <v>103.31809234619141</v>
      </c>
    </row>
    <row r="1145" spans="1:3" x14ac:dyDescent="0.35">
      <c r="A1145" s="527">
        <v>1144</v>
      </c>
      <c r="B1145" s="527">
        <v>0.11348302662372589</v>
      </c>
      <c r="C1145" s="527">
        <v>117.59784698486328</v>
      </c>
    </row>
    <row r="1146" spans="1:3" x14ac:dyDescent="0.35">
      <c r="A1146" s="527">
        <v>1145</v>
      </c>
      <c r="B1146" s="527">
        <v>0.12726312875747681</v>
      </c>
      <c r="C1146" s="527">
        <v>131.87760925292969</v>
      </c>
    </row>
    <row r="1147" spans="1:3" x14ac:dyDescent="0.35">
      <c r="A1147" s="527">
        <v>1146</v>
      </c>
      <c r="B1147" s="527">
        <v>0.14173223078250885</v>
      </c>
      <c r="C1147" s="527">
        <v>146.87135314941406</v>
      </c>
    </row>
    <row r="1148" spans="1:3" x14ac:dyDescent="0.35">
      <c r="A1148" s="527">
        <v>1147</v>
      </c>
      <c r="B1148" s="527">
        <v>0.1569247841835022</v>
      </c>
      <c r="C1148" s="527">
        <v>162.61477661132812</v>
      </c>
    </row>
    <row r="1149" spans="1:3" x14ac:dyDescent="0.35">
      <c r="A1149" s="527">
        <v>1148</v>
      </c>
      <c r="B1149" s="527">
        <v>0.14173223078250885</v>
      </c>
      <c r="C1149" s="527">
        <v>146.87135314941406</v>
      </c>
    </row>
    <row r="1150" spans="1:3" x14ac:dyDescent="0.35">
      <c r="A1150" s="527">
        <v>1149</v>
      </c>
      <c r="B1150" s="527">
        <v>0.1265396773815155</v>
      </c>
      <c r="C1150" s="527">
        <v>131.12791442871094</v>
      </c>
    </row>
    <row r="1151" spans="1:3" x14ac:dyDescent="0.35">
      <c r="A1151" s="527">
        <v>1150</v>
      </c>
      <c r="B1151" s="527">
        <v>0.11134711652994156</v>
      </c>
      <c r="C1151" s="527">
        <v>115.38449096679687</v>
      </c>
    </row>
    <row r="1152" spans="1:3" x14ac:dyDescent="0.35">
      <c r="A1152" s="527">
        <v>1151</v>
      </c>
      <c r="B1152" s="527">
        <v>9.6914187073707581E-2</v>
      </c>
      <c r="C1152" s="527">
        <v>100.42823028564453</v>
      </c>
    </row>
    <row r="1153" spans="1:3" x14ac:dyDescent="0.35">
      <c r="A1153" s="527">
        <v>1152</v>
      </c>
      <c r="B1153" s="527">
        <v>8.320290595293045E-2</v>
      </c>
      <c r="C1153" s="527">
        <v>86.21978759765625</v>
      </c>
    </row>
    <row r="1154" spans="1:3" x14ac:dyDescent="0.35">
      <c r="A1154" s="527">
        <v>1153</v>
      </c>
      <c r="B1154" s="527">
        <v>7.0177182555198669E-2</v>
      </c>
      <c r="C1154" s="527">
        <v>72.721763610839844</v>
      </c>
    </row>
    <row r="1155" spans="1:3" x14ac:dyDescent="0.35">
      <c r="A1155" s="527">
        <v>1154</v>
      </c>
      <c r="B1155" s="527">
        <v>5.7802751660346985E-2</v>
      </c>
      <c r="C1155" s="527">
        <v>59.898639678955078</v>
      </c>
    </row>
    <row r="1156" spans="1:3" x14ac:dyDescent="0.35">
      <c r="A1156" s="527">
        <v>1155</v>
      </c>
      <c r="B1156" s="527">
        <v>4.6047039330005646E-2</v>
      </c>
      <c r="C1156" s="527">
        <v>47.7166748046875</v>
      </c>
    </row>
    <row r="1157" spans="1:3" x14ac:dyDescent="0.35">
      <c r="A1157" s="527">
        <v>1156</v>
      </c>
      <c r="B1157" s="527">
        <v>3.4879114478826523E-2</v>
      </c>
      <c r="C1157" s="527">
        <v>36.143806457519531</v>
      </c>
    </row>
    <row r="1158" spans="1:3" x14ac:dyDescent="0.35">
      <c r="A1158" s="527">
        <v>1157</v>
      </c>
      <c r="B1158" s="527">
        <v>2.3711187765002251E-2</v>
      </c>
      <c r="C1158" s="527">
        <v>24.570940017700195</v>
      </c>
    </row>
    <row r="1159" spans="1:3" x14ac:dyDescent="0.35">
      <c r="A1159" s="527">
        <v>1158</v>
      </c>
      <c r="B1159" s="527">
        <v>1.3101658783853054E-2</v>
      </c>
      <c r="C1159" s="527">
        <v>13.576715469360352</v>
      </c>
    </row>
    <row r="1160" spans="1:3" x14ac:dyDescent="0.35">
      <c r="A1160" s="527">
        <v>1159</v>
      </c>
      <c r="B1160" s="527">
        <v>3.0226053204387426E-3</v>
      </c>
      <c r="C1160" s="527">
        <v>3.1322031021118164</v>
      </c>
    </row>
    <row r="1161" spans="1:3" x14ac:dyDescent="0.35">
      <c r="A1161" s="527">
        <v>1160</v>
      </c>
      <c r="B1161" s="527">
        <v>-6.5524950623512268E-3</v>
      </c>
      <c r="C1161" s="527">
        <v>-6.7900838851928711</v>
      </c>
    </row>
    <row r="1162" spans="1:3" x14ac:dyDescent="0.35">
      <c r="A1162" s="527">
        <v>1161</v>
      </c>
      <c r="B1162" s="527">
        <v>-1.5648839995265007E-2</v>
      </c>
      <c r="C1162" s="527">
        <v>-16.216257095336914</v>
      </c>
    </row>
    <row r="1163" spans="1:3" x14ac:dyDescent="0.35">
      <c r="A1163" s="527">
        <v>1162</v>
      </c>
      <c r="B1163" s="527">
        <v>-6.5524950623512268E-3</v>
      </c>
      <c r="C1163" s="527">
        <v>-6.7900838851928711</v>
      </c>
    </row>
    <row r="1164" spans="1:3" x14ac:dyDescent="0.35">
      <c r="A1164" s="527">
        <v>1163</v>
      </c>
      <c r="B1164" s="527">
        <v>2.998667536303401E-3</v>
      </c>
      <c r="C1164" s="527">
        <v>3.1073973178863525</v>
      </c>
    </row>
    <row r="1165" spans="1:3" x14ac:dyDescent="0.35">
      <c r="A1165" s="527">
        <v>1164</v>
      </c>
      <c r="B1165" s="527">
        <v>1.3027388602495193E-2</v>
      </c>
      <c r="C1165" s="527">
        <v>13.499752998352051</v>
      </c>
    </row>
    <row r="1166" spans="1:3" x14ac:dyDescent="0.35">
      <c r="A1166" s="527">
        <v>1165</v>
      </c>
      <c r="B1166" s="527">
        <v>2.3557545617222786E-2</v>
      </c>
      <c r="C1166" s="527">
        <v>24.411725997924805</v>
      </c>
    </row>
    <row r="1167" spans="1:3" x14ac:dyDescent="0.35">
      <c r="A1167" s="527">
        <v>1166</v>
      </c>
      <c r="B1167" s="527">
        <v>3.4614209085702896E-2</v>
      </c>
      <c r="C1167" s="527">
        <v>35.869297027587891</v>
      </c>
    </row>
    <row r="1168" spans="1:3" x14ac:dyDescent="0.35">
      <c r="A1168" s="527">
        <v>1167</v>
      </c>
      <c r="B1168" s="527">
        <v>4.5670874416828156E-2</v>
      </c>
      <c r="C1168" s="527">
        <v>47.326869964599609</v>
      </c>
    </row>
    <row r="1169" spans="1:3" x14ac:dyDescent="0.35">
      <c r="A1169" s="527">
        <v>1168</v>
      </c>
      <c r="B1169" s="527">
        <v>5.7280372828245163E-2</v>
      </c>
      <c r="C1169" s="527">
        <v>59.357318878173828</v>
      </c>
    </row>
    <row r="1170" spans="1:3" x14ac:dyDescent="0.35">
      <c r="A1170" s="527">
        <v>1169</v>
      </c>
      <c r="B1170" s="527">
        <v>6.9470345973968506E-2</v>
      </c>
      <c r="C1170" s="527">
        <v>71.989295959472656</v>
      </c>
    </row>
    <row r="1171" spans="1:3" x14ac:dyDescent="0.35">
      <c r="A1171" s="527">
        <v>1170</v>
      </c>
      <c r="B1171" s="527">
        <v>8.2269817590713501E-2</v>
      </c>
      <c r="C1171" s="527">
        <v>85.25286865234375</v>
      </c>
    </row>
    <row r="1172" spans="1:3" x14ac:dyDescent="0.35">
      <c r="A1172" s="527">
        <v>1171</v>
      </c>
      <c r="B1172" s="527">
        <v>9.5069289207458496E-2</v>
      </c>
      <c r="C1172" s="527">
        <v>98.516433715820313</v>
      </c>
    </row>
    <row r="1173" spans="1:3" x14ac:dyDescent="0.35">
      <c r="A1173" s="527">
        <v>1172</v>
      </c>
      <c r="B1173" s="527">
        <v>0.10850873589515686</v>
      </c>
      <c r="C1173" s="527">
        <v>112.44318389892578</v>
      </c>
    </row>
    <row r="1174" spans="1:3" x14ac:dyDescent="0.35">
      <c r="A1174" s="527">
        <v>1173</v>
      </c>
      <c r="B1174" s="527">
        <v>0.12194817513227463</v>
      </c>
      <c r="C1174" s="527">
        <v>126.36993408203125</v>
      </c>
    </row>
    <row r="1175" spans="1:3" x14ac:dyDescent="0.35">
      <c r="A1175" s="527">
        <v>1174</v>
      </c>
      <c r="B1175" s="527">
        <v>0.13538762927055359</v>
      </c>
      <c r="C1175" s="527">
        <v>140.29669189453125</v>
      </c>
    </row>
    <row r="1176" spans="1:3" x14ac:dyDescent="0.35">
      <c r="A1176" s="527">
        <v>1175</v>
      </c>
      <c r="B1176" s="527">
        <v>0.14949904382228851</v>
      </c>
      <c r="C1176" s="527">
        <v>154.91976928710937</v>
      </c>
    </row>
    <row r="1177" spans="1:3" x14ac:dyDescent="0.35">
      <c r="A1177" s="527">
        <v>1176</v>
      </c>
      <c r="B1177" s="527">
        <v>0.13538762927055359</v>
      </c>
      <c r="C1177" s="527">
        <v>140.29669189453125</v>
      </c>
    </row>
    <row r="1178" spans="1:3" x14ac:dyDescent="0.35">
      <c r="A1178" s="527">
        <v>1177</v>
      </c>
      <c r="B1178" s="527">
        <v>0.12198177725076675</v>
      </c>
      <c r="C1178" s="527">
        <v>126.40475463867188</v>
      </c>
    </row>
    <row r="1179" spans="1:3" x14ac:dyDescent="0.35">
      <c r="A1179" s="527">
        <v>1178</v>
      </c>
      <c r="B1179" s="527">
        <v>0.10924622416496277</v>
      </c>
      <c r="C1179" s="527">
        <v>113.20742034912109</v>
      </c>
    </row>
    <row r="1180" spans="1:3" x14ac:dyDescent="0.35">
      <c r="A1180" s="527">
        <v>1179</v>
      </c>
      <c r="B1180" s="527">
        <v>9.7147442400455475E-2</v>
      </c>
      <c r="C1180" s="527">
        <v>100.66994476318359</v>
      </c>
    </row>
    <row r="1181" spans="1:3" x14ac:dyDescent="0.35">
      <c r="A1181" s="527">
        <v>1180</v>
      </c>
      <c r="B1181" s="527">
        <v>8.5653610527515411E-2</v>
      </c>
      <c r="C1181" s="527">
        <v>88.759353637695312</v>
      </c>
    </row>
    <row r="1182" spans="1:3" x14ac:dyDescent="0.35">
      <c r="A1182" s="527">
        <v>1181</v>
      </c>
      <c r="B1182" s="527">
        <v>7.4734464287757874E-2</v>
      </c>
      <c r="C1182" s="527">
        <v>77.444282531738281</v>
      </c>
    </row>
    <row r="1183" spans="1:3" x14ac:dyDescent="0.35">
      <c r="A1183" s="527">
        <v>1182</v>
      </c>
      <c r="B1183" s="527">
        <v>6.4361274242401123E-2</v>
      </c>
      <c r="C1183" s="527">
        <v>66.694969177246094</v>
      </c>
    </row>
    <row r="1184" spans="1:3" x14ac:dyDescent="0.35">
      <c r="A1184" s="527">
        <v>1183</v>
      </c>
      <c r="B1184" s="527">
        <v>5.4506745189428329E-2</v>
      </c>
      <c r="C1184" s="527">
        <v>56.483123779296875</v>
      </c>
    </row>
    <row r="1185" spans="1:3" x14ac:dyDescent="0.35">
      <c r="A1185" s="527">
        <v>1184</v>
      </c>
      <c r="B1185" s="527">
        <v>4.5144941657781601E-2</v>
      </c>
      <c r="C1185" s="527">
        <v>46.781867980957031</v>
      </c>
    </row>
    <row r="1186" spans="1:3" x14ac:dyDescent="0.35">
      <c r="A1186" s="527">
        <v>1185</v>
      </c>
      <c r="B1186" s="527">
        <v>3.5783141851425171E-2</v>
      </c>
      <c r="C1186" s="527">
        <v>37.080612182617188</v>
      </c>
    </row>
    <row r="1187" spans="1:3" x14ac:dyDescent="0.35">
      <c r="A1187" s="527">
        <v>1186</v>
      </c>
      <c r="B1187" s="527">
        <v>2.6889428496360779E-2</v>
      </c>
      <c r="C1187" s="527">
        <v>27.864421844482422</v>
      </c>
    </row>
    <row r="1188" spans="1:3" x14ac:dyDescent="0.35">
      <c r="A1188" s="527">
        <v>1187</v>
      </c>
      <c r="B1188" s="527">
        <v>1.8440401181578636E-2</v>
      </c>
      <c r="C1188" s="527">
        <v>19.109037399291992</v>
      </c>
    </row>
    <row r="1189" spans="1:3" x14ac:dyDescent="0.35">
      <c r="A1189" s="527">
        <v>1188</v>
      </c>
      <c r="B1189" s="527">
        <v>1.0413826443254948E-2</v>
      </c>
      <c r="C1189" s="527">
        <v>10.791424751281738</v>
      </c>
    </row>
    <row r="1190" spans="1:3" x14ac:dyDescent="0.35">
      <c r="A1190" s="527">
        <v>1189</v>
      </c>
      <c r="B1190" s="527">
        <v>2.3872505407780409E-3</v>
      </c>
      <c r="C1190" s="527">
        <v>2.4738106727600098</v>
      </c>
    </row>
    <row r="1191" spans="1:3" x14ac:dyDescent="0.35">
      <c r="A1191" s="527">
        <v>1190</v>
      </c>
      <c r="B1191" s="527">
        <v>-5.6393248960375786E-3</v>
      </c>
      <c r="C1191" s="527">
        <v>-5.8438029289245605</v>
      </c>
    </row>
    <row r="1192" spans="1:3" x14ac:dyDescent="0.35">
      <c r="A1192" s="527">
        <v>1191</v>
      </c>
      <c r="B1192" s="527">
        <v>-1.3665900565683842E-2</v>
      </c>
      <c r="C1192" s="527">
        <v>-14.161417007446289</v>
      </c>
    </row>
    <row r="1193" spans="1:3" x14ac:dyDescent="0.35">
      <c r="A1193" s="527">
        <v>1192</v>
      </c>
      <c r="B1193" s="527">
        <v>-2.169247530400753E-2</v>
      </c>
      <c r="C1193" s="527">
        <v>-22.479030609130859</v>
      </c>
    </row>
    <row r="1194" spans="1:3" x14ac:dyDescent="0.35">
      <c r="A1194" s="527">
        <v>1193</v>
      </c>
      <c r="B1194" s="527">
        <v>-2.9719050973653793E-2</v>
      </c>
      <c r="C1194" s="527">
        <v>-30.79664421081543</v>
      </c>
    </row>
    <row r="1195" spans="1:3" x14ac:dyDescent="0.35">
      <c r="A1195" s="527">
        <v>1194</v>
      </c>
      <c r="B1195" s="527">
        <v>-3.7745624780654907E-2</v>
      </c>
      <c r="C1195" s="527">
        <v>-39.1142578125</v>
      </c>
    </row>
    <row r="1196" spans="1:3" x14ac:dyDescent="0.35">
      <c r="A1196" s="527">
        <v>1195</v>
      </c>
      <c r="B1196" s="527">
        <v>-4.577220231294632E-2</v>
      </c>
      <c r="C1196" s="527">
        <v>-47.431869506835938</v>
      </c>
    </row>
    <row r="1197" spans="1:3" x14ac:dyDescent="0.35">
      <c r="A1197" s="527">
        <v>1196</v>
      </c>
      <c r="B1197" s="527">
        <v>-3.7745624780654907E-2</v>
      </c>
      <c r="C1197" s="527">
        <v>-39.1142578125</v>
      </c>
    </row>
    <row r="1198" spans="1:3" x14ac:dyDescent="0.35">
      <c r="A1198" s="527">
        <v>1197</v>
      </c>
      <c r="B1198" s="527">
        <v>-3.0120380222797394E-2</v>
      </c>
      <c r="C1198" s="527">
        <v>-31.2125244140625</v>
      </c>
    </row>
    <row r="1199" spans="1:3" x14ac:dyDescent="0.35">
      <c r="A1199" s="527">
        <v>1198</v>
      </c>
      <c r="B1199" s="527">
        <v>-2.2495133802294731E-2</v>
      </c>
      <c r="C1199" s="527">
        <v>-23.310791015625</v>
      </c>
    </row>
    <row r="1200" spans="1:3" x14ac:dyDescent="0.35">
      <c r="A1200" s="527">
        <v>1199</v>
      </c>
      <c r="B1200" s="527">
        <v>-1.4869886450469494E-2</v>
      </c>
      <c r="C1200" s="527">
        <v>-15.409058570861816</v>
      </c>
    </row>
    <row r="1201" spans="1:3" x14ac:dyDescent="0.35">
      <c r="A1201" s="527">
        <v>1200</v>
      </c>
      <c r="B1201" s="527">
        <v>-7.625902071595192E-3</v>
      </c>
      <c r="C1201" s="527">
        <v>-7.9024124145507813</v>
      </c>
    </row>
    <row r="1202" spans="1:3" x14ac:dyDescent="0.35">
      <c r="A1202" s="527">
        <v>1201</v>
      </c>
      <c r="B1202" s="527">
        <v>-3.8191786734387279E-4</v>
      </c>
      <c r="C1202" s="527">
        <v>-0.39576596021652222</v>
      </c>
    </row>
    <row r="1203" spans="1:3" x14ac:dyDescent="0.35">
      <c r="A1203" s="527">
        <v>1202</v>
      </c>
      <c r="B1203" s="527">
        <v>6.8620662204921246E-3</v>
      </c>
      <c r="C1203" s="527">
        <v>7.1108803749084473</v>
      </c>
    </row>
    <row r="1204" spans="1:3" x14ac:dyDescent="0.35">
      <c r="A1204" s="527">
        <v>1203</v>
      </c>
      <c r="B1204" s="527">
        <v>1.4106051065027714E-2</v>
      </c>
      <c r="C1204" s="527">
        <v>14.617527008056641</v>
      </c>
    </row>
    <row r="1205" spans="1:3" x14ac:dyDescent="0.35">
      <c r="A1205" s="527">
        <v>1204</v>
      </c>
      <c r="B1205" s="527">
        <v>2.098783478140831E-2</v>
      </c>
      <c r="C1205" s="527">
        <v>21.74884033203125</v>
      </c>
    </row>
    <row r="1206" spans="1:3" x14ac:dyDescent="0.35">
      <c r="A1206" s="527">
        <v>1205</v>
      </c>
      <c r="B1206" s="527">
        <v>2.786962129175663E-2</v>
      </c>
      <c r="C1206" s="527">
        <v>28.880155563354492</v>
      </c>
    </row>
    <row r="1207" spans="1:3" x14ac:dyDescent="0.35">
      <c r="A1207" s="527">
        <v>1206</v>
      </c>
      <c r="B1207" s="527">
        <v>3.4751404076814651E-2</v>
      </c>
      <c r="C1207" s="527">
        <v>36.011466979980469</v>
      </c>
    </row>
    <row r="1208" spans="1:3" x14ac:dyDescent="0.35">
      <c r="A1208" s="527">
        <v>1207</v>
      </c>
      <c r="B1208" s="527">
        <v>4.1633192449808121E-2</v>
      </c>
      <c r="C1208" s="527">
        <v>43.142784118652344</v>
      </c>
    </row>
    <row r="1209" spans="1:3" x14ac:dyDescent="0.35">
      <c r="A1209" s="527">
        <v>1208</v>
      </c>
      <c r="B1209" s="527">
        <v>4.8514977097511292E-2</v>
      </c>
      <c r="C1209" s="527">
        <v>50.274097442626953</v>
      </c>
    </row>
    <row r="1210" spans="1:3" x14ac:dyDescent="0.35">
      <c r="A1210" s="527">
        <v>1209</v>
      </c>
      <c r="B1210" s="527">
        <v>5.5052671581506729E-2</v>
      </c>
      <c r="C1210" s="527">
        <v>57.048843383789063</v>
      </c>
    </row>
    <row r="1211" spans="1:3" x14ac:dyDescent="0.35">
      <c r="A1211" s="527">
        <v>1210</v>
      </c>
      <c r="B1211" s="527">
        <v>6.1590366065502167E-2</v>
      </c>
      <c r="C1211" s="527">
        <v>63.823593139648438</v>
      </c>
    </row>
    <row r="1212" spans="1:3" x14ac:dyDescent="0.35">
      <c r="A1212" s="527">
        <v>1211</v>
      </c>
      <c r="B1212" s="527">
        <v>6.8128064274787903E-2</v>
      </c>
      <c r="C1212" s="527">
        <v>70.598342895507813</v>
      </c>
    </row>
    <row r="1213" spans="1:3" x14ac:dyDescent="0.35">
      <c r="A1213" s="527">
        <v>1212</v>
      </c>
      <c r="B1213" s="527">
        <v>7.4338875710964203E-2</v>
      </c>
      <c r="C1213" s="527">
        <v>77.034355163574219</v>
      </c>
    </row>
    <row r="1214" spans="1:3" x14ac:dyDescent="0.35">
      <c r="A1214" s="527">
        <v>1213</v>
      </c>
      <c r="B1214" s="527">
        <v>6.8128064274787903E-2</v>
      </c>
      <c r="C1214" s="527">
        <v>70.598342895507813</v>
      </c>
    </row>
    <row r="1215" spans="1:3" x14ac:dyDescent="0.35">
      <c r="A1215" s="527">
        <v>1214</v>
      </c>
      <c r="B1215" s="527">
        <v>6.1917252838611603E-2</v>
      </c>
      <c r="C1215" s="527">
        <v>64.162330627441406</v>
      </c>
    </row>
    <row r="1216" spans="1:3" x14ac:dyDescent="0.35">
      <c r="A1216" s="527">
        <v>1215</v>
      </c>
      <c r="B1216" s="527">
        <v>5.5395901203155518E-2</v>
      </c>
      <c r="C1216" s="527">
        <v>57.404518127441406</v>
      </c>
    </row>
    <row r="1217" spans="1:3" x14ac:dyDescent="0.35">
      <c r="A1217" s="527">
        <v>1216</v>
      </c>
      <c r="B1217" s="527">
        <v>4.8874549567699432E-2</v>
      </c>
      <c r="C1217" s="527">
        <v>50.646709442138672</v>
      </c>
    </row>
    <row r="1218" spans="1:3" x14ac:dyDescent="0.35">
      <c r="A1218" s="527">
        <v>1217</v>
      </c>
      <c r="B1218" s="527">
        <v>4.2353197932243347E-2</v>
      </c>
      <c r="C1218" s="527">
        <v>43.888896942138672</v>
      </c>
    </row>
    <row r="1219" spans="1:3" x14ac:dyDescent="0.35">
      <c r="A1219" s="527">
        <v>1218</v>
      </c>
      <c r="B1219" s="527">
        <v>3.5831846296787262E-2</v>
      </c>
      <c r="C1219" s="527">
        <v>37.131084442138672</v>
      </c>
    </row>
    <row r="1220" spans="1:3" x14ac:dyDescent="0.35">
      <c r="A1220" s="527">
        <v>1219</v>
      </c>
      <c r="B1220" s="527">
        <v>2.9310494661331177E-2</v>
      </c>
      <c r="C1220" s="527">
        <v>30.373273849487305</v>
      </c>
    </row>
    <row r="1221" spans="1:3" x14ac:dyDescent="0.35">
      <c r="A1221" s="527">
        <v>1220</v>
      </c>
      <c r="B1221" s="527">
        <v>2.2463075816631317E-2</v>
      </c>
      <c r="C1221" s="527">
        <v>23.277570724487305</v>
      </c>
    </row>
    <row r="1222" spans="1:3" x14ac:dyDescent="0.35">
      <c r="A1222" s="527">
        <v>1221</v>
      </c>
      <c r="B1222" s="527">
        <v>1.5615656040608883E-2</v>
      </c>
      <c r="C1222" s="527">
        <v>16.181869506835938</v>
      </c>
    </row>
    <row r="1223" spans="1:3" x14ac:dyDescent="0.35">
      <c r="A1223" s="527">
        <v>1222</v>
      </c>
      <c r="B1223" s="527">
        <v>8.4258662536740303E-3</v>
      </c>
      <c r="C1223" s="527">
        <v>8.7313823699951172</v>
      </c>
    </row>
    <row r="1224" spans="1:3" x14ac:dyDescent="0.35">
      <c r="A1224" s="527">
        <v>1223</v>
      </c>
      <c r="B1224" s="527">
        <v>1.2360760010778904E-3</v>
      </c>
      <c r="C1224" s="527">
        <v>1.2808953523635864</v>
      </c>
    </row>
    <row r="1225" spans="1:3" x14ac:dyDescent="0.35">
      <c r="A1225" s="527">
        <v>1224</v>
      </c>
      <c r="B1225" s="527">
        <v>-5.9537142515182495E-3</v>
      </c>
      <c r="C1225" s="527">
        <v>-6.1695919036865234</v>
      </c>
    </row>
    <row r="1226" spans="1:3" x14ac:dyDescent="0.35">
      <c r="A1226" s="527">
        <v>1225</v>
      </c>
      <c r="B1226" s="527">
        <v>-1.3143504038453102E-2</v>
      </c>
      <c r="C1226" s="527">
        <v>-13.620079040527344</v>
      </c>
    </row>
    <row r="1227" spans="1:3" x14ac:dyDescent="0.35">
      <c r="A1227" s="527">
        <v>1226</v>
      </c>
      <c r="B1227" s="527">
        <v>-2.0692784339189529E-2</v>
      </c>
      <c r="C1227" s="527">
        <v>-21.443090438842773</v>
      </c>
    </row>
    <row r="1228" spans="1:3" x14ac:dyDescent="0.35">
      <c r="A1228" s="527">
        <v>1227</v>
      </c>
      <c r="B1228" s="527">
        <v>-2.8242062777280807E-2</v>
      </c>
      <c r="C1228" s="527">
        <v>-29.266101837158203</v>
      </c>
    </row>
    <row r="1229" spans="1:3" x14ac:dyDescent="0.35">
      <c r="A1229" s="527">
        <v>1228</v>
      </c>
      <c r="B1229" s="527">
        <v>-3.5791341215372086E-2</v>
      </c>
      <c r="C1229" s="527">
        <v>-37.089115142822266</v>
      </c>
    </row>
    <row r="1230" spans="1:3" x14ac:dyDescent="0.35">
      <c r="A1230" s="527">
        <v>1229</v>
      </c>
      <c r="B1230" s="527">
        <v>-4.3340623378753662E-2</v>
      </c>
      <c r="C1230" s="527">
        <v>-44.912124633789063</v>
      </c>
    </row>
    <row r="1231" spans="1:3" x14ac:dyDescent="0.35">
      <c r="A1231" s="527">
        <v>1230</v>
      </c>
      <c r="B1231" s="527">
        <v>-5.088990181684494E-2</v>
      </c>
      <c r="C1231" s="527">
        <v>-52.735137939453125</v>
      </c>
    </row>
    <row r="1232" spans="1:3" x14ac:dyDescent="0.35">
      <c r="A1232" s="527">
        <v>1231</v>
      </c>
      <c r="B1232" s="527">
        <v>-4.3340623378753662E-2</v>
      </c>
      <c r="C1232" s="527">
        <v>-44.912124633789063</v>
      </c>
    </row>
    <row r="1233" spans="1:3" x14ac:dyDescent="0.35">
      <c r="A1233" s="527">
        <v>1232</v>
      </c>
      <c r="B1233" s="527">
        <v>-3.6168806254863739E-2</v>
      </c>
      <c r="C1233" s="527">
        <v>-37.480262756347656</v>
      </c>
    </row>
    <row r="1234" spans="1:3" x14ac:dyDescent="0.35">
      <c r="A1234" s="527">
        <v>1233</v>
      </c>
      <c r="B1234" s="527">
        <v>-2.9355581849813461E-2</v>
      </c>
      <c r="C1234" s="527">
        <v>-30.41999626159668</v>
      </c>
    </row>
    <row r="1235" spans="1:3" x14ac:dyDescent="0.35">
      <c r="A1235" s="527">
        <v>1234</v>
      </c>
      <c r="B1235" s="527">
        <v>-2.2542357444763184E-2</v>
      </c>
      <c r="C1235" s="527">
        <v>-23.35972785949707</v>
      </c>
    </row>
    <row r="1236" spans="1:3" x14ac:dyDescent="0.35">
      <c r="A1236" s="527">
        <v>1235</v>
      </c>
      <c r="B1236" s="527">
        <v>-1.6069794073700905E-2</v>
      </c>
      <c r="C1236" s="527">
        <v>-16.652473449707031</v>
      </c>
    </row>
    <row r="1237" spans="1:3" x14ac:dyDescent="0.35">
      <c r="A1237" s="527">
        <v>1236</v>
      </c>
      <c r="B1237" s="527">
        <v>-9.920857846736908E-3</v>
      </c>
      <c r="C1237" s="527">
        <v>-10.280582427978516</v>
      </c>
    </row>
    <row r="1238" spans="1:3" x14ac:dyDescent="0.35">
      <c r="A1238" s="527">
        <v>1237</v>
      </c>
      <c r="B1238" s="527">
        <v>-4.0793698281049728E-3</v>
      </c>
      <c r="C1238" s="527">
        <v>-4.2272849082946777</v>
      </c>
    </row>
    <row r="1239" spans="1:3" x14ac:dyDescent="0.35">
      <c r="A1239" s="527">
        <v>1238</v>
      </c>
      <c r="B1239" s="527">
        <v>1.7621190054342151E-3</v>
      </c>
      <c r="C1239" s="527">
        <v>1.8260123729705811</v>
      </c>
    </row>
    <row r="1240" spans="1:3" x14ac:dyDescent="0.35">
      <c r="A1240" s="527">
        <v>1239</v>
      </c>
      <c r="B1240" s="527">
        <v>7.3115332052111626E-3</v>
      </c>
      <c r="C1240" s="527">
        <v>7.5766444206237793</v>
      </c>
    </row>
    <row r="1241" spans="1:3" x14ac:dyDescent="0.35">
      <c r="A1241" s="527">
        <v>1240</v>
      </c>
      <c r="B1241" s="527">
        <v>1.2860947288572788E-2</v>
      </c>
      <c r="C1241" s="527">
        <v>13.327277183532715</v>
      </c>
    </row>
    <row r="1242" spans="1:3" x14ac:dyDescent="0.35">
      <c r="A1242" s="527">
        <v>1241</v>
      </c>
      <c r="B1242" s="527">
        <v>1.8410362303256989E-2</v>
      </c>
      <c r="C1242" s="527">
        <v>19.077909469604492</v>
      </c>
    </row>
    <row r="1243" spans="1:3" x14ac:dyDescent="0.35">
      <c r="A1243" s="527">
        <v>1242</v>
      </c>
      <c r="B1243" s="527">
        <v>2.3682305589318275E-2</v>
      </c>
      <c r="C1243" s="527">
        <v>24.541009902954102</v>
      </c>
    </row>
    <row r="1244" spans="1:3" x14ac:dyDescent="0.35">
      <c r="A1244" s="527">
        <v>1243</v>
      </c>
      <c r="B1244" s="527">
        <v>2.8954248875379562E-2</v>
      </c>
      <c r="C1244" s="527">
        <v>30.004110336303711</v>
      </c>
    </row>
    <row r="1245" spans="1:3" x14ac:dyDescent="0.35">
      <c r="A1245" s="527">
        <v>1244</v>
      </c>
      <c r="B1245" s="527">
        <v>3.3962596207857132E-2</v>
      </c>
      <c r="C1245" s="527">
        <v>35.194057464599609</v>
      </c>
    </row>
    <row r="1246" spans="1:3" x14ac:dyDescent="0.35">
      <c r="A1246" s="527">
        <v>1245</v>
      </c>
      <c r="B1246" s="527">
        <v>3.8720525801181793E-2</v>
      </c>
      <c r="C1246" s="527">
        <v>40.124504089355469</v>
      </c>
    </row>
    <row r="1247" spans="1:3" x14ac:dyDescent="0.35">
      <c r="A1247" s="527">
        <v>1246</v>
      </c>
      <c r="B1247" s="527">
        <v>4.3240558356046677E-2</v>
      </c>
      <c r="C1247" s="527">
        <v>44.808429718017578</v>
      </c>
    </row>
    <row r="1248" spans="1:3" x14ac:dyDescent="0.35">
      <c r="A1248" s="527">
        <v>1247</v>
      </c>
      <c r="B1248" s="527">
        <v>4.776059091091156E-2</v>
      </c>
      <c r="C1248" s="527">
        <v>49.492355346679688</v>
      </c>
    </row>
    <row r="1249" spans="1:3" x14ac:dyDescent="0.35">
      <c r="A1249" s="527">
        <v>1248</v>
      </c>
      <c r="B1249" s="527">
        <v>5.2280623465776443E-2</v>
      </c>
      <c r="C1249" s="527">
        <v>54.176280975341797</v>
      </c>
    </row>
    <row r="1250" spans="1:3" x14ac:dyDescent="0.35">
      <c r="A1250" s="527">
        <v>1249</v>
      </c>
      <c r="B1250" s="527">
        <v>5.6574653834104538E-2</v>
      </c>
      <c r="C1250" s="527">
        <v>58.626010894775391</v>
      </c>
    </row>
    <row r="1251" spans="1:3" x14ac:dyDescent="0.35">
      <c r="A1251" s="527">
        <v>1250</v>
      </c>
      <c r="B1251" s="527">
        <v>6.0653980821371078E-2</v>
      </c>
      <c r="C1251" s="527">
        <v>62.853256225585937</v>
      </c>
    </row>
    <row r="1252" spans="1:3" x14ac:dyDescent="0.35">
      <c r="A1252" s="527">
        <v>1251</v>
      </c>
      <c r="B1252" s="527">
        <v>6.4733311533927917E-2</v>
      </c>
      <c r="C1252" s="527">
        <v>67.080497741699219</v>
      </c>
    </row>
    <row r="1253" spans="1:3" x14ac:dyDescent="0.35">
      <c r="A1253" s="527">
        <v>1252</v>
      </c>
      <c r="B1253" s="527">
        <v>6.8812638521194458E-2</v>
      </c>
      <c r="C1253" s="527">
        <v>71.3077392578125</v>
      </c>
    </row>
    <row r="1254" spans="1:3" x14ac:dyDescent="0.35">
      <c r="A1254" s="527">
        <v>1253</v>
      </c>
      <c r="B1254" s="527">
        <v>7.2688005864620209E-2</v>
      </c>
      <c r="C1254" s="527">
        <v>75.323623657226563</v>
      </c>
    </row>
    <row r="1255" spans="1:3" x14ac:dyDescent="0.35">
      <c r="A1255" s="527">
        <v>1254</v>
      </c>
      <c r="B1255" s="527">
        <v>6.9006405770778656E-2</v>
      </c>
      <c r="C1255" s="527">
        <v>71.508537292480469</v>
      </c>
    </row>
    <row r="1256" spans="1:3" x14ac:dyDescent="0.35">
      <c r="A1256" s="527">
        <v>1255</v>
      </c>
      <c r="B1256" s="527">
        <v>6.53248131275177E-2</v>
      </c>
      <c r="C1256" s="527">
        <v>67.693450927734375</v>
      </c>
    </row>
    <row r="1257" spans="1:3" x14ac:dyDescent="0.35">
      <c r="A1257" s="527">
        <v>1256</v>
      </c>
      <c r="B1257" s="527">
        <v>6.1643220484256744E-2</v>
      </c>
      <c r="C1257" s="527">
        <v>63.878360748291016</v>
      </c>
    </row>
    <row r="1258" spans="1:3" x14ac:dyDescent="0.35">
      <c r="A1258" s="527">
        <v>1257</v>
      </c>
      <c r="B1258" s="527">
        <v>5.796162411570549E-2</v>
      </c>
      <c r="C1258" s="527">
        <v>60.063274383544922</v>
      </c>
    </row>
    <row r="1259" spans="1:3" x14ac:dyDescent="0.35">
      <c r="A1259" s="527">
        <v>1258</v>
      </c>
      <c r="B1259" s="527">
        <v>5.4280031472444534E-2</v>
      </c>
      <c r="C1259" s="527">
        <v>56.248188018798828</v>
      </c>
    </row>
    <row r="1260" spans="1:3" x14ac:dyDescent="0.35">
      <c r="A1260" s="527">
        <v>1259</v>
      </c>
      <c r="B1260" s="527">
        <v>5.059843510389328E-2</v>
      </c>
      <c r="C1260" s="527">
        <v>52.433101654052734</v>
      </c>
    </row>
    <row r="1261" spans="1:3" x14ac:dyDescent="0.35">
      <c r="A1261" s="527">
        <v>1260</v>
      </c>
      <c r="B1261" s="527">
        <v>4.6916838735342026E-2</v>
      </c>
      <c r="C1261" s="527">
        <v>48.618015289306641</v>
      </c>
    </row>
    <row r="1262" spans="1:3" x14ac:dyDescent="0.35">
      <c r="A1262" s="527">
        <v>1261</v>
      </c>
      <c r="B1262" s="527">
        <v>4.3051164597272873E-2</v>
      </c>
      <c r="C1262" s="527">
        <v>44.612171173095703</v>
      </c>
    </row>
    <row r="1263" spans="1:3" x14ac:dyDescent="0.35">
      <c r="A1263" s="527">
        <v>1262</v>
      </c>
      <c r="B1263" s="527">
        <v>3.918549045920372E-2</v>
      </c>
      <c r="C1263" s="527">
        <v>40.606330871582031</v>
      </c>
    </row>
    <row r="1264" spans="1:3" x14ac:dyDescent="0.35">
      <c r="A1264" s="527">
        <v>1263</v>
      </c>
      <c r="B1264" s="527">
        <v>3.5126533359289169E-2</v>
      </c>
      <c r="C1264" s="527">
        <v>36.400196075439453</v>
      </c>
    </row>
    <row r="1265" spans="1:3" x14ac:dyDescent="0.35">
      <c r="A1265" s="527">
        <v>1264</v>
      </c>
      <c r="B1265" s="527">
        <v>3.0864626169204712E-2</v>
      </c>
      <c r="C1265" s="527">
        <v>31.983757019042969</v>
      </c>
    </row>
    <row r="1266" spans="1:3" x14ac:dyDescent="0.35">
      <c r="A1266" s="527">
        <v>1265</v>
      </c>
      <c r="B1266" s="527">
        <v>2.6602720841765404E-2</v>
      </c>
      <c r="C1266" s="527">
        <v>27.567317962646484</v>
      </c>
    </row>
    <row r="1267" spans="1:3" x14ac:dyDescent="0.35">
      <c r="A1267" s="527">
        <v>1266</v>
      </c>
      <c r="B1267" s="527">
        <v>2.2127719596028328E-2</v>
      </c>
      <c r="C1267" s="527">
        <v>22.930055618286133</v>
      </c>
    </row>
    <row r="1268" spans="1:3" x14ac:dyDescent="0.35">
      <c r="A1268" s="527">
        <v>1267</v>
      </c>
      <c r="B1268" s="527">
        <v>1.7652718350291252E-2</v>
      </c>
      <c r="C1268" s="527">
        <v>18.292793273925781</v>
      </c>
    </row>
    <row r="1269" spans="1:3" x14ac:dyDescent="0.35">
      <c r="A1269" s="527">
        <v>1268</v>
      </c>
      <c r="B1269" s="527">
        <v>1.2953965924680233E-2</v>
      </c>
      <c r="C1269" s="527">
        <v>13.42366886138916</v>
      </c>
    </row>
    <row r="1270" spans="1:3" x14ac:dyDescent="0.35">
      <c r="A1270" s="527">
        <v>1269</v>
      </c>
      <c r="B1270" s="527">
        <v>8.2552144303917885E-3</v>
      </c>
      <c r="C1270" s="527">
        <v>8.5545434951782227</v>
      </c>
    </row>
    <row r="1271" spans="1:3" x14ac:dyDescent="0.35">
      <c r="A1271" s="527">
        <v>1270</v>
      </c>
      <c r="B1271" s="527">
        <v>3.3215256407856941E-3</v>
      </c>
      <c r="C1271" s="527">
        <v>3.4419620037078857</v>
      </c>
    </row>
    <row r="1272" spans="1:3" x14ac:dyDescent="0.35">
      <c r="A1272" s="527">
        <v>1271</v>
      </c>
      <c r="B1272" s="527">
        <v>-1.6121633816510439E-3</v>
      </c>
      <c r="C1272" s="527">
        <v>-1.6706193685531616</v>
      </c>
    </row>
    <row r="1273" spans="1:3" x14ac:dyDescent="0.35">
      <c r="A1273" s="527">
        <v>1272</v>
      </c>
      <c r="B1273" s="527">
        <v>-6.5458524040877819E-3</v>
      </c>
      <c r="C1273" s="527">
        <v>-6.783200740814209</v>
      </c>
    </row>
    <row r="1274" spans="1:3" x14ac:dyDescent="0.35">
      <c r="A1274" s="527">
        <v>1273</v>
      </c>
      <c r="B1274" s="527">
        <v>-1.1726225726306438E-2</v>
      </c>
      <c r="C1274" s="527">
        <v>-12.151411056518555</v>
      </c>
    </row>
    <row r="1275" spans="1:3" x14ac:dyDescent="0.35">
      <c r="A1275" s="527">
        <v>1274</v>
      </c>
      <c r="B1275" s="527">
        <v>-1.6906600445508957E-2</v>
      </c>
      <c r="C1275" s="527">
        <v>-17.519620895385742</v>
      </c>
    </row>
    <row r="1276" spans="1:3" x14ac:dyDescent="0.35">
      <c r="A1276" s="527">
        <v>1275</v>
      </c>
      <c r="B1276" s="527">
        <v>-1.1726225726306438E-2</v>
      </c>
      <c r="C1276" s="527">
        <v>-12.151411056518555</v>
      </c>
    </row>
    <row r="1277" spans="1:3" x14ac:dyDescent="0.35">
      <c r="A1277" s="527">
        <v>1276</v>
      </c>
      <c r="B1277" s="527">
        <v>-6.8048713728785515E-3</v>
      </c>
      <c r="C1277" s="527">
        <v>-7.0516114234924316</v>
      </c>
    </row>
    <row r="1278" spans="1:3" x14ac:dyDescent="0.35">
      <c r="A1278" s="527">
        <v>1277</v>
      </c>
      <c r="B1278" s="527">
        <v>-2.1295840851962566E-3</v>
      </c>
      <c r="C1278" s="527">
        <v>-2.2068014144897461</v>
      </c>
    </row>
    <row r="1279" spans="1:3" x14ac:dyDescent="0.35">
      <c r="A1279" s="527">
        <v>1278</v>
      </c>
      <c r="B1279" s="527">
        <v>2.3119386751204729E-3</v>
      </c>
      <c r="C1279" s="527">
        <v>2.3957681655883789</v>
      </c>
    </row>
    <row r="1280" spans="1:3" x14ac:dyDescent="0.35">
      <c r="A1280" s="527">
        <v>1279</v>
      </c>
      <c r="B1280" s="527">
        <v>6.5313852392137051E-3</v>
      </c>
      <c r="C1280" s="527">
        <v>6.7682089805603027</v>
      </c>
    </row>
    <row r="1281" spans="1:3" x14ac:dyDescent="0.35">
      <c r="A1281" s="527">
        <v>1280</v>
      </c>
      <c r="B1281" s="527">
        <v>1.0539859533309937E-2</v>
      </c>
      <c r="C1281" s="527">
        <v>10.922027587890625</v>
      </c>
    </row>
    <row r="1282" spans="1:3" x14ac:dyDescent="0.35">
      <c r="A1282" s="527">
        <v>1281</v>
      </c>
      <c r="B1282" s="527">
        <v>1.4347909949719906E-2</v>
      </c>
      <c r="C1282" s="527">
        <v>14.868156433105469</v>
      </c>
    </row>
    <row r="1283" spans="1:3" x14ac:dyDescent="0.35">
      <c r="A1283" s="527">
        <v>1282</v>
      </c>
      <c r="B1283" s="527">
        <v>1.7965558916330338E-2</v>
      </c>
      <c r="C1283" s="527">
        <v>18.616977691650391</v>
      </c>
    </row>
    <row r="1284" spans="1:3" x14ac:dyDescent="0.35">
      <c r="A1284" s="527">
        <v>1283</v>
      </c>
      <c r="B1284" s="527">
        <v>2.1402323618531227E-2</v>
      </c>
      <c r="C1284" s="527">
        <v>22.17835807800293</v>
      </c>
    </row>
    <row r="1285" spans="1:3" x14ac:dyDescent="0.35">
      <c r="A1285" s="527">
        <v>1284</v>
      </c>
      <c r="B1285" s="527">
        <v>2.4667251855134964E-2</v>
      </c>
      <c r="C1285" s="527">
        <v>25.561670303344727</v>
      </c>
    </row>
    <row r="1286" spans="1:3" x14ac:dyDescent="0.35">
      <c r="A1286" s="527">
        <v>1285</v>
      </c>
      <c r="B1286" s="527">
        <v>2.7932178229093552E-2</v>
      </c>
      <c r="C1286" s="527">
        <v>28.944980621337891</v>
      </c>
    </row>
    <row r="1287" spans="1:3" x14ac:dyDescent="0.35">
      <c r="A1287" s="527">
        <v>1286</v>
      </c>
      <c r="B1287" s="527">
        <v>3.1197106465697289E-2</v>
      </c>
      <c r="C1287" s="527">
        <v>32.328292846679688</v>
      </c>
    </row>
    <row r="1288" spans="1:3" x14ac:dyDescent="0.35">
      <c r="A1288" s="527">
        <v>1287</v>
      </c>
      <c r="B1288" s="527">
        <v>3.4298788756132126E-2</v>
      </c>
      <c r="C1288" s="527">
        <v>35.542438507080078</v>
      </c>
    </row>
    <row r="1289" spans="1:3" x14ac:dyDescent="0.35">
      <c r="A1289" s="527">
        <v>1288</v>
      </c>
      <c r="B1289" s="527">
        <v>3.7400469183921814E-2</v>
      </c>
      <c r="C1289" s="527">
        <v>38.756584167480469</v>
      </c>
    </row>
    <row r="1290" spans="1:3" x14ac:dyDescent="0.35">
      <c r="A1290" s="527">
        <v>1289</v>
      </c>
      <c r="B1290" s="527">
        <v>4.0502149611711502E-2</v>
      </c>
      <c r="C1290" s="527">
        <v>41.970729827880859</v>
      </c>
    </row>
    <row r="1291" spans="1:3" x14ac:dyDescent="0.35">
      <c r="A1291" s="527">
        <v>1290</v>
      </c>
      <c r="B1291" s="527">
        <v>4.3448746204376221E-2</v>
      </c>
      <c r="C1291" s="527">
        <v>45.024169921875</v>
      </c>
    </row>
    <row r="1292" spans="1:3" x14ac:dyDescent="0.35">
      <c r="A1292" s="527">
        <v>1291</v>
      </c>
      <c r="B1292" s="527">
        <v>4.6248015016317368E-2</v>
      </c>
      <c r="C1292" s="527">
        <v>47.924934387207031</v>
      </c>
    </row>
    <row r="1293" spans="1:3" x14ac:dyDescent="0.35">
      <c r="A1293" s="527">
        <v>1292</v>
      </c>
      <c r="B1293" s="527">
        <v>4.8907317221164703E-2</v>
      </c>
      <c r="C1293" s="527">
        <v>50.6806640625</v>
      </c>
    </row>
    <row r="1294" spans="1:3" x14ac:dyDescent="0.35">
      <c r="A1294" s="527">
        <v>1293</v>
      </c>
      <c r="B1294" s="527">
        <v>5.1433656364679337E-2</v>
      </c>
      <c r="C1294" s="527">
        <v>53.298606872558594</v>
      </c>
    </row>
    <row r="1295" spans="1:3" x14ac:dyDescent="0.35">
      <c r="A1295" s="527">
        <v>1294</v>
      </c>
      <c r="B1295" s="527">
        <v>5.3833678364753723E-2</v>
      </c>
      <c r="C1295" s="527">
        <v>55.785652160644531</v>
      </c>
    </row>
    <row r="1296" spans="1:3" x14ac:dyDescent="0.35">
      <c r="A1296" s="527">
        <v>1295</v>
      </c>
      <c r="B1296" s="527">
        <v>5.6113697588443756E-2</v>
      </c>
      <c r="C1296" s="527">
        <v>58.148342132568359</v>
      </c>
    </row>
    <row r="1297" spans="1:3" x14ac:dyDescent="0.35">
      <c r="A1297" s="527">
        <v>1296</v>
      </c>
      <c r="B1297" s="527">
        <v>5.3833678364753723E-2</v>
      </c>
      <c r="C1297" s="527">
        <v>55.785652160644531</v>
      </c>
    </row>
    <row r="1298" spans="1:3" x14ac:dyDescent="0.35">
      <c r="A1298" s="527">
        <v>1297</v>
      </c>
      <c r="B1298" s="527">
        <v>5.1553655415773392E-2</v>
      </c>
      <c r="C1298" s="527">
        <v>53.422958374023438</v>
      </c>
    </row>
    <row r="1299" spans="1:3" x14ac:dyDescent="0.35">
      <c r="A1299" s="527">
        <v>1298</v>
      </c>
      <c r="B1299" s="527">
        <v>4.9159634858369827E-2</v>
      </c>
      <c r="C1299" s="527">
        <v>50.942131042480469</v>
      </c>
    </row>
    <row r="1300" spans="1:3" x14ac:dyDescent="0.35">
      <c r="A1300" s="527">
        <v>1299</v>
      </c>
      <c r="B1300" s="527">
        <v>4.6645913273096085E-2</v>
      </c>
      <c r="C1300" s="527">
        <v>48.337261199951172</v>
      </c>
    </row>
    <row r="1301" spans="1:3" x14ac:dyDescent="0.35">
      <c r="A1301" s="527">
        <v>1300</v>
      </c>
      <c r="B1301" s="527">
        <v>4.4006504118442535E-2</v>
      </c>
      <c r="C1301" s="527">
        <v>45.602149963378906</v>
      </c>
    </row>
    <row r="1302" spans="1:3" x14ac:dyDescent="0.35">
      <c r="A1302" s="527">
        <v>1301</v>
      </c>
      <c r="B1302" s="527">
        <v>4.1235122829675674E-2</v>
      </c>
      <c r="C1302" s="527">
        <v>42.730281829833984</v>
      </c>
    </row>
    <row r="1303" spans="1:3" x14ac:dyDescent="0.35">
      <c r="A1303" s="527">
        <v>1302</v>
      </c>
      <c r="B1303" s="527">
        <v>3.8325175642967224E-2</v>
      </c>
      <c r="C1303" s="527">
        <v>39.714820861816406</v>
      </c>
    </row>
    <row r="1304" spans="1:3" x14ac:dyDescent="0.35">
      <c r="A1304" s="527">
        <v>1303</v>
      </c>
      <c r="B1304" s="527">
        <v>3.5269729793071747E-2</v>
      </c>
      <c r="C1304" s="527">
        <v>36.548587799072266</v>
      </c>
    </row>
    <row r="1305" spans="1:3" x14ac:dyDescent="0.35">
      <c r="A1305" s="527">
        <v>1304</v>
      </c>
      <c r="B1305" s="527">
        <v>3.2061513513326645E-2</v>
      </c>
      <c r="C1305" s="527">
        <v>33.224040985107422</v>
      </c>
    </row>
    <row r="1306" spans="1:3" x14ac:dyDescent="0.35">
      <c r="A1306" s="527">
        <v>1305</v>
      </c>
      <c r="B1306" s="527">
        <v>2.8692884370684624E-2</v>
      </c>
      <c r="C1306" s="527">
        <v>29.733268737792969</v>
      </c>
    </row>
    <row r="1307" spans="1:3" x14ac:dyDescent="0.35">
      <c r="A1307" s="527">
        <v>1306</v>
      </c>
      <c r="B1307" s="527">
        <v>2.5155823677778244E-2</v>
      </c>
      <c r="C1307" s="527">
        <v>26.067956924438477</v>
      </c>
    </row>
    <row r="1308" spans="1:3" x14ac:dyDescent="0.35">
      <c r="A1308" s="527">
        <v>1307</v>
      </c>
      <c r="B1308" s="527">
        <v>2.1441910415887833E-2</v>
      </c>
      <c r="C1308" s="527">
        <v>22.219379425048828</v>
      </c>
    </row>
    <row r="1309" spans="1:3" x14ac:dyDescent="0.35">
      <c r="A1309" s="527">
        <v>1308</v>
      </c>
      <c r="B1309" s="527">
        <v>1.7542300745844841E-2</v>
      </c>
      <c r="C1309" s="527">
        <v>18.178373336791992</v>
      </c>
    </row>
    <row r="1310" spans="1:3" x14ac:dyDescent="0.35">
      <c r="A1310" s="527">
        <v>1309</v>
      </c>
      <c r="B1310" s="527">
        <v>1.3447712175548077E-2</v>
      </c>
      <c r="C1310" s="527">
        <v>13.935317039489746</v>
      </c>
    </row>
    <row r="1311" spans="1:3" x14ac:dyDescent="0.35">
      <c r="A1311" s="527">
        <v>1310</v>
      </c>
      <c r="B1311" s="527">
        <v>9.1483937576413155E-3</v>
      </c>
      <c r="C1311" s="527">
        <v>9.4801082611083984</v>
      </c>
    </row>
    <row r="1312" spans="1:3" x14ac:dyDescent="0.35">
      <c r="A1312" s="527">
        <v>1311</v>
      </c>
      <c r="B1312" s="527">
        <v>4.6341088600456715E-3</v>
      </c>
      <c r="C1312" s="527">
        <v>4.8021383285522461</v>
      </c>
    </row>
    <row r="1313" spans="1:3" x14ac:dyDescent="0.35">
      <c r="A1313" s="527">
        <v>1312</v>
      </c>
      <c r="B1313" s="527">
        <v>-1.0589035082375631E-4</v>
      </c>
      <c r="C1313" s="527">
        <v>-0.10972986370325089</v>
      </c>
    </row>
    <row r="1314" spans="1:3" x14ac:dyDescent="0.35">
      <c r="A1314" s="527">
        <v>1313</v>
      </c>
      <c r="B1314" s="527">
        <v>-4.8458892852067947E-3</v>
      </c>
      <c r="C1314" s="527">
        <v>-5.0215978622436523</v>
      </c>
    </row>
    <row r="1315" spans="1:3" x14ac:dyDescent="0.35">
      <c r="A1315" s="527">
        <v>1314</v>
      </c>
      <c r="B1315" s="527">
        <v>-9.8228882998228073E-3</v>
      </c>
      <c r="C1315" s="527">
        <v>-10.179059982299805</v>
      </c>
    </row>
    <row r="1316" spans="1:3" x14ac:dyDescent="0.35">
      <c r="A1316" s="527">
        <v>1315</v>
      </c>
      <c r="B1316" s="527">
        <v>-4.8458892852067947E-3</v>
      </c>
      <c r="C1316" s="527">
        <v>-5.0215978622436523</v>
      </c>
    </row>
    <row r="1317" spans="1:3" x14ac:dyDescent="0.35">
      <c r="A1317" s="527">
        <v>1316</v>
      </c>
      <c r="B1317" s="527">
        <v>1.3110959844198078E-4</v>
      </c>
      <c r="C1317" s="527">
        <v>0.1358635425567627</v>
      </c>
    </row>
    <row r="1318" spans="1:3" x14ac:dyDescent="0.35">
      <c r="A1318" s="527">
        <v>1317</v>
      </c>
      <c r="B1318" s="527">
        <v>5.1081087440252304E-3</v>
      </c>
      <c r="C1318" s="527">
        <v>5.2933249473571777</v>
      </c>
    </row>
    <row r="1319" spans="1:3" x14ac:dyDescent="0.35">
      <c r="A1319" s="527">
        <v>1318</v>
      </c>
      <c r="B1319" s="527">
        <v>1.0333957150578499E-2</v>
      </c>
      <c r="C1319" s="527">
        <v>10.708660125732422</v>
      </c>
    </row>
    <row r="1320" spans="1:3" x14ac:dyDescent="0.35">
      <c r="A1320" s="527">
        <v>1319</v>
      </c>
      <c r="B1320" s="527">
        <v>1.5821099281311035E-2</v>
      </c>
      <c r="C1320" s="527">
        <v>16.39476203918457</v>
      </c>
    </row>
    <row r="1321" spans="1:3" x14ac:dyDescent="0.35">
      <c r="A1321" s="527">
        <v>1320</v>
      </c>
      <c r="B1321" s="527">
        <v>2.1582597866654396E-2</v>
      </c>
      <c r="C1321" s="527">
        <v>22.365167617797852</v>
      </c>
    </row>
    <row r="1322" spans="1:3" x14ac:dyDescent="0.35">
      <c r="A1322" s="527">
        <v>1321</v>
      </c>
      <c r="B1322" s="527">
        <v>2.7632171288132668E-2</v>
      </c>
      <c r="C1322" s="527">
        <v>28.63409423828125</v>
      </c>
    </row>
    <row r="1323" spans="1:3" x14ac:dyDescent="0.35">
      <c r="A1323" s="527">
        <v>1322</v>
      </c>
      <c r="B1323" s="527">
        <v>3.368174284696579E-2</v>
      </c>
      <c r="C1323" s="527">
        <v>34.903022766113281</v>
      </c>
    </row>
    <row r="1324" spans="1:3" x14ac:dyDescent="0.35">
      <c r="A1324" s="527">
        <v>1323</v>
      </c>
      <c r="B1324" s="527">
        <v>4.0033794939517975E-2</v>
      </c>
      <c r="C1324" s="527">
        <v>41.485393524169922</v>
      </c>
    </row>
    <row r="1325" spans="1:3" x14ac:dyDescent="0.35">
      <c r="A1325" s="527">
        <v>1324</v>
      </c>
      <c r="B1325" s="527">
        <v>4.638584703207016E-2</v>
      </c>
      <c r="C1325" s="527">
        <v>48.067768096923828</v>
      </c>
    </row>
    <row r="1326" spans="1:3" x14ac:dyDescent="0.35">
      <c r="A1326" s="527">
        <v>1325</v>
      </c>
      <c r="B1326" s="527">
        <v>5.3055502474308014E-2</v>
      </c>
      <c r="C1326" s="527">
        <v>54.979259490966797</v>
      </c>
    </row>
    <row r="1327" spans="1:3" x14ac:dyDescent="0.35">
      <c r="A1327" s="527">
        <v>1326</v>
      </c>
      <c r="B1327" s="527">
        <v>5.9725157916545868E-2</v>
      </c>
      <c r="C1327" s="527">
        <v>61.890750885009766</v>
      </c>
    </row>
    <row r="1328" spans="1:3" x14ac:dyDescent="0.35">
      <c r="A1328" s="527">
        <v>1327</v>
      </c>
      <c r="B1328" s="527">
        <v>6.6394813358783722E-2</v>
      </c>
      <c r="C1328" s="527">
        <v>68.80224609375</v>
      </c>
    </row>
    <row r="1329" spans="1:3" x14ac:dyDescent="0.35">
      <c r="A1329" s="527">
        <v>1328</v>
      </c>
      <c r="B1329" s="527">
        <v>7.3064468801021576E-2</v>
      </c>
      <c r="C1329" s="527">
        <v>75.713737487792969</v>
      </c>
    </row>
    <row r="1330" spans="1:3" x14ac:dyDescent="0.35">
      <c r="A1330" s="527">
        <v>1329</v>
      </c>
      <c r="B1330" s="527">
        <v>7.973412424325943E-2</v>
      </c>
      <c r="C1330" s="527">
        <v>82.625228881835938</v>
      </c>
    </row>
    <row r="1331" spans="1:3" x14ac:dyDescent="0.35">
      <c r="A1331" s="527">
        <v>1330</v>
      </c>
      <c r="B1331" s="527">
        <v>8.6737260222434998E-2</v>
      </c>
      <c r="C1331" s="527">
        <v>89.882293701171875</v>
      </c>
    </row>
    <row r="1332" spans="1:3" x14ac:dyDescent="0.35">
      <c r="A1332" s="527">
        <v>1331</v>
      </c>
      <c r="B1332" s="527">
        <v>7.973412424325943E-2</v>
      </c>
      <c r="C1332" s="527">
        <v>82.625228881835938</v>
      </c>
    </row>
    <row r="1333" spans="1:3" x14ac:dyDescent="0.35">
      <c r="A1333" s="527">
        <v>1332</v>
      </c>
      <c r="B1333" s="527">
        <v>7.2380825877189636E-2</v>
      </c>
      <c r="C1333" s="527">
        <v>75.00531005859375</v>
      </c>
    </row>
    <row r="1334" spans="1:3" x14ac:dyDescent="0.35">
      <c r="A1334" s="527">
        <v>1333</v>
      </c>
      <c r="B1334" s="527">
        <v>6.5027534961700439E-2</v>
      </c>
      <c r="C1334" s="527">
        <v>67.385391235351562</v>
      </c>
    </row>
    <row r="1335" spans="1:3" x14ac:dyDescent="0.35">
      <c r="A1335" s="527">
        <v>1334</v>
      </c>
      <c r="B1335" s="527">
        <v>5.7674236595630646E-2</v>
      </c>
      <c r="C1335" s="527">
        <v>59.765468597412109</v>
      </c>
    </row>
    <row r="1336" spans="1:3" x14ac:dyDescent="0.35">
      <c r="A1336" s="527">
        <v>1335</v>
      </c>
      <c r="B1336" s="527">
        <v>5.0320945680141449E-2</v>
      </c>
      <c r="C1336" s="527">
        <v>52.145549774169922</v>
      </c>
    </row>
    <row r="1337" spans="1:3" x14ac:dyDescent="0.35">
      <c r="A1337" s="527">
        <v>1336</v>
      </c>
      <c r="B1337" s="527">
        <v>4.2967651039361954E-2</v>
      </c>
      <c r="C1337" s="527">
        <v>44.525627136230469</v>
      </c>
    </row>
    <row r="1338" spans="1:3" x14ac:dyDescent="0.35">
      <c r="A1338" s="527">
        <v>1337</v>
      </c>
      <c r="B1338" s="527">
        <v>3.5614356398582458E-2</v>
      </c>
      <c r="C1338" s="527">
        <v>36.905708312988281</v>
      </c>
    </row>
    <row r="1339" spans="1:3" x14ac:dyDescent="0.35">
      <c r="A1339" s="527">
        <v>1338</v>
      </c>
      <c r="B1339" s="527">
        <v>2.8261061757802963E-2</v>
      </c>
      <c r="C1339" s="527">
        <v>29.285789489746094</v>
      </c>
    </row>
    <row r="1340" spans="1:3" x14ac:dyDescent="0.35">
      <c r="A1340" s="527">
        <v>1339</v>
      </c>
      <c r="B1340" s="527">
        <v>2.0907767117023468E-2</v>
      </c>
      <c r="C1340" s="527">
        <v>21.665868759155273</v>
      </c>
    </row>
    <row r="1341" spans="1:3" x14ac:dyDescent="0.35">
      <c r="A1341" s="527">
        <v>1340</v>
      </c>
      <c r="B1341" s="527">
        <v>1.3554473407566547E-2</v>
      </c>
      <c r="C1341" s="527">
        <v>14.04594898223877</v>
      </c>
    </row>
    <row r="1342" spans="1:3" x14ac:dyDescent="0.35">
      <c r="A1342" s="527">
        <v>1341</v>
      </c>
      <c r="B1342" s="527">
        <v>5.8335140347480774E-3</v>
      </c>
      <c r="C1342" s="527">
        <v>6.0450334548950195</v>
      </c>
    </row>
    <row r="1343" spans="1:3" x14ac:dyDescent="0.35">
      <c r="A1343" s="527">
        <v>1342</v>
      </c>
      <c r="B1343" s="527">
        <v>-1.8874446395784616E-3</v>
      </c>
      <c r="C1343" s="527">
        <v>-1.95588219165802</v>
      </c>
    </row>
    <row r="1344" spans="1:3" x14ac:dyDescent="0.35">
      <c r="A1344" s="527">
        <v>1343</v>
      </c>
      <c r="B1344" s="527">
        <v>-9.9944518879055977E-3</v>
      </c>
      <c r="C1344" s="527">
        <v>-10.356843948364258</v>
      </c>
    </row>
    <row r="1345" spans="1:3" x14ac:dyDescent="0.35">
      <c r="A1345" s="527">
        <v>1344</v>
      </c>
      <c r="B1345" s="527">
        <v>-1.8101457506418228E-2</v>
      </c>
      <c r="C1345" s="527">
        <v>-18.757804870605469</v>
      </c>
    </row>
    <row r="1346" spans="1:3" x14ac:dyDescent="0.35">
      <c r="A1346" s="527">
        <v>1345</v>
      </c>
      <c r="B1346" s="527">
        <v>-2.6613814756274223E-2</v>
      </c>
      <c r="C1346" s="527">
        <v>-27.578815460205078</v>
      </c>
    </row>
    <row r="1347" spans="1:3" x14ac:dyDescent="0.35">
      <c r="A1347" s="527">
        <v>1346</v>
      </c>
      <c r="B1347" s="527">
        <v>-3.5551790148019791E-2</v>
      </c>
      <c r="C1347" s="527">
        <v>-36.840873718261719</v>
      </c>
    </row>
    <row r="1348" spans="1:3" x14ac:dyDescent="0.35">
      <c r="A1348" s="527">
        <v>1347</v>
      </c>
      <c r="B1348" s="527">
        <v>-4.4489767402410507E-2</v>
      </c>
      <c r="C1348" s="527">
        <v>-46.102935791015625</v>
      </c>
    </row>
    <row r="1349" spans="1:3" x14ac:dyDescent="0.35">
      <c r="A1349" s="527">
        <v>1348</v>
      </c>
      <c r="B1349" s="527">
        <v>-5.3427740931510925E-2</v>
      </c>
      <c r="C1349" s="527">
        <v>-55.364994049072266</v>
      </c>
    </row>
    <row r="1350" spans="1:3" x14ac:dyDescent="0.35">
      <c r="A1350" s="527">
        <v>1349</v>
      </c>
      <c r="B1350" s="527">
        <v>-6.2365714460611343E-2</v>
      </c>
      <c r="C1350" s="527">
        <v>-64.627052307128906</v>
      </c>
    </row>
    <row r="1351" spans="1:3" x14ac:dyDescent="0.35">
      <c r="A1351" s="527">
        <v>1350</v>
      </c>
      <c r="B1351" s="527">
        <v>-7.1303687989711761E-2</v>
      </c>
      <c r="C1351" s="527">
        <v>-73.889114379882813</v>
      </c>
    </row>
    <row r="1352" spans="1:3" x14ac:dyDescent="0.35">
      <c r="A1352" s="527">
        <v>1351</v>
      </c>
      <c r="B1352" s="527">
        <v>-8.0688565969467163E-2</v>
      </c>
      <c r="C1352" s="527">
        <v>-83.614280700683594</v>
      </c>
    </row>
    <row r="1353" spans="1:3" x14ac:dyDescent="0.35">
      <c r="A1353" s="527">
        <v>1352</v>
      </c>
      <c r="B1353" s="527">
        <v>-9.0073436498641968E-2</v>
      </c>
      <c r="C1353" s="527">
        <v>-93.339439392089844</v>
      </c>
    </row>
    <row r="1354" spans="1:3" x14ac:dyDescent="0.35">
      <c r="A1354" s="527">
        <v>1353</v>
      </c>
      <c r="B1354" s="527">
        <v>-9.9458314478397369E-2</v>
      </c>
      <c r="C1354" s="527">
        <v>-103.06460571289062</v>
      </c>
    </row>
    <row r="1355" spans="1:3" x14ac:dyDescent="0.35">
      <c r="A1355" s="527">
        <v>1354</v>
      </c>
      <c r="B1355" s="527">
        <v>-0.10884318500757217</v>
      </c>
      <c r="C1355" s="527">
        <v>-112.78976440429687</v>
      </c>
    </row>
    <row r="1356" spans="1:3" x14ac:dyDescent="0.35">
      <c r="A1356" s="527">
        <v>1355</v>
      </c>
      <c r="B1356" s="527">
        <v>-0.11822806298732758</v>
      </c>
      <c r="C1356" s="527">
        <v>-122.51493072509766</v>
      </c>
    </row>
    <row r="1357" spans="1:3" x14ac:dyDescent="0.35">
      <c r="A1357" s="527">
        <v>1356</v>
      </c>
      <c r="B1357" s="527">
        <v>-0.12808217108249664</v>
      </c>
      <c r="C1357" s="527">
        <v>-132.72634887695312</v>
      </c>
    </row>
    <row r="1358" spans="1:3" x14ac:dyDescent="0.35">
      <c r="A1358" s="527">
        <v>1357</v>
      </c>
      <c r="B1358" s="527">
        <v>-0.11822806298732758</v>
      </c>
      <c r="C1358" s="527">
        <v>-122.51493072509766</v>
      </c>
    </row>
    <row r="1359" spans="1:3" x14ac:dyDescent="0.35">
      <c r="A1359" s="527">
        <v>1358</v>
      </c>
      <c r="B1359" s="527">
        <v>-0.10837393999099731</v>
      </c>
      <c r="C1359" s="527">
        <v>-112.30351257324219</v>
      </c>
    </row>
    <row r="1360" spans="1:3" x14ac:dyDescent="0.35">
      <c r="A1360" s="527">
        <v>1359</v>
      </c>
      <c r="B1360" s="527">
        <v>-9.9012531340122223E-2</v>
      </c>
      <c r="C1360" s="527">
        <v>-102.6026611328125</v>
      </c>
    </row>
    <row r="1361" spans="1:3" x14ac:dyDescent="0.35">
      <c r="A1361" s="527">
        <v>1360</v>
      </c>
      <c r="B1361" s="527">
        <v>-9.0119190514087677E-2</v>
      </c>
      <c r="C1361" s="527">
        <v>-93.386848449707031</v>
      </c>
    </row>
    <row r="1362" spans="1:3" x14ac:dyDescent="0.35">
      <c r="A1362" s="527">
        <v>1361</v>
      </c>
      <c r="B1362" s="527">
        <v>-8.1670515239238739E-2</v>
      </c>
      <c r="C1362" s="527">
        <v>-84.6318359375</v>
      </c>
    </row>
    <row r="1363" spans="1:3" x14ac:dyDescent="0.35">
      <c r="A1363" s="527">
        <v>1362</v>
      </c>
      <c r="B1363" s="527">
        <v>-7.3644272983074188E-2</v>
      </c>
      <c r="C1363" s="527">
        <v>-76.314567565917969</v>
      </c>
    </row>
    <row r="1364" spans="1:3" x14ac:dyDescent="0.35">
      <c r="A1364" s="527">
        <v>1363</v>
      </c>
      <c r="B1364" s="527">
        <v>-6.5618038177490234E-2</v>
      </c>
      <c r="C1364" s="527">
        <v>-67.997299194335937</v>
      </c>
    </row>
    <row r="1365" spans="1:3" x14ac:dyDescent="0.35">
      <c r="A1365" s="527">
        <v>1364</v>
      </c>
      <c r="B1365" s="527">
        <v>-5.7993106544017792E-2</v>
      </c>
      <c r="C1365" s="527">
        <v>-60.095897674560547</v>
      </c>
    </row>
    <row r="1366" spans="1:3" x14ac:dyDescent="0.35">
      <c r="A1366" s="527">
        <v>1365</v>
      </c>
      <c r="B1366" s="527">
        <v>-5.074942484498024E-2</v>
      </c>
      <c r="C1366" s="527">
        <v>-52.589565277099609</v>
      </c>
    </row>
    <row r="1367" spans="1:3" x14ac:dyDescent="0.35">
      <c r="A1367" s="527">
        <v>1366</v>
      </c>
      <c r="B1367" s="527">
        <v>-4.3505743145942688E-2</v>
      </c>
      <c r="C1367" s="527">
        <v>-45.083232879638672</v>
      </c>
    </row>
    <row r="1368" spans="1:3" x14ac:dyDescent="0.35">
      <c r="A1368" s="527">
        <v>1367</v>
      </c>
      <c r="B1368" s="527">
        <v>-3.6624245345592499E-2</v>
      </c>
      <c r="C1368" s="527">
        <v>-37.952217102050781</v>
      </c>
    </row>
    <row r="1369" spans="1:3" x14ac:dyDescent="0.35">
      <c r="A1369" s="527">
        <v>1368</v>
      </c>
      <c r="B1369" s="527">
        <v>-3.0086822807788849E-2</v>
      </c>
      <c r="C1369" s="527">
        <v>-31.177751541137695</v>
      </c>
    </row>
    <row r="1370" spans="1:3" x14ac:dyDescent="0.35">
      <c r="A1370" s="527">
        <v>1369</v>
      </c>
      <c r="B1370" s="527">
        <v>-2.3549400269985199E-2</v>
      </c>
      <c r="C1370" s="527">
        <v>-24.403285980224609</v>
      </c>
    </row>
    <row r="1371" spans="1:3" x14ac:dyDescent="0.35">
      <c r="A1371" s="527">
        <v>1370</v>
      </c>
      <c r="B1371" s="527">
        <v>-1.7338847741484642E-2</v>
      </c>
      <c r="C1371" s="527">
        <v>-17.96754264831543</v>
      </c>
    </row>
    <row r="1372" spans="1:3" x14ac:dyDescent="0.35">
      <c r="A1372" s="527">
        <v>1371</v>
      </c>
      <c r="B1372" s="527">
        <v>-1.14388233050704E-2</v>
      </c>
      <c r="C1372" s="527">
        <v>-11.853588104248047</v>
      </c>
    </row>
    <row r="1373" spans="1:3" x14ac:dyDescent="0.35">
      <c r="A1373" s="527">
        <v>1372</v>
      </c>
      <c r="B1373" s="527">
        <v>-5.833800882101059E-3</v>
      </c>
      <c r="C1373" s="527">
        <v>-6.0453305244445801</v>
      </c>
    </row>
    <row r="1374" spans="1:3" x14ac:dyDescent="0.35">
      <c r="A1374" s="527">
        <v>1373</v>
      </c>
      <c r="B1374" s="527">
        <v>-5.0902902148663998E-4</v>
      </c>
      <c r="C1374" s="527">
        <v>-0.52748608589172363</v>
      </c>
    </row>
    <row r="1375" spans="1:3" x14ac:dyDescent="0.35">
      <c r="A1375" s="527">
        <v>1374</v>
      </c>
      <c r="B1375" s="527">
        <v>4.5495042577385902E-3</v>
      </c>
      <c r="C1375" s="527">
        <v>4.7144660949707031</v>
      </c>
    </row>
    <row r="1376" spans="1:3" x14ac:dyDescent="0.35">
      <c r="A1376" s="527">
        <v>1375</v>
      </c>
      <c r="B1376" s="527">
        <v>9.3551110476255417E-3</v>
      </c>
      <c r="C1376" s="527">
        <v>9.6943206787109375</v>
      </c>
    </row>
    <row r="1377" spans="1:3" x14ac:dyDescent="0.35">
      <c r="A1377" s="527">
        <v>1376</v>
      </c>
      <c r="B1377" s="527">
        <v>1.39204366132617E-2</v>
      </c>
      <c r="C1377" s="527">
        <v>14.425182342529297</v>
      </c>
    </row>
    <row r="1378" spans="1:3" x14ac:dyDescent="0.35">
      <c r="A1378" s="527">
        <v>1377</v>
      </c>
      <c r="B1378" s="527">
        <v>1.8257496878504753E-2</v>
      </c>
      <c r="C1378" s="527">
        <v>18.919502258300781</v>
      </c>
    </row>
    <row r="1379" spans="1:3" x14ac:dyDescent="0.35">
      <c r="A1379" s="527">
        <v>1378</v>
      </c>
      <c r="B1379" s="527">
        <v>2.2377703338861465E-2</v>
      </c>
      <c r="C1379" s="527">
        <v>23.189104080200195</v>
      </c>
    </row>
    <row r="1380" spans="1:3" x14ac:dyDescent="0.35">
      <c r="A1380" s="527">
        <v>1379</v>
      </c>
      <c r="B1380" s="527">
        <v>2.6291899383068085E-2</v>
      </c>
      <c r="C1380" s="527">
        <v>27.245227813720703</v>
      </c>
    </row>
    <row r="1381" spans="1:3" x14ac:dyDescent="0.35">
      <c r="A1381" s="527">
        <v>1380</v>
      </c>
      <c r="B1381" s="527">
        <v>3.0010387301445007E-2</v>
      </c>
      <c r="C1381" s="527">
        <v>31.098543167114258</v>
      </c>
    </row>
    <row r="1382" spans="1:3" x14ac:dyDescent="0.35">
      <c r="A1382" s="527">
        <v>1381</v>
      </c>
      <c r="B1382" s="527">
        <v>3.3542949706315994E-2</v>
      </c>
      <c r="C1382" s="527">
        <v>34.759193420410156</v>
      </c>
    </row>
    <row r="1383" spans="1:3" x14ac:dyDescent="0.35">
      <c r="A1383" s="527">
        <v>1382</v>
      </c>
      <c r="B1383" s="527">
        <v>3.6898884922266006E-2</v>
      </c>
      <c r="C1383" s="527">
        <v>38.236812591552734</v>
      </c>
    </row>
    <row r="1384" spans="1:3" x14ac:dyDescent="0.35">
      <c r="A1384" s="527">
        <v>1383</v>
      </c>
      <c r="B1384" s="527">
        <v>4.0087021887302399E-2</v>
      </c>
      <c r="C1384" s="527">
        <v>41.540550231933594</v>
      </c>
    </row>
    <row r="1385" spans="1:3" x14ac:dyDescent="0.35">
      <c r="A1385" s="527">
        <v>1384</v>
      </c>
      <c r="B1385" s="527">
        <v>4.3115753680467606E-2</v>
      </c>
      <c r="C1385" s="527">
        <v>44.679100036621094</v>
      </c>
    </row>
    <row r="1386" spans="1:3" x14ac:dyDescent="0.35">
      <c r="A1386" s="527">
        <v>1385</v>
      </c>
      <c r="B1386" s="527">
        <v>4.5993044972419739E-2</v>
      </c>
      <c r="C1386" s="527">
        <v>47.660724639892578</v>
      </c>
    </row>
    <row r="1387" spans="1:3" x14ac:dyDescent="0.35">
      <c r="A1387" s="527">
        <v>1386</v>
      </c>
      <c r="B1387" s="527">
        <v>4.8726476728916168E-2</v>
      </c>
      <c r="C1387" s="527">
        <v>50.493267059326172</v>
      </c>
    </row>
    <row r="1388" spans="1:3" x14ac:dyDescent="0.35">
      <c r="A1388" s="527">
        <v>1387</v>
      </c>
      <c r="B1388" s="527">
        <v>5.1323235034942627E-2</v>
      </c>
      <c r="C1388" s="527">
        <v>53.184181213378906</v>
      </c>
    </row>
    <row r="1389" spans="1:3" x14ac:dyDescent="0.35">
      <c r="A1389" s="527">
        <v>1388</v>
      </c>
      <c r="B1389" s="527">
        <v>5.3790152072906494E-2</v>
      </c>
      <c r="C1389" s="527">
        <v>55.740547180175781</v>
      </c>
    </row>
    <row r="1390" spans="1:3" x14ac:dyDescent="0.35">
      <c r="A1390" s="527">
        <v>1389</v>
      </c>
      <c r="B1390" s="527">
        <v>5.6133728474378586E-2</v>
      </c>
      <c r="C1390" s="527">
        <v>58.169097900390625</v>
      </c>
    </row>
    <row r="1391" spans="1:3" x14ac:dyDescent="0.35">
      <c r="A1391" s="527">
        <v>1390</v>
      </c>
      <c r="B1391" s="527">
        <v>5.836012214422226E-2</v>
      </c>
      <c r="C1391" s="527">
        <v>60.476222991943359</v>
      </c>
    </row>
    <row r="1392" spans="1:3" x14ac:dyDescent="0.35">
      <c r="A1392" s="527">
        <v>1391</v>
      </c>
      <c r="B1392" s="527">
        <v>6.0475196689367294E-2</v>
      </c>
      <c r="C1392" s="527">
        <v>62.667987823486328</v>
      </c>
    </row>
    <row r="1393" spans="1:3" x14ac:dyDescent="0.35">
      <c r="A1393" s="527">
        <v>1392</v>
      </c>
      <c r="B1393" s="527">
        <v>6.2590271234512329E-2</v>
      </c>
      <c r="C1393" s="527">
        <v>64.859756469726563</v>
      </c>
    </row>
    <row r="1394" spans="1:3" x14ac:dyDescent="0.35">
      <c r="A1394" s="527">
        <v>1393</v>
      </c>
      <c r="B1394" s="527">
        <v>6.4599595963954926E-2</v>
      </c>
      <c r="C1394" s="527">
        <v>66.941932678222656</v>
      </c>
    </row>
    <row r="1395" spans="1:3" x14ac:dyDescent="0.35">
      <c r="A1395" s="527">
        <v>1394</v>
      </c>
      <c r="B1395" s="527">
        <v>6.6608920693397522E-2</v>
      </c>
      <c r="C1395" s="527">
        <v>69.024116516113281</v>
      </c>
    </row>
    <row r="1396" spans="1:3" x14ac:dyDescent="0.35">
      <c r="A1396" s="527">
        <v>1395</v>
      </c>
      <c r="B1396" s="527">
        <v>6.8517774343490601E-2</v>
      </c>
      <c r="C1396" s="527">
        <v>71.002182006835938</v>
      </c>
    </row>
    <row r="1397" spans="1:3" x14ac:dyDescent="0.35">
      <c r="A1397" s="527">
        <v>1396</v>
      </c>
      <c r="B1397" s="527">
        <v>7.0331186056137085E-2</v>
      </c>
      <c r="C1397" s="527">
        <v>72.88134765625</v>
      </c>
    </row>
    <row r="1398" spans="1:3" x14ac:dyDescent="0.35">
      <c r="A1398" s="527">
        <v>1397</v>
      </c>
      <c r="B1398" s="527">
        <v>7.2053931653499603E-2</v>
      </c>
      <c r="C1398" s="527">
        <v>74.666557312011719</v>
      </c>
    </row>
    <row r="1399" spans="1:3" x14ac:dyDescent="0.35">
      <c r="A1399" s="527">
        <v>1398</v>
      </c>
      <c r="B1399" s="527">
        <v>7.0331186056137085E-2</v>
      </c>
      <c r="C1399" s="527">
        <v>72.88134765625</v>
      </c>
    </row>
    <row r="1400" spans="1:3" x14ac:dyDescent="0.35">
      <c r="A1400" s="527">
        <v>1399</v>
      </c>
      <c r="B1400" s="527">
        <v>6.8608440458774567E-2</v>
      </c>
      <c r="C1400" s="527">
        <v>71.096138000488281</v>
      </c>
    </row>
    <row r="1401" spans="1:3" x14ac:dyDescent="0.35">
      <c r="A1401" s="527">
        <v>1400</v>
      </c>
      <c r="B1401" s="527">
        <v>6.6799566149711609E-2</v>
      </c>
      <c r="C1401" s="527">
        <v>69.221672058105469</v>
      </c>
    </row>
    <row r="1402" spans="1:3" x14ac:dyDescent="0.35">
      <c r="A1402" s="527">
        <v>1401</v>
      </c>
      <c r="B1402" s="527">
        <v>6.4900241792201996E-2</v>
      </c>
      <c r="C1402" s="527">
        <v>67.25347900390625</v>
      </c>
    </row>
    <row r="1403" spans="1:3" x14ac:dyDescent="0.35">
      <c r="A1403" s="527">
        <v>1402</v>
      </c>
      <c r="B1403" s="527">
        <v>6.2905952334403992E-2</v>
      </c>
      <c r="C1403" s="527">
        <v>65.186882019042969</v>
      </c>
    </row>
    <row r="1404" spans="1:3" x14ac:dyDescent="0.35">
      <c r="A1404" s="527">
        <v>1403</v>
      </c>
      <c r="B1404" s="527">
        <v>6.0811948031187057E-2</v>
      </c>
      <c r="C1404" s="527">
        <v>63.016948699951172</v>
      </c>
    </row>
    <row r="1405" spans="1:3" x14ac:dyDescent="0.35">
      <c r="A1405" s="527">
        <v>1404</v>
      </c>
      <c r="B1405" s="527">
        <v>5.8613244444131851E-2</v>
      </c>
      <c r="C1405" s="527">
        <v>60.738521575927734</v>
      </c>
    </row>
    <row r="1406" spans="1:3" x14ac:dyDescent="0.35">
      <c r="A1406" s="527">
        <v>1405</v>
      </c>
      <c r="B1406" s="527">
        <v>5.6304603815078735E-2</v>
      </c>
      <c r="C1406" s="527">
        <v>58.346172332763672</v>
      </c>
    </row>
    <row r="1407" spans="1:3" x14ac:dyDescent="0.35">
      <c r="A1407" s="527">
        <v>1406</v>
      </c>
      <c r="B1407" s="527">
        <v>5.3880531340837479E-2</v>
      </c>
      <c r="C1407" s="527">
        <v>55.834205627441406</v>
      </c>
    </row>
    <row r="1408" spans="1:3" x14ac:dyDescent="0.35">
      <c r="A1408" s="527">
        <v>1407</v>
      </c>
      <c r="B1408" s="527">
        <v>5.1335256546735764E-2</v>
      </c>
      <c r="C1408" s="527">
        <v>53.196640014648437</v>
      </c>
    </row>
    <row r="1409" spans="1:3" x14ac:dyDescent="0.35">
      <c r="A1409" s="527">
        <v>1408</v>
      </c>
      <c r="B1409" s="527">
        <v>4.8789981752634048E-2</v>
      </c>
      <c r="C1409" s="527">
        <v>50.559074401855469</v>
      </c>
    </row>
    <row r="1410" spans="1:3" x14ac:dyDescent="0.35">
      <c r="A1410" s="527">
        <v>1409</v>
      </c>
      <c r="B1410" s="527">
        <v>4.6117443591356277E-2</v>
      </c>
      <c r="C1410" s="527">
        <v>47.789630889892578</v>
      </c>
    </row>
    <row r="1411" spans="1:3" x14ac:dyDescent="0.35">
      <c r="A1411" s="527">
        <v>1410</v>
      </c>
      <c r="B1411" s="527">
        <v>4.3311279267072678E-2</v>
      </c>
      <c r="C1411" s="527">
        <v>44.881717681884766</v>
      </c>
    </row>
    <row r="1412" spans="1:3" x14ac:dyDescent="0.35">
      <c r="A1412" s="527">
        <v>1411</v>
      </c>
      <c r="B1412" s="527">
        <v>4.0364805608987808E-2</v>
      </c>
      <c r="C1412" s="527">
        <v>41.828407287597656</v>
      </c>
    </row>
    <row r="1413" spans="1:3" x14ac:dyDescent="0.35">
      <c r="A1413" s="527">
        <v>1412</v>
      </c>
      <c r="B1413" s="527">
        <v>3.7271007895469666E-2</v>
      </c>
      <c r="C1413" s="527">
        <v>38.622428894042969</v>
      </c>
    </row>
    <row r="1414" spans="1:3" x14ac:dyDescent="0.35">
      <c r="A1414" s="527">
        <v>1413</v>
      </c>
      <c r="B1414" s="527">
        <v>3.4022517502307892E-2</v>
      </c>
      <c r="C1414" s="527">
        <v>35.256153106689453</v>
      </c>
    </row>
    <row r="1415" spans="1:3" x14ac:dyDescent="0.35">
      <c r="A1415" s="527">
        <v>1414</v>
      </c>
      <c r="B1415" s="527">
        <v>3.0774030834436417E-2</v>
      </c>
      <c r="C1415" s="527">
        <v>31.889877319335937</v>
      </c>
    </row>
    <row r="1416" spans="1:3" x14ac:dyDescent="0.35">
      <c r="A1416" s="527">
        <v>1415</v>
      </c>
      <c r="B1416" s="527">
        <v>2.7363119646906853E-2</v>
      </c>
      <c r="C1416" s="527">
        <v>28.355287551879883</v>
      </c>
    </row>
    <row r="1417" spans="1:3" x14ac:dyDescent="0.35">
      <c r="A1417" s="527">
        <v>1416</v>
      </c>
      <c r="B1417" s="527">
        <v>2.3781662806868553E-2</v>
      </c>
      <c r="C1417" s="527">
        <v>24.643970489501953</v>
      </c>
    </row>
    <row r="1418" spans="1:3" x14ac:dyDescent="0.35">
      <c r="A1418" s="527">
        <v>1417</v>
      </c>
      <c r="B1418" s="527">
        <v>2.0021131262183189E-2</v>
      </c>
      <c r="C1418" s="527">
        <v>20.747085571289063</v>
      </c>
    </row>
    <row r="1419" spans="1:3" x14ac:dyDescent="0.35">
      <c r="A1419" s="527">
        <v>1418</v>
      </c>
      <c r="B1419" s="527">
        <v>1.6072575002908707E-2</v>
      </c>
      <c r="C1419" s="527">
        <v>16.655355453491211</v>
      </c>
    </row>
    <row r="1420" spans="1:3" x14ac:dyDescent="0.35">
      <c r="A1420" s="527">
        <v>1419</v>
      </c>
      <c r="B1420" s="527">
        <v>1.1926590465009212E-2</v>
      </c>
      <c r="C1420" s="527">
        <v>12.359040260314941</v>
      </c>
    </row>
    <row r="1421" spans="1:3" x14ac:dyDescent="0.35">
      <c r="A1421" s="527">
        <v>1420</v>
      </c>
      <c r="B1421" s="527">
        <v>7.780605461448431E-3</v>
      </c>
      <c r="C1421" s="527">
        <v>8.0627250671386719</v>
      </c>
    </row>
    <row r="1422" spans="1:3" x14ac:dyDescent="0.35">
      <c r="A1422" s="527">
        <v>1421</v>
      </c>
      <c r="B1422" s="527">
        <v>7.7806101180613041E-3</v>
      </c>
      <c r="C1422" s="527">
        <v>8.0627298355102539</v>
      </c>
    </row>
    <row r="1423" spans="1:3" x14ac:dyDescent="0.35">
      <c r="A1423" s="527">
        <v>1422</v>
      </c>
      <c r="B1423" s="527">
        <v>1.1926595121622086E-2</v>
      </c>
      <c r="C1423" s="527">
        <v>12.359045028686523</v>
      </c>
    </row>
    <row r="1424" spans="1:3" x14ac:dyDescent="0.35">
      <c r="A1424" s="527">
        <v>1423</v>
      </c>
      <c r="B1424" s="527">
        <v>1.5865281224250793E-2</v>
      </c>
      <c r="C1424" s="527">
        <v>16.440544128417969</v>
      </c>
    </row>
    <row r="1425" spans="1:3" x14ac:dyDescent="0.35">
      <c r="A1425" s="527">
        <v>1424</v>
      </c>
      <c r="B1425" s="527">
        <v>1.9607031717896461E-2</v>
      </c>
      <c r="C1425" s="527">
        <v>20.317970275878906</v>
      </c>
    </row>
    <row r="1426" spans="1:3" x14ac:dyDescent="0.35">
      <c r="A1426" s="527">
        <v>1425</v>
      </c>
      <c r="B1426" s="527">
        <v>2.334878221154213E-2</v>
      </c>
      <c r="C1426" s="527">
        <v>24.195394515991211</v>
      </c>
    </row>
    <row r="1427" spans="1:3" x14ac:dyDescent="0.35">
      <c r="A1427" s="527">
        <v>1426</v>
      </c>
      <c r="B1427" s="527">
        <v>2.6903446763753891E-2</v>
      </c>
      <c r="C1427" s="527">
        <v>27.878948211669922</v>
      </c>
    </row>
    <row r="1428" spans="1:3" x14ac:dyDescent="0.35">
      <c r="A1428" s="527">
        <v>1427</v>
      </c>
      <c r="B1428" s="527">
        <v>3.0280377715826035E-2</v>
      </c>
      <c r="C1428" s="527">
        <v>31.378322601318359</v>
      </c>
    </row>
    <row r="1429" spans="1:3" x14ac:dyDescent="0.35">
      <c r="A1429" s="527">
        <v>1428</v>
      </c>
      <c r="B1429" s="527">
        <v>3.3488459885120392E-2</v>
      </c>
      <c r="C1429" s="527">
        <v>34.702732086181641</v>
      </c>
    </row>
    <row r="1430" spans="1:3" x14ac:dyDescent="0.35">
      <c r="A1430" s="527">
        <v>1429</v>
      </c>
      <c r="B1430" s="527">
        <v>3.6536142230033875E-2</v>
      </c>
      <c r="C1430" s="527">
        <v>37.860916137695313</v>
      </c>
    </row>
    <row r="1431" spans="1:3" x14ac:dyDescent="0.35">
      <c r="A1431" s="527">
        <v>1430</v>
      </c>
      <c r="B1431" s="527">
        <v>3.9431437849998474E-2</v>
      </c>
      <c r="C1431" s="527">
        <v>40.861194610595703</v>
      </c>
    </row>
    <row r="1432" spans="1:3" x14ac:dyDescent="0.35">
      <c r="A1432" s="527">
        <v>1431</v>
      </c>
      <c r="B1432" s="527">
        <v>4.2326733469963074E-2</v>
      </c>
      <c r="C1432" s="527">
        <v>43.861473083496094</v>
      </c>
    </row>
    <row r="1433" spans="1:3" x14ac:dyDescent="0.35">
      <c r="A1433" s="527">
        <v>1432</v>
      </c>
      <c r="B1433" s="527">
        <v>4.5077264308929443E-2</v>
      </c>
      <c r="C1433" s="527">
        <v>46.711734771728516</v>
      </c>
    </row>
    <row r="1434" spans="1:3" x14ac:dyDescent="0.35">
      <c r="A1434" s="527">
        <v>1433</v>
      </c>
      <c r="B1434" s="527">
        <v>4.7827795147895813E-2</v>
      </c>
      <c r="C1434" s="527">
        <v>49.561996459960938</v>
      </c>
    </row>
    <row r="1435" spans="1:3" x14ac:dyDescent="0.35">
      <c r="A1435" s="527">
        <v>1434</v>
      </c>
      <c r="B1435" s="527">
        <v>5.0440799444913864E-2</v>
      </c>
      <c r="C1435" s="527">
        <v>52.269748687744141</v>
      </c>
    </row>
    <row r="1436" spans="1:3" x14ac:dyDescent="0.35">
      <c r="A1436" s="527">
        <v>1435</v>
      </c>
      <c r="B1436" s="527">
        <v>5.2923154085874557E-2</v>
      </c>
      <c r="C1436" s="527">
        <v>54.842109680175781</v>
      </c>
    </row>
    <row r="1437" spans="1:3" x14ac:dyDescent="0.35">
      <c r="A1437" s="527">
        <v>1436</v>
      </c>
      <c r="B1437" s="527">
        <v>5.5405508726835251E-2</v>
      </c>
      <c r="C1437" s="527">
        <v>57.414474487304688</v>
      </c>
    </row>
    <row r="1438" spans="1:3" x14ac:dyDescent="0.35">
      <c r="A1438" s="527">
        <v>1437</v>
      </c>
      <c r="B1438" s="527">
        <v>5.776374414563179E-2</v>
      </c>
      <c r="C1438" s="527">
        <v>59.858219146728516</v>
      </c>
    </row>
    <row r="1439" spans="1:3" x14ac:dyDescent="0.35">
      <c r="A1439" s="527">
        <v>1438</v>
      </c>
      <c r="B1439" s="527">
        <v>6.0004066675901413E-2</v>
      </c>
      <c r="C1439" s="527">
        <v>62.179775238037109</v>
      </c>
    </row>
    <row r="1440" spans="1:3" x14ac:dyDescent="0.35">
      <c r="A1440" s="527">
        <v>1439</v>
      </c>
      <c r="B1440" s="527">
        <v>6.2244392931461334E-2</v>
      </c>
      <c r="C1440" s="527">
        <v>64.501335144042969</v>
      </c>
    </row>
    <row r="1441" spans="1:3" x14ac:dyDescent="0.35">
      <c r="A1441" s="527">
        <v>1440</v>
      </c>
      <c r="B1441" s="527">
        <v>6.4372703433036804E-2</v>
      </c>
      <c r="C1441" s="527">
        <v>66.706809997558594</v>
      </c>
    </row>
    <row r="1442" spans="1:3" x14ac:dyDescent="0.35">
      <c r="A1442" s="527">
        <v>1441</v>
      </c>
      <c r="B1442" s="527">
        <v>6.6501006484031677E-2</v>
      </c>
      <c r="C1442" s="527">
        <v>68.91229248046875</v>
      </c>
    </row>
    <row r="1443" spans="1:3" x14ac:dyDescent="0.35">
      <c r="A1443" s="527">
        <v>1442</v>
      </c>
      <c r="B1443" s="527">
        <v>6.8522900342941284E-2</v>
      </c>
      <c r="C1443" s="527">
        <v>71.007499694824219</v>
      </c>
    </row>
    <row r="1444" spans="1:3" x14ac:dyDescent="0.35">
      <c r="A1444" s="527">
        <v>1443</v>
      </c>
      <c r="B1444" s="527">
        <v>7.0443704724311829E-2</v>
      </c>
      <c r="C1444" s="527">
        <v>72.997940063476563</v>
      </c>
    </row>
    <row r="1445" spans="1:3" x14ac:dyDescent="0.35">
      <c r="A1445" s="527">
        <v>1444</v>
      </c>
      <c r="B1445" s="527">
        <v>7.2364501655101776E-2</v>
      </c>
      <c r="C1445" s="527">
        <v>74.988388061523438</v>
      </c>
    </row>
    <row r="1446" spans="1:3" x14ac:dyDescent="0.35">
      <c r="A1446" s="527">
        <v>1445</v>
      </c>
      <c r="B1446" s="527">
        <v>7.4189260601997375E-2</v>
      </c>
      <c r="C1446" s="527">
        <v>76.879310607910156</v>
      </c>
    </row>
    <row r="1447" spans="1:3" x14ac:dyDescent="0.35">
      <c r="A1447" s="527">
        <v>1446</v>
      </c>
      <c r="B1447" s="527">
        <v>7.5922779738903046E-2</v>
      </c>
      <c r="C1447" s="527">
        <v>78.675689697265625</v>
      </c>
    </row>
    <row r="1448" spans="1:3" x14ac:dyDescent="0.35">
      <c r="A1448" s="527">
        <v>1447</v>
      </c>
      <c r="B1448" s="527">
        <v>7.7569626271724701E-2</v>
      </c>
      <c r="C1448" s="527">
        <v>80.382247924804688</v>
      </c>
    </row>
    <row r="1449" spans="1:3" x14ac:dyDescent="0.35">
      <c r="A1449" s="527">
        <v>1448</v>
      </c>
      <c r="B1449" s="527">
        <v>7.9134121537208557E-2</v>
      </c>
      <c r="C1449" s="527">
        <v>82.00347900390625</v>
      </c>
    </row>
    <row r="1450" spans="1:3" x14ac:dyDescent="0.35">
      <c r="A1450" s="527">
        <v>1449</v>
      </c>
      <c r="B1450" s="527">
        <v>8.069862425327301E-2</v>
      </c>
      <c r="C1450" s="527">
        <v>83.624710083007813</v>
      </c>
    </row>
    <row r="1451" spans="1:3" x14ac:dyDescent="0.35">
      <c r="A1451" s="527">
        <v>1450</v>
      </c>
      <c r="B1451" s="527">
        <v>8.2263126969337463E-2</v>
      </c>
      <c r="C1451" s="527">
        <v>85.245933532714844</v>
      </c>
    </row>
    <row r="1452" spans="1:3" x14ac:dyDescent="0.35">
      <c r="A1452" s="527">
        <v>1451</v>
      </c>
      <c r="B1452" s="527">
        <v>8.3749406039714813E-2</v>
      </c>
      <c r="C1452" s="527">
        <v>86.786102294921875</v>
      </c>
    </row>
    <row r="1453" spans="1:3" x14ac:dyDescent="0.35">
      <c r="A1453" s="527">
        <v>1452</v>
      </c>
      <c r="B1453" s="527">
        <v>8.5235685110092163E-2</v>
      </c>
      <c r="C1453" s="527">
        <v>88.326271057128906</v>
      </c>
    </row>
    <row r="1454" spans="1:3" x14ac:dyDescent="0.35">
      <c r="A1454" s="527">
        <v>1453</v>
      </c>
      <c r="B1454" s="527">
        <v>8.6647644639015198E-2</v>
      </c>
      <c r="C1454" s="527">
        <v>89.789436340332031</v>
      </c>
    </row>
    <row r="1455" spans="1:3" x14ac:dyDescent="0.35">
      <c r="A1455" s="527">
        <v>1454</v>
      </c>
      <c r="B1455" s="527">
        <v>8.8059611618518829E-2</v>
      </c>
      <c r="C1455" s="527">
        <v>91.252593994140625</v>
      </c>
    </row>
    <row r="1456" spans="1:3" x14ac:dyDescent="0.35">
      <c r="A1456" s="527">
        <v>1455</v>
      </c>
      <c r="B1456" s="527">
        <v>8.9471571147441864E-2</v>
      </c>
      <c r="C1456" s="527">
        <v>92.715751647949219</v>
      </c>
    </row>
    <row r="1457" spans="1:3" x14ac:dyDescent="0.35">
      <c r="A1457" s="527">
        <v>1456</v>
      </c>
      <c r="B1457" s="527">
        <v>9.0812936425209045E-2</v>
      </c>
      <c r="C1457" s="527">
        <v>94.105758666992188</v>
      </c>
    </row>
    <row r="1458" spans="1:3" x14ac:dyDescent="0.35">
      <c r="A1458" s="527">
        <v>1457</v>
      </c>
      <c r="B1458" s="527">
        <v>9.2154301702976227E-2</v>
      </c>
      <c r="C1458" s="527">
        <v>95.495758056640625</v>
      </c>
    </row>
    <row r="1459" spans="1:3" x14ac:dyDescent="0.35">
      <c r="A1459" s="527">
        <v>1458</v>
      </c>
      <c r="B1459" s="527">
        <v>9.3428604304790497E-2</v>
      </c>
      <c r="C1459" s="527">
        <v>96.816261291503906</v>
      </c>
    </row>
    <row r="1460" spans="1:3" x14ac:dyDescent="0.35">
      <c r="A1460" s="527">
        <v>1459</v>
      </c>
      <c r="B1460" s="527">
        <v>9.470289945602417E-2</v>
      </c>
      <c r="C1460" s="527">
        <v>98.136764526367188</v>
      </c>
    </row>
    <row r="1461" spans="1:3" x14ac:dyDescent="0.35">
      <c r="A1461" s="527">
        <v>1460</v>
      </c>
      <c r="B1461" s="527">
        <v>9.591347724199295E-2</v>
      </c>
      <c r="C1461" s="527">
        <v>99.391242980957031</v>
      </c>
    </row>
    <row r="1462" spans="1:3" x14ac:dyDescent="0.35">
      <c r="A1462" s="527">
        <v>1461</v>
      </c>
      <c r="B1462" s="527">
        <v>9.7063533961772919E-2</v>
      </c>
      <c r="C1462" s="527">
        <v>100.58299255371094</v>
      </c>
    </row>
    <row r="1463" spans="1:3" x14ac:dyDescent="0.35">
      <c r="A1463" s="527">
        <v>1462</v>
      </c>
      <c r="B1463" s="527">
        <v>9.821358323097229E-2</v>
      </c>
      <c r="C1463" s="527">
        <v>101.77474212646484</v>
      </c>
    </row>
    <row r="1464" spans="1:3" x14ac:dyDescent="0.35">
      <c r="A1464" s="527">
        <v>1463</v>
      </c>
      <c r="B1464" s="527">
        <v>9.93061363697052E-2</v>
      </c>
      <c r="C1464" s="527">
        <v>102.90691375732422</v>
      </c>
    </row>
    <row r="1465" spans="1:3" x14ac:dyDescent="0.35">
      <c r="A1465" s="527">
        <v>1464</v>
      </c>
      <c r="B1465" s="527">
        <v>0.10039868950843811</v>
      </c>
      <c r="C1465" s="527">
        <v>104.03907775878906</v>
      </c>
    </row>
    <row r="1466" spans="1:3" x14ac:dyDescent="0.35">
      <c r="A1466" s="527">
        <v>1465</v>
      </c>
      <c r="B1466" s="527">
        <v>9.93061363697052E-2</v>
      </c>
      <c r="C1466" s="527">
        <v>102.90691375732422</v>
      </c>
    </row>
    <row r="1467" spans="1:3" x14ac:dyDescent="0.35">
      <c r="A1467" s="527">
        <v>1466</v>
      </c>
      <c r="B1467" s="527">
        <v>9.821358323097229E-2</v>
      </c>
      <c r="C1467" s="527">
        <v>101.77474212646484</v>
      </c>
    </row>
    <row r="1468" spans="1:3" x14ac:dyDescent="0.35">
      <c r="A1468" s="527">
        <v>1467</v>
      </c>
      <c r="B1468" s="527">
        <v>9.7175665199756622E-2</v>
      </c>
      <c r="C1468" s="527">
        <v>100.69918823242187</v>
      </c>
    </row>
    <row r="1469" spans="1:3" x14ac:dyDescent="0.35">
      <c r="A1469" s="527">
        <v>1468</v>
      </c>
      <c r="B1469" s="527">
        <v>9.6189633011817932E-2</v>
      </c>
      <c r="C1469" s="527">
        <v>99.677406311035156</v>
      </c>
    </row>
    <row r="1470" spans="1:3" x14ac:dyDescent="0.35">
      <c r="A1470" s="527">
        <v>1469</v>
      </c>
      <c r="B1470" s="527">
        <v>9.5203608274459839E-2</v>
      </c>
      <c r="C1470" s="527">
        <v>98.655632019042969</v>
      </c>
    </row>
    <row r="1471" spans="1:3" x14ac:dyDescent="0.35">
      <c r="A1471" s="527">
        <v>1470</v>
      </c>
      <c r="B1471" s="527">
        <v>9.4217583537101746E-2</v>
      </c>
      <c r="C1471" s="527">
        <v>97.63385009765625</v>
      </c>
    </row>
    <row r="1472" spans="1:3" x14ac:dyDescent="0.35">
      <c r="A1472" s="527">
        <v>1471</v>
      </c>
      <c r="B1472" s="527">
        <v>9.3231558799743652E-2</v>
      </c>
      <c r="C1472" s="527">
        <v>96.612068176269531</v>
      </c>
    </row>
    <row r="1473" spans="1:3" x14ac:dyDescent="0.35">
      <c r="A1473" s="527">
        <v>1472</v>
      </c>
      <c r="B1473" s="527">
        <v>9.2196226119995117E-2</v>
      </c>
      <c r="C1473" s="527">
        <v>95.539199829101563</v>
      </c>
    </row>
    <row r="1474" spans="1:3" x14ac:dyDescent="0.35">
      <c r="A1474" s="527">
        <v>1473</v>
      </c>
      <c r="B1474" s="527">
        <v>9.1160900890827179E-2</v>
      </c>
      <c r="C1474" s="527">
        <v>94.466331481933594</v>
      </c>
    </row>
    <row r="1475" spans="1:3" x14ac:dyDescent="0.35">
      <c r="A1475" s="527">
        <v>1474</v>
      </c>
      <c r="B1475" s="527">
        <v>-2.2284163162112236E-2</v>
      </c>
      <c r="C1475" s="527">
        <v>94.466331481933594</v>
      </c>
    </row>
    <row r="1476" spans="1:3" x14ac:dyDescent="0.35">
      <c r="A1476" s="527">
        <v>1475</v>
      </c>
      <c r="B1476" s="527">
        <v>-2.2537248209118843E-2</v>
      </c>
      <c r="C1476" s="527">
        <v>95.539199829101563</v>
      </c>
    </row>
    <row r="1477" spans="1:3" x14ac:dyDescent="0.35">
      <c r="A1477" s="527">
        <v>1476</v>
      </c>
      <c r="B1477" s="527">
        <v>-2.2777678444981575E-2</v>
      </c>
      <c r="C1477" s="527">
        <v>96.558425903320313</v>
      </c>
    </row>
    <row r="1478" spans="1:3" x14ac:dyDescent="0.35">
      <c r="A1478" s="527">
        <v>1477</v>
      </c>
      <c r="B1478" s="527">
        <v>-2.300608716905117E-2</v>
      </c>
      <c r="C1478" s="527">
        <v>97.526687622070313</v>
      </c>
    </row>
    <row r="1479" spans="1:3" x14ac:dyDescent="0.35">
      <c r="A1479" s="527">
        <v>1478</v>
      </c>
      <c r="B1479" s="527">
        <v>-2.3234495893120766E-2</v>
      </c>
      <c r="C1479" s="527">
        <v>98.494949340820313</v>
      </c>
    </row>
    <row r="1480" spans="1:3" x14ac:dyDescent="0.35">
      <c r="A1480" s="527">
        <v>1479</v>
      </c>
      <c r="B1480" s="527">
        <v>-2.3462904617190361E-2</v>
      </c>
      <c r="C1480" s="527">
        <v>99.463211059570313</v>
      </c>
    </row>
    <row r="1481" spans="1:3" x14ac:dyDescent="0.35">
      <c r="A1481" s="527">
        <v>1480</v>
      </c>
      <c r="B1481" s="527">
        <v>-2.3679893463850021E-2</v>
      </c>
      <c r="C1481" s="527">
        <v>100.38306427001953</v>
      </c>
    </row>
    <row r="1482" spans="1:3" x14ac:dyDescent="0.35">
      <c r="A1482" s="527">
        <v>1481</v>
      </c>
      <c r="B1482" s="527">
        <v>-2.3886032402515411E-2</v>
      </c>
      <c r="C1482" s="527">
        <v>101.25691986083984</v>
      </c>
    </row>
    <row r="1483" spans="1:3" x14ac:dyDescent="0.35">
      <c r="A1483" s="527">
        <v>1482</v>
      </c>
      <c r="B1483" s="527">
        <v>-2.4092171341180801E-2</v>
      </c>
      <c r="C1483" s="527">
        <v>102.13078308105469</v>
      </c>
    </row>
    <row r="1484" spans="1:3" x14ac:dyDescent="0.35">
      <c r="A1484" s="527">
        <v>1483</v>
      </c>
      <c r="B1484" s="527">
        <v>-2.4298310279846191E-2</v>
      </c>
      <c r="C1484" s="527">
        <v>103.004638671875</v>
      </c>
    </row>
    <row r="1485" spans="1:3" x14ac:dyDescent="0.35">
      <c r="A1485" s="527">
        <v>1484</v>
      </c>
      <c r="B1485" s="527">
        <v>-2.4504449218511581E-2</v>
      </c>
      <c r="C1485" s="527">
        <v>103.87849426269531</v>
      </c>
    </row>
    <row r="1486" spans="1:3" x14ac:dyDescent="0.35">
      <c r="A1486" s="527">
        <v>1485</v>
      </c>
      <c r="B1486" s="527">
        <v>-2.4710588157176971E-2</v>
      </c>
      <c r="C1486" s="527">
        <v>104.75235748291016</v>
      </c>
    </row>
    <row r="1487" spans="1:3" x14ac:dyDescent="0.35">
      <c r="A1487" s="527">
        <v>1486</v>
      </c>
      <c r="B1487" s="527">
        <v>-2.4906419217586517E-2</v>
      </c>
      <c r="C1487" s="527">
        <v>105.58251953125</v>
      </c>
    </row>
    <row r="1488" spans="1:3" x14ac:dyDescent="0.35">
      <c r="A1488" s="527">
        <v>1487</v>
      </c>
      <c r="B1488" s="527">
        <v>-2.5102252140641212E-2</v>
      </c>
      <c r="C1488" s="527">
        <v>106.41268157958984</v>
      </c>
    </row>
    <row r="1489" spans="1:3" x14ac:dyDescent="0.35">
      <c r="A1489" s="527">
        <v>1488</v>
      </c>
      <c r="B1489" s="527">
        <v>-2.5288291275501251E-2</v>
      </c>
      <c r="C1489" s="527">
        <v>107.20133972167969</v>
      </c>
    </row>
    <row r="1490" spans="1:3" x14ac:dyDescent="0.35">
      <c r="A1490" s="527">
        <v>1489</v>
      </c>
      <c r="B1490" s="527">
        <v>-2.546503022313118E-2</v>
      </c>
      <c r="C1490" s="527">
        <v>107.9505615234375</v>
      </c>
    </row>
    <row r="1491" spans="1:3" x14ac:dyDescent="0.35">
      <c r="A1491" s="527">
        <v>1490</v>
      </c>
      <c r="B1491" s="527">
        <v>-2.5632932782173157E-2</v>
      </c>
      <c r="C1491" s="527">
        <v>108.66233062744141</v>
      </c>
    </row>
    <row r="1492" spans="1:3" x14ac:dyDescent="0.35">
      <c r="A1492" s="527">
        <v>1491</v>
      </c>
      <c r="B1492" s="527">
        <v>-2.5792438536882401E-2</v>
      </c>
      <c r="C1492" s="527">
        <v>109.3385009765625</v>
      </c>
    </row>
    <row r="1493" spans="1:3" x14ac:dyDescent="0.35">
      <c r="A1493" s="527">
        <v>1492</v>
      </c>
      <c r="B1493" s="527">
        <v>-2.5943970307707787E-2</v>
      </c>
      <c r="C1493" s="527">
        <v>109.98086547851562</v>
      </c>
    </row>
    <row r="1494" spans="1:3" x14ac:dyDescent="0.35">
      <c r="A1494" s="527">
        <v>1493</v>
      </c>
      <c r="B1494" s="527">
        <v>-2.6087924838066101E-2</v>
      </c>
      <c r="C1494" s="527">
        <v>110.59111785888672</v>
      </c>
    </row>
    <row r="1495" spans="1:3" x14ac:dyDescent="0.35">
      <c r="A1495" s="527">
        <v>1494</v>
      </c>
      <c r="B1495" s="527">
        <v>-2.6224680244922638E-2</v>
      </c>
      <c r="C1495" s="527">
        <v>111.17085266113281</v>
      </c>
    </row>
    <row r="1496" spans="1:3" x14ac:dyDescent="0.35">
      <c r="A1496" s="527">
        <v>1495</v>
      </c>
      <c r="B1496" s="527">
        <v>-2.6354599744081497E-2</v>
      </c>
      <c r="C1496" s="527">
        <v>111.72159576416016</v>
      </c>
    </row>
    <row r="1497" spans="1:3" x14ac:dyDescent="0.35">
      <c r="A1497" s="527">
        <v>1496</v>
      </c>
      <c r="B1497" s="527">
        <v>-2.6478022336959839E-2</v>
      </c>
      <c r="C1497" s="527">
        <v>112.24481201171875</v>
      </c>
    </row>
    <row r="1498" spans="1:3" x14ac:dyDescent="0.35">
      <c r="A1498" s="527">
        <v>1497</v>
      </c>
      <c r="B1498" s="527">
        <v>-2.6595273986458778E-2</v>
      </c>
      <c r="C1498" s="527">
        <v>112.74185943603516</v>
      </c>
    </row>
    <row r="1499" spans="1:3" x14ac:dyDescent="0.35">
      <c r="A1499" s="527">
        <v>1498</v>
      </c>
      <c r="B1499" s="527">
        <v>-2.6706663891673088E-2</v>
      </c>
      <c r="C1499" s="527">
        <v>113.21405792236328</v>
      </c>
    </row>
    <row r="1500" spans="1:3" x14ac:dyDescent="0.35">
      <c r="A1500" s="527">
        <v>1499</v>
      </c>
      <c r="B1500" s="527">
        <v>-2.6812484487891197E-2</v>
      </c>
      <c r="C1500" s="527">
        <v>113.66264343261719</v>
      </c>
    </row>
    <row r="1501" spans="1:3" x14ac:dyDescent="0.35">
      <c r="A1501" s="527">
        <v>1500</v>
      </c>
      <c r="B1501" s="527">
        <v>-2.6913013309240341E-2</v>
      </c>
      <c r="C1501" s="527">
        <v>114.08880615234375</v>
      </c>
    </row>
    <row r="1502" spans="1:3" x14ac:dyDescent="0.35">
      <c r="A1502" s="527">
        <v>1501</v>
      </c>
      <c r="B1502" s="527">
        <v>-2.7008514851331711E-2</v>
      </c>
      <c r="C1502" s="527">
        <v>114.49365234375</v>
      </c>
    </row>
    <row r="1503" spans="1:3" x14ac:dyDescent="0.35">
      <c r="A1503" s="527">
        <v>1502</v>
      </c>
      <c r="B1503" s="527">
        <v>-2.7099242433905602E-2</v>
      </c>
      <c r="C1503" s="527">
        <v>114.87826538085937</v>
      </c>
    </row>
    <row r="1504" spans="1:3" x14ac:dyDescent="0.35">
      <c r="A1504" s="527">
        <v>1503</v>
      </c>
      <c r="B1504" s="527">
        <v>-2.7185432612895966E-2</v>
      </c>
      <c r="C1504" s="527">
        <v>115.24364471435547</v>
      </c>
    </row>
    <row r="1505" spans="1:3" x14ac:dyDescent="0.35">
      <c r="A1505" s="527">
        <v>1504</v>
      </c>
      <c r="B1505" s="527">
        <v>-2.7267314493656158E-2</v>
      </c>
      <c r="C1505" s="527">
        <v>115.59075164794922</v>
      </c>
    </row>
    <row r="1506" spans="1:3" x14ac:dyDescent="0.35">
      <c r="A1506" s="527">
        <v>1505</v>
      </c>
      <c r="B1506" s="527">
        <v>-2.7345102280378342E-2</v>
      </c>
      <c r="C1506" s="527">
        <v>115.92050170898437</v>
      </c>
    </row>
    <row r="1507" spans="1:3" x14ac:dyDescent="0.35">
      <c r="A1507" s="527">
        <v>1506</v>
      </c>
      <c r="B1507" s="527">
        <v>-2.7418999001383781E-2</v>
      </c>
      <c r="C1507" s="527">
        <v>116.23377227783203</v>
      </c>
    </row>
    <row r="1508" spans="1:3" x14ac:dyDescent="0.35">
      <c r="A1508" s="527">
        <v>1507</v>
      </c>
      <c r="B1508" s="527">
        <v>-2.7345102280378342E-2</v>
      </c>
      <c r="C1508" s="527">
        <v>115.92050170898437</v>
      </c>
    </row>
    <row r="1509" spans="1:3" x14ac:dyDescent="0.35">
      <c r="A1509" s="527">
        <v>1508</v>
      </c>
      <c r="B1509" s="527">
        <v>-2.7271203696727753E-2</v>
      </c>
      <c r="C1509" s="527">
        <v>115.60723876953125</v>
      </c>
    </row>
    <row r="1510" spans="1:3" x14ac:dyDescent="0.35">
      <c r="A1510" s="527">
        <v>1509</v>
      </c>
      <c r="B1510" s="527">
        <v>-2.7193611487746239E-2</v>
      </c>
      <c r="C1510" s="527">
        <v>115.27831268310547</v>
      </c>
    </row>
    <row r="1511" spans="1:3" x14ac:dyDescent="0.35">
      <c r="A1511" s="527">
        <v>1510</v>
      </c>
      <c r="B1511" s="527">
        <v>-2.7112139388918877E-2</v>
      </c>
      <c r="C1511" s="527">
        <v>114.93293762207031</v>
      </c>
    </row>
    <row r="1512" spans="1:3" x14ac:dyDescent="0.35">
      <c r="A1512" s="527">
        <v>1511</v>
      </c>
      <c r="B1512" s="527">
        <v>-2.7030665427446365E-2</v>
      </c>
      <c r="C1512" s="527">
        <v>114.58755493164062</v>
      </c>
    </row>
    <row r="1513" spans="1:3" x14ac:dyDescent="0.35">
      <c r="A1513" s="527">
        <v>1512</v>
      </c>
      <c r="B1513" s="527">
        <v>-2.6953266933560371E-2</v>
      </c>
      <c r="C1513" s="527">
        <v>114.25945281982422</v>
      </c>
    </row>
    <row r="1514" spans="1:3" x14ac:dyDescent="0.35">
      <c r="A1514" s="527">
        <v>1513</v>
      </c>
      <c r="B1514" s="527">
        <v>-2.6879739016294479E-2</v>
      </c>
      <c r="C1514" s="527">
        <v>113.94775390625</v>
      </c>
    </row>
    <row r="1515" spans="1:3" x14ac:dyDescent="0.35">
      <c r="A1515" s="527">
        <v>1514</v>
      </c>
      <c r="B1515" s="527">
        <v>-2.680988609790802E-2</v>
      </c>
      <c r="C1515" s="527">
        <v>113.65163421630859</v>
      </c>
    </row>
    <row r="1516" spans="1:3" x14ac:dyDescent="0.35">
      <c r="A1516" s="527">
        <v>1515</v>
      </c>
      <c r="B1516" s="527">
        <v>-2.6743525639176369E-2</v>
      </c>
      <c r="C1516" s="527">
        <v>113.37032318115234</v>
      </c>
    </row>
    <row r="1517" spans="1:3" x14ac:dyDescent="0.35">
      <c r="A1517" s="527">
        <v>1516</v>
      </c>
      <c r="B1517" s="527">
        <v>-2.6680484414100647E-2</v>
      </c>
      <c r="C1517" s="527">
        <v>113.10308074951172</v>
      </c>
    </row>
    <row r="1518" spans="1:3" x14ac:dyDescent="0.35">
      <c r="A1518" s="527">
        <v>1517</v>
      </c>
      <c r="B1518" s="527">
        <v>-2.6617443189024925E-2</v>
      </c>
      <c r="C1518" s="527">
        <v>112.83583068847656</v>
      </c>
    </row>
    <row r="1519" spans="1:3" x14ac:dyDescent="0.35">
      <c r="A1519" s="527">
        <v>1518</v>
      </c>
      <c r="B1519" s="527">
        <v>-2.6557553559541702E-2</v>
      </c>
      <c r="C1519" s="527">
        <v>112.58194732666016</v>
      </c>
    </row>
    <row r="1520" spans="1:3" x14ac:dyDescent="0.35">
      <c r="A1520" s="527">
        <v>1519</v>
      </c>
      <c r="B1520" s="527">
        <v>-2.6500657200813293E-2</v>
      </c>
      <c r="C1520" s="527">
        <v>112.34075927734375</v>
      </c>
    </row>
    <row r="1521" spans="1:3" x14ac:dyDescent="0.35">
      <c r="A1521" s="527">
        <v>1520</v>
      </c>
      <c r="B1521" s="527">
        <v>-2.6443762704730034E-2</v>
      </c>
      <c r="C1521" s="527">
        <v>112.09957122802734</v>
      </c>
    </row>
    <row r="1522" spans="1:3" x14ac:dyDescent="0.35">
      <c r="A1522" s="527">
        <v>1521</v>
      </c>
      <c r="B1522" s="527">
        <v>-2.6384022086858749E-2</v>
      </c>
      <c r="C1522" s="527">
        <v>111.84632873535156</v>
      </c>
    </row>
    <row r="1523" spans="1:3" x14ac:dyDescent="0.35">
      <c r="A1523" s="527">
        <v>1522</v>
      </c>
      <c r="B1523" s="527">
        <v>-2.6321295648813248E-2</v>
      </c>
      <c r="C1523" s="527">
        <v>111.58041381835937</v>
      </c>
    </row>
    <row r="1524" spans="1:3" x14ac:dyDescent="0.35">
      <c r="A1524" s="527">
        <v>1523</v>
      </c>
      <c r="B1524" s="527">
        <v>-2.6258567348122597E-2</v>
      </c>
      <c r="C1524" s="527">
        <v>111.31450653076172</v>
      </c>
    </row>
    <row r="1525" spans="1:3" x14ac:dyDescent="0.35">
      <c r="A1525" s="527">
        <v>1524</v>
      </c>
      <c r="B1525" s="527">
        <v>-2.619270421564579E-2</v>
      </c>
      <c r="C1525" s="527">
        <v>111.03530120849609</v>
      </c>
    </row>
    <row r="1526" spans="1:3" x14ac:dyDescent="0.35">
      <c r="A1526" s="527">
        <v>1525</v>
      </c>
      <c r="B1526" s="527">
        <v>-2.6126841083168983E-2</v>
      </c>
      <c r="C1526" s="527">
        <v>110.75609588623047</v>
      </c>
    </row>
    <row r="1527" spans="1:3" x14ac:dyDescent="0.35">
      <c r="A1527" s="527">
        <v>1526</v>
      </c>
      <c r="B1527" s="527">
        <v>-2.6057684794068336E-2</v>
      </c>
      <c r="C1527" s="527">
        <v>110.46292877197266</v>
      </c>
    </row>
    <row r="1528" spans="1:3" x14ac:dyDescent="0.35">
      <c r="A1528" s="527">
        <v>1527</v>
      </c>
      <c r="B1528" s="527">
        <v>-2.6126841083168983E-2</v>
      </c>
      <c r="C1528" s="527">
        <v>110.75609588623047</v>
      </c>
    </row>
    <row r="1529" spans="1:3" x14ac:dyDescent="0.35">
      <c r="A1529" s="527">
        <v>1528</v>
      </c>
      <c r="B1529" s="527">
        <v>-2.619599737226963E-2</v>
      </c>
      <c r="C1529" s="527">
        <v>111.04925537109375</v>
      </c>
    </row>
    <row r="1530" spans="1:3" x14ac:dyDescent="0.35">
      <c r="A1530" s="527">
        <v>1529</v>
      </c>
      <c r="B1530" s="527">
        <v>-2.6265153661370277E-2</v>
      </c>
      <c r="C1530" s="527">
        <v>111.34242248535156</v>
      </c>
    </row>
    <row r="1531" spans="1:3" x14ac:dyDescent="0.35">
      <c r="A1531" s="527">
        <v>1530</v>
      </c>
      <c r="B1531" s="527">
        <v>-2.6334311813116074E-2</v>
      </c>
      <c r="C1531" s="527">
        <v>111.63558959960937</v>
      </c>
    </row>
    <row r="1532" spans="1:3" x14ac:dyDescent="0.35">
      <c r="A1532" s="527">
        <v>1531</v>
      </c>
      <c r="B1532" s="527">
        <v>-2.6400009170174599E-2</v>
      </c>
      <c r="C1532" s="527">
        <v>111.91410064697266</v>
      </c>
    </row>
    <row r="1533" spans="1:3" x14ac:dyDescent="0.35">
      <c r="A1533" s="527">
        <v>1532</v>
      </c>
      <c r="B1533" s="527">
        <v>-2.646242268383503E-2</v>
      </c>
      <c r="C1533" s="527">
        <v>112.17868041992187</v>
      </c>
    </row>
    <row r="1534" spans="1:3" x14ac:dyDescent="0.35">
      <c r="A1534" s="527">
        <v>1533</v>
      </c>
      <c r="B1534" s="527">
        <v>-2.6521716266870499E-2</v>
      </c>
      <c r="C1534" s="527">
        <v>112.43003845214844</v>
      </c>
    </row>
    <row r="1535" spans="1:3" x14ac:dyDescent="0.35">
      <c r="A1535" s="527">
        <v>1534</v>
      </c>
      <c r="B1535" s="527">
        <v>-2.6581009849905968E-2</v>
      </c>
      <c r="C1535" s="527">
        <v>112.68138885498047</v>
      </c>
    </row>
    <row r="1536" spans="1:3" x14ac:dyDescent="0.35">
      <c r="A1536" s="527">
        <v>1535</v>
      </c>
      <c r="B1536" s="527">
        <v>-2.6640303432941437E-2</v>
      </c>
      <c r="C1536" s="527">
        <v>112.9327392578125</v>
      </c>
    </row>
    <row r="1537" spans="1:3" x14ac:dyDescent="0.35">
      <c r="A1537" s="527">
        <v>1536</v>
      </c>
      <c r="B1537" s="527">
        <v>-2.669663168489933E-2</v>
      </c>
      <c r="C1537" s="527">
        <v>113.17153167724609</v>
      </c>
    </row>
    <row r="1538" spans="1:3" x14ac:dyDescent="0.35">
      <c r="A1538" s="527">
        <v>1537</v>
      </c>
      <c r="B1538" s="527">
        <v>-2.6752959936857224E-2</v>
      </c>
      <c r="C1538" s="527">
        <v>113.41031646728516</v>
      </c>
    </row>
    <row r="1539" spans="1:3" x14ac:dyDescent="0.35">
      <c r="A1539" s="527">
        <v>1538</v>
      </c>
      <c r="B1539" s="527">
        <v>-2.6809288188815117E-2</v>
      </c>
      <c r="C1539" s="527">
        <v>113.64910125732422</v>
      </c>
    </row>
    <row r="1540" spans="1:3" x14ac:dyDescent="0.35">
      <c r="A1540" s="527">
        <v>1539</v>
      </c>
      <c r="B1540" s="527">
        <v>-2.6862800121307373E-2</v>
      </c>
      <c r="C1540" s="527">
        <v>113.87594604492187</v>
      </c>
    </row>
    <row r="1541" spans="1:3" x14ac:dyDescent="0.35">
      <c r="A1541" s="527">
        <v>1540</v>
      </c>
      <c r="B1541" s="527">
        <v>-2.6913637295365334E-2</v>
      </c>
      <c r="C1541" s="527">
        <v>114.09145355224609</v>
      </c>
    </row>
    <row r="1542" spans="1:3" x14ac:dyDescent="0.35">
      <c r="A1542" s="527">
        <v>1541</v>
      </c>
      <c r="B1542" s="527">
        <v>-2.6961930096149445E-2</v>
      </c>
      <c r="C1542" s="527">
        <v>114.29618072509766</v>
      </c>
    </row>
    <row r="1543" spans="1:3" x14ac:dyDescent="0.35">
      <c r="A1543" s="527">
        <v>1542</v>
      </c>
      <c r="B1543" s="527">
        <v>-2.7007810771465302E-2</v>
      </c>
      <c r="C1543" s="527">
        <v>114.49066925048828</v>
      </c>
    </row>
    <row r="1544" spans="1:3" x14ac:dyDescent="0.35">
      <c r="A1544" s="527">
        <v>1543</v>
      </c>
      <c r="B1544" s="527">
        <v>-2.7051396667957306E-2</v>
      </c>
      <c r="C1544" s="527">
        <v>114.67543792724609</v>
      </c>
    </row>
    <row r="1545" spans="1:3" x14ac:dyDescent="0.35">
      <c r="A1545" s="527">
        <v>1544</v>
      </c>
      <c r="B1545" s="527">
        <v>-2.709280326962471E-2</v>
      </c>
      <c r="C1545" s="527">
        <v>114.85096740722656</v>
      </c>
    </row>
    <row r="1546" spans="1:3" x14ac:dyDescent="0.35">
      <c r="A1546" s="527">
        <v>1545</v>
      </c>
      <c r="B1546" s="527">
        <v>-2.7134209871292114E-2</v>
      </c>
      <c r="C1546" s="527">
        <v>115.02649688720703</v>
      </c>
    </row>
    <row r="1547" spans="1:3" x14ac:dyDescent="0.35">
      <c r="A1547" s="527">
        <v>1546</v>
      </c>
      <c r="B1547" s="527">
        <v>-2.7094874531030655E-2</v>
      </c>
      <c r="C1547" s="527">
        <v>114.85974884033203</v>
      </c>
    </row>
    <row r="1548" spans="1:3" x14ac:dyDescent="0.35">
      <c r="A1548" s="527">
        <v>1547</v>
      </c>
      <c r="B1548" s="527">
        <v>-2.7057504281401634E-2</v>
      </c>
      <c r="C1548" s="527">
        <v>114.70133209228516</v>
      </c>
    </row>
    <row r="1549" spans="1:3" x14ac:dyDescent="0.35">
      <c r="A1549" s="527">
        <v>1548</v>
      </c>
      <c r="B1549" s="527">
        <v>-2.7022004127502441E-2</v>
      </c>
      <c r="C1549" s="527">
        <v>114.55083465576172</v>
      </c>
    </row>
    <row r="1550" spans="1:3" x14ac:dyDescent="0.35">
      <c r="A1550" s="527">
        <v>1549</v>
      </c>
      <c r="B1550" s="527">
        <v>-2.6986502110958099E-2</v>
      </c>
      <c r="C1550" s="527">
        <v>114.40033721923828</v>
      </c>
    </row>
    <row r="1551" spans="1:3" x14ac:dyDescent="0.35">
      <c r="A1551" s="527">
        <v>1550</v>
      </c>
      <c r="B1551" s="527">
        <v>-2.6951001957058907E-2</v>
      </c>
      <c r="C1551" s="527">
        <v>114.24984741210937</v>
      </c>
    </row>
    <row r="1552" spans="1:3" x14ac:dyDescent="0.35">
      <c r="A1552" s="527">
        <v>1551</v>
      </c>
      <c r="B1552" s="527">
        <v>-2.6915499940514565E-2</v>
      </c>
      <c r="C1552" s="527">
        <v>114.09934997558594</v>
      </c>
    </row>
    <row r="1553" spans="1:3" x14ac:dyDescent="0.35">
      <c r="A1553" s="527">
        <v>1552</v>
      </c>
      <c r="B1553" s="527">
        <v>-2.6881774887442589E-2</v>
      </c>
      <c r="C1553" s="527">
        <v>113.95638275146484</v>
      </c>
    </row>
    <row r="1554" spans="1:3" x14ac:dyDescent="0.35">
      <c r="A1554" s="527">
        <v>1553</v>
      </c>
      <c r="B1554" s="527">
        <v>-2.6849735528230667E-2</v>
      </c>
      <c r="C1554" s="527">
        <v>113.820556640625</v>
      </c>
    </row>
    <row r="1555" spans="1:3" x14ac:dyDescent="0.35">
      <c r="A1555" s="527">
        <v>1554</v>
      </c>
      <c r="B1555" s="527">
        <v>-2.6819298043847084E-2</v>
      </c>
      <c r="C1555" s="527">
        <v>113.6915283203125</v>
      </c>
    </row>
    <row r="1556" spans="1:3" x14ac:dyDescent="0.35">
      <c r="A1556" s="527">
        <v>1555</v>
      </c>
      <c r="B1556" s="527">
        <v>-2.6788858696818352E-2</v>
      </c>
      <c r="C1556" s="527">
        <v>113.5625</v>
      </c>
    </row>
    <row r="1557" spans="1:3" x14ac:dyDescent="0.35">
      <c r="A1557" s="527">
        <v>1556</v>
      </c>
      <c r="B1557" s="527">
        <v>-2.6758421212434769E-2</v>
      </c>
      <c r="C1557" s="527">
        <v>113.4334716796875</v>
      </c>
    </row>
    <row r="1558" spans="1:3" x14ac:dyDescent="0.35">
      <c r="A1558" s="527">
        <v>1557</v>
      </c>
      <c r="B1558" s="527">
        <v>-2.6727983728051186E-2</v>
      </c>
      <c r="C1558" s="527">
        <v>113.30443572998047</v>
      </c>
    </row>
    <row r="1559" spans="1:3" x14ac:dyDescent="0.35">
      <c r="A1559" s="527">
        <v>1558</v>
      </c>
      <c r="B1559" s="527">
        <v>-2.6697546243667603E-2</v>
      </c>
      <c r="C1559" s="527">
        <v>113.17540740966797</v>
      </c>
    </row>
    <row r="1560" spans="1:3" x14ac:dyDescent="0.35">
      <c r="A1560" s="527">
        <v>1559</v>
      </c>
      <c r="B1560" s="527">
        <v>-2.6665586978197098E-2</v>
      </c>
      <c r="C1560" s="527">
        <v>113.03992462158203</v>
      </c>
    </row>
    <row r="1561" spans="1:3" x14ac:dyDescent="0.35">
      <c r="A1561" s="527">
        <v>1560</v>
      </c>
      <c r="B1561" s="527">
        <v>-2.6633627712726593E-2</v>
      </c>
      <c r="C1561" s="527">
        <v>112.90444183349609</v>
      </c>
    </row>
    <row r="1562" spans="1:3" x14ac:dyDescent="0.35">
      <c r="A1562" s="527">
        <v>1561</v>
      </c>
      <c r="B1562" s="527">
        <v>-2.6601668447256088E-2</v>
      </c>
      <c r="C1562" s="527">
        <v>112.76896667480469</v>
      </c>
    </row>
    <row r="1563" spans="1:3" x14ac:dyDescent="0.35">
      <c r="A1563" s="527">
        <v>1562</v>
      </c>
      <c r="B1563" s="527">
        <v>-2.6568111032247543E-2</v>
      </c>
      <c r="C1563" s="527">
        <v>112.626708984375</v>
      </c>
    </row>
    <row r="1564" spans="1:3" x14ac:dyDescent="0.35">
      <c r="A1564" s="527">
        <v>1563</v>
      </c>
      <c r="B1564" s="527">
        <v>-2.6532875373959541E-2</v>
      </c>
      <c r="C1564" s="527">
        <v>112.47734069824219</v>
      </c>
    </row>
    <row r="1565" spans="1:3" x14ac:dyDescent="0.35">
      <c r="A1565" s="527">
        <v>1564</v>
      </c>
      <c r="B1565" s="527">
        <v>-2.6497639715671539E-2</v>
      </c>
      <c r="C1565" s="527">
        <v>112.32797241210937</v>
      </c>
    </row>
    <row r="1566" spans="1:3" x14ac:dyDescent="0.35">
      <c r="A1566" s="527">
        <v>1565</v>
      </c>
      <c r="B1566" s="527">
        <v>-2.6462404057383537E-2</v>
      </c>
      <c r="C1566" s="527">
        <v>112.17860412597656</v>
      </c>
    </row>
    <row r="1567" spans="1:3" x14ac:dyDescent="0.35">
      <c r="A1567" s="527">
        <v>1566</v>
      </c>
      <c r="B1567" s="527">
        <v>-2.6427168399095535E-2</v>
      </c>
      <c r="C1567" s="527">
        <v>112.02923583984375</v>
      </c>
    </row>
    <row r="1568" spans="1:3" x14ac:dyDescent="0.35">
      <c r="A1568" s="527">
        <v>1567</v>
      </c>
      <c r="B1568" s="527">
        <v>-2.639017254114151E-2</v>
      </c>
      <c r="C1568" s="527">
        <v>111.87239837646484</v>
      </c>
    </row>
    <row r="1569" spans="1:3" x14ac:dyDescent="0.35">
      <c r="A1569" s="527">
        <v>1568</v>
      </c>
      <c r="B1569" s="527">
        <v>-2.6351325213909149E-2</v>
      </c>
      <c r="C1569" s="527">
        <v>111.70771789550781</v>
      </c>
    </row>
    <row r="1570" spans="1:3" x14ac:dyDescent="0.35">
      <c r="A1570" s="527">
        <v>1569</v>
      </c>
      <c r="B1570" s="527">
        <v>-2.6312477886676788E-2</v>
      </c>
      <c r="C1570" s="527">
        <v>111.54303741455078</v>
      </c>
    </row>
    <row r="1571" spans="1:3" x14ac:dyDescent="0.35">
      <c r="A1571" s="527">
        <v>1570</v>
      </c>
      <c r="B1571" s="527">
        <v>-2.6273630559444427E-2</v>
      </c>
      <c r="C1571" s="527">
        <v>111.37835693359375</v>
      </c>
    </row>
    <row r="1572" spans="1:3" x14ac:dyDescent="0.35">
      <c r="A1572" s="527">
        <v>1571</v>
      </c>
      <c r="B1572" s="527">
        <v>-2.6232842355966568E-2</v>
      </c>
      <c r="C1572" s="527">
        <v>111.2054443359375</v>
      </c>
    </row>
    <row r="1573" spans="1:3" x14ac:dyDescent="0.35">
      <c r="A1573" s="527">
        <v>1572</v>
      </c>
      <c r="B1573" s="527">
        <v>-2.6192052289843559E-2</v>
      </c>
      <c r="C1573" s="527">
        <v>111.03253173828125</v>
      </c>
    </row>
    <row r="1574" spans="1:3" x14ac:dyDescent="0.35">
      <c r="A1574" s="527">
        <v>1573</v>
      </c>
      <c r="B1574" s="527">
        <v>-2.6149222627282143E-2</v>
      </c>
      <c r="C1574" s="527">
        <v>110.85097503662109</v>
      </c>
    </row>
    <row r="1575" spans="1:3" x14ac:dyDescent="0.35">
      <c r="A1575" s="527">
        <v>1574</v>
      </c>
      <c r="B1575" s="527">
        <v>-2.6106394827365875E-2</v>
      </c>
      <c r="C1575" s="527">
        <v>110.66941833496094</v>
      </c>
    </row>
    <row r="1576" spans="1:3" x14ac:dyDescent="0.35">
      <c r="A1576" s="527">
        <v>1575</v>
      </c>
      <c r="B1576" s="527">
        <v>-2.6063565164804459E-2</v>
      </c>
      <c r="C1576" s="527">
        <v>110.48785400390625</v>
      </c>
    </row>
    <row r="1577" spans="1:3" x14ac:dyDescent="0.35">
      <c r="A1577" s="527">
        <v>1576</v>
      </c>
      <c r="B1577" s="527">
        <v>-2.6020737364888191E-2</v>
      </c>
      <c r="C1577" s="527">
        <v>110.30629730224609</v>
      </c>
    </row>
    <row r="1578" spans="1:3" x14ac:dyDescent="0.35">
      <c r="A1578" s="527">
        <v>1577</v>
      </c>
      <c r="B1578" s="527">
        <v>-2.5977907702326775E-2</v>
      </c>
      <c r="C1578" s="527">
        <v>110.12474060058594</v>
      </c>
    </row>
    <row r="1579" spans="1:3" x14ac:dyDescent="0.35">
      <c r="A1579" s="527">
        <v>1578</v>
      </c>
      <c r="B1579" s="527">
        <v>-2.5932937860488892E-2</v>
      </c>
      <c r="C1579" s="527">
        <v>109.93410491943359</v>
      </c>
    </row>
    <row r="1580" spans="1:3" x14ac:dyDescent="0.35">
      <c r="A1580" s="527">
        <v>1579</v>
      </c>
      <c r="B1580" s="527">
        <v>-2.5885719805955887E-2</v>
      </c>
      <c r="C1580" s="527">
        <v>109.73393249511719</v>
      </c>
    </row>
    <row r="1581" spans="1:3" x14ac:dyDescent="0.35">
      <c r="A1581" s="527">
        <v>1580</v>
      </c>
      <c r="B1581" s="527">
        <v>-2.5836139917373657E-2</v>
      </c>
      <c r="C1581" s="527">
        <v>109.52375793457031</v>
      </c>
    </row>
    <row r="1582" spans="1:3" x14ac:dyDescent="0.35">
      <c r="A1582" s="527">
        <v>1581</v>
      </c>
      <c r="B1582" s="527">
        <v>-2.5784080848097801E-2</v>
      </c>
      <c r="C1582" s="527">
        <v>109.30307006835937</v>
      </c>
    </row>
    <row r="1583" spans="1:3" x14ac:dyDescent="0.35">
      <c r="A1583" s="527">
        <v>1582</v>
      </c>
      <c r="B1583" s="527">
        <v>-2.5732021778821945E-2</v>
      </c>
      <c r="C1583" s="527">
        <v>109.08238983154297</v>
      </c>
    </row>
    <row r="1584" spans="1:3" x14ac:dyDescent="0.35">
      <c r="A1584" s="527">
        <v>1583</v>
      </c>
      <c r="B1584" s="527">
        <v>-2.5679962709546089E-2</v>
      </c>
      <c r="C1584" s="527">
        <v>108.86170196533203</v>
      </c>
    </row>
    <row r="1585" spans="1:3" x14ac:dyDescent="0.35">
      <c r="A1585" s="527">
        <v>1584</v>
      </c>
      <c r="B1585" s="527">
        <v>-2.5625301524996758E-2</v>
      </c>
      <c r="C1585" s="527">
        <v>108.62998199462891</v>
      </c>
    </row>
    <row r="1586" spans="1:3" x14ac:dyDescent="0.35">
      <c r="A1586" s="527">
        <v>1585</v>
      </c>
      <c r="B1586" s="527">
        <v>-2.5567907840013504E-2</v>
      </c>
      <c r="C1586" s="527">
        <v>108.38667297363281</v>
      </c>
    </row>
    <row r="1587" spans="1:3" x14ac:dyDescent="0.35">
      <c r="A1587" s="527">
        <v>1586</v>
      </c>
      <c r="B1587" s="527">
        <v>-2.5507641956210136E-2</v>
      </c>
      <c r="C1587" s="527">
        <v>108.13120269775391</v>
      </c>
    </row>
    <row r="1588" spans="1:3" x14ac:dyDescent="0.35">
      <c r="A1588" s="527">
        <v>1587</v>
      </c>
      <c r="B1588" s="527">
        <v>-2.5444364175200462E-2</v>
      </c>
      <c r="C1588" s="527">
        <v>107.86296081542969</v>
      </c>
    </row>
    <row r="1589" spans="1:3" x14ac:dyDescent="0.35">
      <c r="A1589" s="527">
        <v>1588</v>
      </c>
      <c r="B1589" s="527">
        <v>-2.5377923622727394E-2</v>
      </c>
      <c r="C1589" s="527">
        <v>107.58130645751953</v>
      </c>
    </row>
    <row r="1590" spans="1:3" x14ac:dyDescent="0.35">
      <c r="A1590" s="527">
        <v>1589</v>
      </c>
      <c r="B1590" s="527">
        <v>-2.5308160111308098E-2</v>
      </c>
      <c r="C1590" s="527">
        <v>107.28556060791016</v>
      </c>
    </row>
    <row r="1591" spans="1:3" x14ac:dyDescent="0.35">
      <c r="A1591" s="527">
        <v>1590</v>
      </c>
      <c r="B1591" s="527">
        <v>-2.5234907865524292E-2</v>
      </c>
      <c r="C1591" s="527">
        <v>106.97503662109375</v>
      </c>
    </row>
    <row r="1592" spans="1:3" x14ac:dyDescent="0.35">
      <c r="A1592" s="527">
        <v>1591</v>
      </c>
      <c r="B1592" s="527">
        <v>-2.5157993659377098E-2</v>
      </c>
      <c r="C1592" s="527">
        <v>106.64898681640625</v>
      </c>
    </row>
    <row r="1593" spans="1:3" x14ac:dyDescent="0.35">
      <c r="A1593" s="527">
        <v>1592</v>
      </c>
      <c r="B1593" s="527">
        <v>-2.5077233090996742E-2</v>
      </c>
      <c r="C1593" s="527">
        <v>106.30662536621094</v>
      </c>
    </row>
    <row r="1594" spans="1:3" x14ac:dyDescent="0.35">
      <c r="A1594" s="527">
        <v>1593</v>
      </c>
      <c r="B1594" s="527">
        <v>-2.4996474385261536E-2</v>
      </c>
      <c r="C1594" s="527">
        <v>105.96427154541016</v>
      </c>
    </row>
    <row r="1595" spans="1:3" x14ac:dyDescent="0.35">
      <c r="A1595" s="527">
        <v>1594</v>
      </c>
      <c r="B1595" s="527">
        <v>-2.4911675602197647E-2</v>
      </c>
      <c r="C1595" s="527">
        <v>105.60479736328125</v>
      </c>
    </row>
    <row r="1596" spans="1:3" x14ac:dyDescent="0.35">
      <c r="A1596" s="527">
        <v>1595</v>
      </c>
      <c r="B1596" s="527">
        <v>-2.4822637438774109E-2</v>
      </c>
      <c r="C1596" s="527">
        <v>105.22734832763672</v>
      </c>
    </row>
    <row r="1597" spans="1:3" x14ac:dyDescent="0.35">
      <c r="A1597" s="527">
        <v>1596</v>
      </c>
      <c r="B1597" s="527">
        <v>-2.4733599275350571E-2</v>
      </c>
      <c r="C1597" s="527">
        <v>104.84990692138672</v>
      </c>
    </row>
    <row r="1598" spans="1:3" x14ac:dyDescent="0.35">
      <c r="A1598" s="527">
        <v>1597</v>
      </c>
      <c r="B1598" s="527">
        <v>-2.464010939002037E-2</v>
      </c>
      <c r="C1598" s="527">
        <v>104.45358276367187</v>
      </c>
    </row>
    <row r="1599" spans="1:3" x14ac:dyDescent="0.35">
      <c r="A1599" s="527">
        <v>1598</v>
      </c>
      <c r="B1599" s="527">
        <v>-2.454661950469017E-2</v>
      </c>
      <c r="C1599" s="527">
        <v>104.05726623535156</v>
      </c>
    </row>
    <row r="1600" spans="1:3" x14ac:dyDescent="0.35">
      <c r="A1600" s="527">
        <v>1599</v>
      </c>
      <c r="B1600" s="527">
        <v>-2.445312961935997E-2</v>
      </c>
      <c r="C1600" s="527">
        <v>103.66094207763672</v>
      </c>
    </row>
    <row r="1601" spans="1:3" x14ac:dyDescent="0.35">
      <c r="A1601" s="527">
        <v>1600</v>
      </c>
      <c r="B1601" s="527">
        <v>-2.436431497335434E-2</v>
      </c>
      <c r="C1601" s="527">
        <v>103.28443908691406</v>
      </c>
    </row>
    <row r="1602" spans="1:3" x14ac:dyDescent="0.35">
      <c r="A1602" s="527">
        <v>1601</v>
      </c>
      <c r="B1602" s="527">
        <v>-2.4279939010739326E-2</v>
      </c>
      <c r="C1602" s="527">
        <v>102.92676544189453</v>
      </c>
    </row>
    <row r="1603" spans="1:3" x14ac:dyDescent="0.35">
      <c r="A1603" s="527">
        <v>1602</v>
      </c>
      <c r="B1603" s="527">
        <v>-2.4195564910769463E-2</v>
      </c>
      <c r="C1603" s="527">
        <v>102.56908416748047</v>
      </c>
    </row>
    <row r="1604" spans="1:3" x14ac:dyDescent="0.35">
      <c r="A1604" s="527">
        <v>1603</v>
      </c>
      <c r="B1604" s="527">
        <v>-2.4106971919536591E-2</v>
      </c>
      <c r="C1604" s="527">
        <v>102.19351959228516</v>
      </c>
    </row>
    <row r="1605" spans="1:3" x14ac:dyDescent="0.35">
      <c r="A1605" s="527">
        <v>1604</v>
      </c>
      <c r="B1605" s="527">
        <v>-2.4013947695493698E-2</v>
      </c>
      <c r="C1605" s="527">
        <v>101.79917907714844</v>
      </c>
    </row>
    <row r="1606" spans="1:3" x14ac:dyDescent="0.35">
      <c r="A1606" s="527">
        <v>1605</v>
      </c>
      <c r="B1606" s="527">
        <v>-2.3920925334095955E-2</v>
      </c>
      <c r="C1606" s="527">
        <v>101.40483856201172</v>
      </c>
    </row>
    <row r="1607" spans="1:3" x14ac:dyDescent="0.35">
      <c r="A1607" s="527">
        <v>1606</v>
      </c>
      <c r="B1607" s="527">
        <v>-2.3827902972698212E-2</v>
      </c>
      <c r="C1607" s="527">
        <v>101.010498046875</v>
      </c>
    </row>
    <row r="1608" spans="1:3" x14ac:dyDescent="0.35">
      <c r="A1608" s="527">
        <v>1607</v>
      </c>
      <c r="B1608" s="527">
        <v>-2.3739529773592949E-2</v>
      </c>
      <c r="C1608" s="527">
        <v>100.63587951660156</v>
      </c>
    </row>
    <row r="1609" spans="1:3" x14ac:dyDescent="0.35">
      <c r="A1609" s="527">
        <v>1608</v>
      </c>
      <c r="B1609" s="527">
        <v>-2.3655576631426811E-2</v>
      </c>
      <c r="C1609" s="527">
        <v>100.27998352050781</v>
      </c>
    </row>
    <row r="1610" spans="1:3" x14ac:dyDescent="0.35">
      <c r="A1610" s="527">
        <v>1609</v>
      </c>
      <c r="B1610" s="527">
        <v>-2.3571623489260674E-2</v>
      </c>
      <c r="C1610" s="527">
        <v>99.924095153808594</v>
      </c>
    </row>
    <row r="1611" spans="1:3" x14ac:dyDescent="0.35">
      <c r="A1611" s="527">
        <v>1610</v>
      </c>
      <c r="B1611" s="527">
        <v>-2.3487670347094536E-2</v>
      </c>
      <c r="C1611" s="527">
        <v>99.568199157714844</v>
      </c>
    </row>
    <row r="1612" spans="1:3" x14ac:dyDescent="0.35">
      <c r="A1612" s="527">
        <v>1611</v>
      </c>
      <c r="B1612" s="527">
        <v>-2.3399518802762032E-2</v>
      </c>
      <c r="C1612" s="527">
        <v>99.194511413574219</v>
      </c>
    </row>
    <row r="1613" spans="1:3" x14ac:dyDescent="0.35">
      <c r="A1613" s="527">
        <v>1612</v>
      </c>
      <c r="B1613" s="527">
        <v>-2.3315776139497757E-2</v>
      </c>
      <c r="C1613" s="527">
        <v>98.839515686035156</v>
      </c>
    </row>
    <row r="1614" spans="1:3" x14ac:dyDescent="0.35">
      <c r="A1614" s="527">
        <v>1613</v>
      </c>
      <c r="B1614" s="527">
        <v>-2.3236218839883804E-2</v>
      </c>
      <c r="C1614" s="527">
        <v>98.50225830078125</v>
      </c>
    </row>
    <row r="1615" spans="1:3" x14ac:dyDescent="0.35">
      <c r="A1615" s="527">
        <v>1614</v>
      </c>
      <c r="B1615" s="527">
        <v>-2.3160642012953758E-2</v>
      </c>
      <c r="C1615" s="527">
        <v>98.181869506835938</v>
      </c>
    </row>
    <row r="1616" spans="1:3" x14ac:dyDescent="0.35">
      <c r="A1616" s="527">
        <v>1615</v>
      </c>
      <c r="B1616" s="527">
        <v>-2.3088842630386353E-2</v>
      </c>
      <c r="C1616" s="527">
        <v>97.87750244140625</v>
      </c>
    </row>
    <row r="1617" spans="1:3" x14ac:dyDescent="0.35">
      <c r="A1617" s="527">
        <v>1616</v>
      </c>
      <c r="B1617" s="527">
        <v>-2.301345206797123E-2</v>
      </c>
      <c r="C1617" s="527">
        <v>97.557907104492188</v>
      </c>
    </row>
    <row r="1618" spans="1:3" x14ac:dyDescent="0.35">
      <c r="A1618" s="527">
        <v>1617</v>
      </c>
      <c r="B1618" s="527">
        <v>-2.2934293374419212E-2</v>
      </c>
      <c r="C1618" s="527">
        <v>97.222343444824219</v>
      </c>
    </row>
    <row r="1619" spans="1:3" x14ac:dyDescent="0.35">
      <c r="A1619" s="527">
        <v>1618</v>
      </c>
      <c r="B1619" s="527">
        <v>-2.2851176559925079E-2</v>
      </c>
      <c r="C1619" s="527">
        <v>96.8699951171875</v>
      </c>
    </row>
    <row r="1620" spans="1:3" x14ac:dyDescent="0.35">
      <c r="A1620" s="527">
        <v>1619</v>
      </c>
      <c r="B1620" s="527">
        <v>-2.2763904184103012E-2</v>
      </c>
      <c r="C1620" s="527">
        <v>96.500030517578125</v>
      </c>
    </row>
    <row r="1621" spans="1:3" x14ac:dyDescent="0.35">
      <c r="A1621" s="527">
        <v>1620</v>
      </c>
      <c r="B1621" s="527">
        <v>-2.2672267630696297E-2</v>
      </c>
      <c r="C1621" s="527">
        <v>96.111572265625</v>
      </c>
    </row>
    <row r="1622" spans="1:3" x14ac:dyDescent="0.35">
      <c r="A1622" s="527">
        <v>1621</v>
      </c>
      <c r="B1622" s="527">
        <v>-2.2576048970222473E-2</v>
      </c>
      <c r="C1622" s="527">
        <v>95.703681945800781</v>
      </c>
    </row>
    <row r="1623" spans="1:3" x14ac:dyDescent="0.35">
      <c r="A1623" s="527">
        <v>1622</v>
      </c>
      <c r="B1623" s="527">
        <v>-2.2475019097328186E-2</v>
      </c>
      <c r="C1623" s="527">
        <v>95.275405883789063</v>
      </c>
    </row>
    <row r="1624" spans="1:3" x14ac:dyDescent="0.35">
      <c r="A1624" s="527">
        <v>1623</v>
      </c>
      <c r="B1624" s="527">
        <v>-2.2368939593434334E-2</v>
      </c>
      <c r="C1624" s="527">
        <v>94.825714111328125</v>
      </c>
    </row>
    <row r="1625" spans="1:3" x14ac:dyDescent="0.35">
      <c r="A1625" s="527">
        <v>1624</v>
      </c>
      <c r="B1625" s="527">
        <v>-2.2257555276155472E-2</v>
      </c>
      <c r="C1625" s="527">
        <v>94.353530883789063</v>
      </c>
    </row>
    <row r="1626" spans="1:3" x14ac:dyDescent="0.35">
      <c r="A1626" s="527">
        <v>1625</v>
      </c>
      <c r="B1626" s="527">
        <v>-2.2140601649880409E-2</v>
      </c>
      <c r="C1626" s="527">
        <v>93.857742309570313</v>
      </c>
    </row>
    <row r="1627" spans="1:3" x14ac:dyDescent="0.35">
      <c r="A1627" s="527">
        <v>1626</v>
      </c>
      <c r="B1627" s="527">
        <v>-2.2017799317836761E-2</v>
      </c>
      <c r="C1627" s="527">
        <v>93.337165832519531</v>
      </c>
    </row>
    <row r="1628" spans="1:3" x14ac:dyDescent="0.35">
      <c r="A1628" s="527">
        <v>1627</v>
      </c>
      <c r="B1628" s="527">
        <v>-2.1888857707381248E-2</v>
      </c>
      <c r="C1628" s="527">
        <v>92.790565490722656</v>
      </c>
    </row>
    <row r="1629" spans="1:3" x14ac:dyDescent="0.35">
      <c r="A1629" s="527">
        <v>1628</v>
      </c>
      <c r="B1629" s="527">
        <v>-2.1753469482064247E-2</v>
      </c>
      <c r="C1629" s="527">
        <v>92.216629028320313</v>
      </c>
    </row>
    <row r="1630" spans="1:3" x14ac:dyDescent="0.35">
      <c r="A1630" s="527">
        <v>1629</v>
      </c>
      <c r="B1630" s="527">
        <v>-2.1611310541629791E-2</v>
      </c>
      <c r="C1630" s="527">
        <v>91.613998413085938</v>
      </c>
    </row>
    <row r="1631" spans="1:3" x14ac:dyDescent="0.35">
      <c r="A1631" s="527">
        <v>1630</v>
      </c>
      <c r="B1631" s="527">
        <v>-2.1462045609951019E-2</v>
      </c>
      <c r="C1631" s="527">
        <v>90.981231689453125</v>
      </c>
    </row>
    <row r="1632" spans="1:3" x14ac:dyDescent="0.35">
      <c r="A1632" s="527">
        <v>1631</v>
      </c>
      <c r="B1632" s="527">
        <v>-2.130531519651413E-2</v>
      </c>
      <c r="C1632" s="527">
        <v>90.31683349609375</v>
      </c>
    </row>
    <row r="1633" spans="1:3" x14ac:dyDescent="0.35">
      <c r="A1633" s="527">
        <v>1632</v>
      </c>
      <c r="B1633" s="527">
        <v>-2.1140750497579575E-2</v>
      </c>
      <c r="C1633" s="527">
        <v>89.619209289550781</v>
      </c>
    </row>
    <row r="1634" spans="1:3" x14ac:dyDescent="0.35">
      <c r="A1634" s="527">
        <v>1633</v>
      </c>
      <c r="B1634" s="527">
        <v>-2.0967954769730568E-2</v>
      </c>
      <c r="C1634" s="527">
        <v>88.886703491210938</v>
      </c>
    </row>
    <row r="1635" spans="1:3" x14ac:dyDescent="0.35">
      <c r="A1635" s="527">
        <v>1634</v>
      </c>
      <c r="B1635" s="527">
        <v>-2.0786521956324577E-2</v>
      </c>
      <c r="C1635" s="527">
        <v>88.117576599121094</v>
      </c>
    </row>
    <row r="1636" spans="1:3" x14ac:dyDescent="0.35">
      <c r="A1636" s="527">
        <v>1635</v>
      </c>
      <c r="B1636" s="527">
        <v>-2.0596016198396683E-2</v>
      </c>
      <c r="C1636" s="527">
        <v>87.309989929199219</v>
      </c>
    </row>
    <row r="1637" spans="1:3" x14ac:dyDescent="0.35">
      <c r="A1637" s="527">
        <v>1636</v>
      </c>
      <c r="B1637" s="527">
        <v>-2.0395984873175621E-2</v>
      </c>
      <c r="C1637" s="527">
        <v>86.462028503417969</v>
      </c>
    </row>
    <row r="1638" spans="1:3" x14ac:dyDescent="0.35">
      <c r="A1638" s="527">
        <v>1637</v>
      </c>
      <c r="B1638" s="527">
        <v>-2.0185953006148338E-2</v>
      </c>
      <c r="C1638" s="527">
        <v>85.571662902832031</v>
      </c>
    </row>
    <row r="1639" spans="1:3" x14ac:dyDescent="0.35">
      <c r="A1639" s="527">
        <v>1638</v>
      </c>
      <c r="B1639" s="527">
        <v>-1.9965419545769691E-2</v>
      </c>
      <c r="C1639" s="527">
        <v>84.63677978515625</v>
      </c>
    </row>
    <row r="1640" spans="1:3" x14ac:dyDescent="0.35">
      <c r="A1640" s="527">
        <v>1639</v>
      </c>
      <c r="B1640" s="527">
        <v>-1.9733859226107597E-2</v>
      </c>
      <c r="C1640" s="527">
        <v>83.655158996582031</v>
      </c>
    </row>
    <row r="1641" spans="1:3" x14ac:dyDescent="0.35">
      <c r="A1641" s="527">
        <v>1640</v>
      </c>
      <c r="B1641" s="527">
        <v>-1.9490720704197884E-2</v>
      </c>
      <c r="C1641" s="527">
        <v>82.62445068359375</v>
      </c>
    </row>
    <row r="1642" spans="1:3" x14ac:dyDescent="0.35">
      <c r="A1642" s="527">
        <v>1641</v>
      </c>
      <c r="B1642" s="527">
        <v>-1.9235424697399139E-2</v>
      </c>
      <c r="C1642" s="527">
        <v>81.542213439941406</v>
      </c>
    </row>
    <row r="1643" spans="1:3" x14ac:dyDescent="0.35">
      <c r="A1643" s="527">
        <v>1642</v>
      </c>
      <c r="B1643" s="527">
        <v>-1.8967363983392715E-2</v>
      </c>
      <c r="C1643" s="527">
        <v>80.405860900878906</v>
      </c>
    </row>
    <row r="1644" spans="1:3" x14ac:dyDescent="0.35">
      <c r="A1644" s="527">
        <v>1643</v>
      </c>
      <c r="B1644" s="527">
        <v>-1.8685899674892426E-2</v>
      </c>
      <c r="C1644" s="527">
        <v>79.212684631347656</v>
      </c>
    </row>
    <row r="1645" spans="1:3" x14ac:dyDescent="0.35">
      <c r="A1645" s="527">
        <v>1644</v>
      </c>
      <c r="B1645" s="527">
        <v>-1.8404437229037285E-2</v>
      </c>
      <c r="C1645" s="527">
        <v>78.019515991210938</v>
      </c>
    </row>
    <row r="1646" spans="1:3" x14ac:dyDescent="0.35">
      <c r="A1646" s="527">
        <v>1645</v>
      </c>
      <c r="B1646" s="527">
        <v>-1.8108900636434555E-2</v>
      </c>
      <c r="C1646" s="527">
        <v>76.766685485839844</v>
      </c>
    </row>
    <row r="1647" spans="1:3" x14ac:dyDescent="0.35">
      <c r="A1647" s="527">
        <v>1646</v>
      </c>
      <c r="B1647" s="527">
        <v>-1.7798587679862976E-2</v>
      </c>
      <c r="C1647" s="527">
        <v>75.451217651367188</v>
      </c>
    </row>
    <row r="1648" spans="1:3" x14ac:dyDescent="0.35">
      <c r="A1648" s="527">
        <v>1647</v>
      </c>
      <c r="B1648" s="527">
        <v>-1.7472758889198303E-2</v>
      </c>
      <c r="C1648" s="527">
        <v>74.069969177246094</v>
      </c>
    </row>
    <row r="1649" spans="1:3" x14ac:dyDescent="0.35">
      <c r="A1649" s="527">
        <v>1648</v>
      </c>
      <c r="B1649" s="527">
        <v>-1.7130637541413307E-2</v>
      </c>
      <c r="C1649" s="527">
        <v>72.619667053222656</v>
      </c>
    </row>
    <row r="1650" spans="1:3" x14ac:dyDescent="0.35">
      <c r="A1650" s="527">
        <v>1649</v>
      </c>
      <c r="B1650" s="527">
        <v>-1.6771411523222923E-2</v>
      </c>
      <c r="C1650" s="527">
        <v>71.096839904785156</v>
      </c>
    </row>
    <row r="1651" spans="1:3" x14ac:dyDescent="0.35">
      <c r="A1651" s="527">
        <v>1650</v>
      </c>
      <c r="B1651" s="527">
        <v>-1.6394224017858505E-2</v>
      </c>
      <c r="C1651" s="527">
        <v>69.497879028320312</v>
      </c>
    </row>
    <row r="1652" spans="1:3" x14ac:dyDescent="0.35">
      <c r="A1652" s="527">
        <v>1651</v>
      </c>
      <c r="B1652" s="527">
        <v>-1.5998175367712975E-2</v>
      </c>
      <c r="C1652" s="527">
        <v>67.8189697265625</v>
      </c>
    </row>
    <row r="1653" spans="1:3" x14ac:dyDescent="0.35">
      <c r="A1653" s="527">
        <v>1652</v>
      </c>
      <c r="B1653" s="527">
        <v>-1.5582325868308544E-2</v>
      </c>
      <c r="C1653" s="527">
        <v>66.056114196777344</v>
      </c>
    </row>
    <row r="1654" spans="1:3" x14ac:dyDescent="0.35">
      <c r="A1654" s="527">
        <v>1653</v>
      </c>
      <c r="B1654" s="527">
        <v>-1.5145684592425823E-2</v>
      </c>
      <c r="C1654" s="527">
        <v>64.205116271972656</v>
      </c>
    </row>
    <row r="1655" spans="1:3" x14ac:dyDescent="0.35">
      <c r="A1655" s="527">
        <v>1654</v>
      </c>
      <c r="B1655" s="527">
        <v>-1.4687210321426392E-2</v>
      </c>
      <c r="C1655" s="527">
        <v>62.261562347412109</v>
      </c>
    </row>
    <row r="1656" spans="1:3" x14ac:dyDescent="0.35">
      <c r="A1656" s="527">
        <v>1655</v>
      </c>
      <c r="B1656" s="527">
        <v>-1.4205812476575375E-2</v>
      </c>
      <c r="C1656" s="527">
        <v>60.220836639404297</v>
      </c>
    </row>
    <row r="1657" spans="1:3" x14ac:dyDescent="0.35">
      <c r="A1657" s="527">
        <v>1656</v>
      </c>
      <c r="B1657" s="527">
        <v>-1.3700344599783421E-2</v>
      </c>
      <c r="C1657" s="527">
        <v>58.078071594238281</v>
      </c>
    </row>
    <row r="1658" spans="1:3" x14ac:dyDescent="0.35">
      <c r="A1658" s="527">
        <v>1657</v>
      </c>
      <c r="B1658" s="527">
        <v>-1.3169603422284126E-2</v>
      </c>
      <c r="C1658" s="527">
        <v>55.828170776367188</v>
      </c>
    </row>
    <row r="1659" spans="1:3" x14ac:dyDescent="0.35">
      <c r="A1659" s="527">
        <v>1658</v>
      </c>
      <c r="B1659" s="527">
        <v>-1.2612325139343739E-2</v>
      </c>
      <c r="C1659" s="527">
        <v>53.465774536132812</v>
      </c>
    </row>
    <row r="1660" spans="1:3" x14ac:dyDescent="0.35">
      <c r="A1660" s="527">
        <v>1659</v>
      </c>
      <c r="B1660" s="527">
        <v>-1.202718261629343E-2</v>
      </c>
      <c r="C1660" s="527">
        <v>50.985256195068359</v>
      </c>
    </row>
    <row r="1661" spans="1:3" x14ac:dyDescent="0.35">
      <c r="A1661" s="527">
        <v>1660</v>
      </c>
      <c r="B1661" s="527">
        <v>-1.1412783525884151E-2</v>
      </c>
      <c r="C1661" s="527">
        <v>48.380714416503906</v>
      </c>
    </row>
    <row r="1662" spans="1:3" x14ac:dyDescent="0.35">
      <c r="A1662" s="527">
        <v>1661</v>
      </c>
      <c r="B1662" s="527">
        <v>-1.0767663829028606E-2</v>
      </c>
      <c r="C1662" s="527">
        <v>45.645946502685547</v>
      </c>
    </row>
    <row r="1663" spans="1:3" x14ac:dyDescent="0.35">
      <c r="A1663" s="527">
        <v>1662</v>
      </c>
      <c r="B1663" s="527">
        <v>-1.0090288706123829E-2</v>
      </c>
      <c r="C1663" s="527">
        <v>42.774436950683594</v>
      </c>
    </row>
    <row r="1664" spans="1:3" x14ac:dyDescent="0.35">
      <c r="A1664" s="527">
        <v>1663</v>
      </c>
      <c r="B1664" s="527">
        <v>-9.3790451064705849E-3</v>
      </c>
      <c r="C1664" s="527">
        <v>39.759353637695312</v>
      </c>
    </row>
    <row r="1665" spans="1:3" x14ac:dyDescent="0.35">
      <c r="A1665" s="527">
        <v>1664</v>
      </c>
      <c r="B1665" s="527">
        <v>-8.6322389543056488E-3</v>
      </c>
      <c r="C1665" s="527">
        <v>36.593517303466797</v>
      </c>
    </row>
    <row r="1666" spans="1:3" x14ac:dyDescent="0.35">
      <c r="A1666" s="527">
        <v>1665</v>
      </c>
      <c r="B1666" s="527">
        <v>-7.8480923548340797E-3</v>
      </c>
      <c r="C1666" s="527">
        <v>33.269386291503906</v>
      </c>
    </row>
    <row r="1667" spans="1:3" x14ac:dyDescent="0.35">
      <c r="A1667" s="527">
        <v>1666</v>
      </c>
      <c r="B1667" s="527">
        <v>-7.024738471955061E-3</v>
      </c>
      <c r="C1667" s="527">
        <v>29.779052734375</v>
      </c>
    </row>
    <row r="1668" spans="1:3" x14ac:dyDescent="0.35">
      <c r="A1668" s="527">
        <v>1667</v>
      </c>
      <c r="B1668" s="527">
        <v>-6.1602168716490269E-3</v>
      </c>
      <c r="C1668" s="527">
        <v>26.114198684692383</v>
      </c>
    </row>
    <row r="1669" spans="1:3" x14ac:dyDescent="0.35">
      <c r="A1669" s="527">
        <v>1668</v>
      </c>
      <c r="B1669" s="527">
        <v>-5.2524693310260773E-3</v>
      </c>
      <c r="C1669" s="527">
        <v>22.266103744506836</v>
      </c>
    </row>
    <row r="1670" spans="1:3" x14ac:dyDescent="0.35">
      <c r="A1670" s="527">
        <v>1669</v>
      </c>
      <c r="B1670" s="527">
        <v>-4.2993342503905296E-3</v>
      </c>
      <c r="C1670" s="527">
        <v>18.225605010986328</v>
      </c>
    </row>
    <row r="1671" spans="1:3" x14ac:dyDescent="0.35">
      <c r="A1671" s="527">
        <v>1670</v>
      </c>
      <c r="B1671" s="527">
        <v>-3.298542695119977E-3</v>
      </c>
      <c r="C1671" s="527">
        <v>13.983078956604004</v>
      </c>
    </row>
    <row r="1672" spans="1:3" x14ac:dyDescent="0.35">
      <c r="A1672" s="527">
        <v>1671</v>
      </c>
      <c r="B1672" s="527">
        <v>-2.2477114107459784E-3</v>
      </c>
      <c r="C1672" s="527">
        <v>9.5284280776977539</v>
      </c>
    </row>
    <row r="1673" spans="1:3" x14ac:dyDescent="0.35">
      <c r="A1673" s="527">
        <v>1672</v>
      </c>
      <c r="B1673" s="527">
        <v>-1.1443385155871511E-3</v>
      </c>
      <c r="C1673" s="527">
        <v>4.8510441780090332</v>
      </c>
    </row>
    <row r="1674" spans="1:3" x14ac:dyDescent="0.35">
      <c r="A1674" s="527">
        <v>1673</v>
      </c>
      <c r="B1674" s="527">
        <v>1.42030039569363E-5</v>
      </c>
      <c r="C1674" s="527">
        <v>-6.0208931565284729E-2</v>
      </c>
    </row>
    <row r="1675" spans="1:3" x14ac:dyDescent="0.35">
      <c r="A1675" s="527">
        <v>1674</v>
      </c>
      <c r="B1675" s="527">
        <v>1.2306715361773968E-3</v>
      </c>
      <c r="C1675" s="527">
        <v>-5.2170248031616211</v>
      </c>
    </row>
    <row r="1676" spans="1:3" x14ac:dyDescent="0.35">
      <c r="A1676" s="527">
        <v>1675</v>
      </c>
      <c r="B1676" s="527">
        <v>2.5079634506255388E-3</v>
      </c>
      <c r="C1676" s="527">
        <v>-10.631681442260742</v>
      </c>
    </row>
    <row r="1677" spans="1:3" x14ac:dyDescent="0.35">
      <c r="A1677" s="527">
        <v>1676</v>
      </c>
      <c r="B1677" s="527">
        <v>3.8491201121360064E-3</v>
      </c>
      <c r="C1677" s="527">
        <v>-16.317070007324219</v>
      </c>
    </row>
    <row r="1678" spans="1:3" x14ac:dyDescent="0.35">
      <c r="A1678" s="527">
        <v>1677</v>
      </c>
      <c r="B1678" s="527">
        <v>5.2573345601558685E-3</v>
      </c>
      <c r="C1678" s="527">
        <v>-22.28672981262207</v>
      </c>
    </row>
    <row r="1679" spans="1:3" x14ac:dyDescent="0.35">
      <c r="A1679" s="527">
        <v>1678</v>
      </c>
      <c r="B1679" s="527">
        <v>6.7359595559537411E-3</v>
      </c>
      <c r="C1679" s="527">
        <v>-28.55487060546875</v>
      </c>
    </row>
    <row r="1680" spans="1:3" x14ac:dyDescent="0.35">
      <c r="A1680" s="527">
        <v>1679</v>
      </c>
      <c r="B1680" s="527">
        <v>8.2885157316923141E-3</v>
      </c>
      <c r="C1680" s="527">
        <v>-35.136421203613281</v>
      </c>
    </row>
    <row r="1681" spans="1:3" x14ac:dyDescent="0.35">
      <c r="A1681" s="527">
        <v>1680</v>
      </c>
      <c r="B1681" s="527">
        <v>9.9186999723315239E-3</v>
      </c>
      <c r="C1681" s="527">
        <v>-42.047046661376953</v>
      </c>
    </row>
    <row r="1682" spans="1:3" x14ac:dyDescent="0.35">
      <c r="A1682" s="527">
        <v>1681</v>
      </c>
      <c r="B1682" s="527">
        <v>1.163039356470108E-2</v>
      </c>
      <c r="C1682" s="527">
        <v>-49.303203582763672</v>
      </c>
    </row>
    <row r="1683" spans="1:3" x14ac:dyDescent="0.35">
      <c r="A1683" s="527">
        <v>1682</v>
      </c>
      <c r="B1683" s="527">
        <v>1.3427671976387501E-2</v>
      </c>
      <c r="C1683" s="527">
        <v>-56.922168731689453</v>
      </c>
    </row>
    <row r="1684" spans="1:3" x14ac:dyDescent="0.35">
      <c r="A1684" s="527">
        <v>1683</v>
      </c>
      <c r="B1684" s="527">
        <v>1.5314813703298569E-2</v>
      </c>
      <c r="C1684" s="527">
        <v>-64.922080993652344</v>
      </c>
    </row>
    <row r="1685" spans="1:3" x14ac:dyDescent="0.35">
      <c r="A1685" s="527">
        <v>1684</v>
      </c>
      <c r="B1685" s="527">
        <v>1.7296312376856804E-2</v>
      </c>
      <c r="C1685" s="527">
        <v>-73.321990966796875</v>
      </c>
    </row>
    <row r="1686" spans="1:3" x14ac:dyDescent="0.35">
      <c r="A1686" s="527">
        <v>1685</v>
      </c>
      <c r="B1686" s="527">
        <v>1.9376887008547783E-2</v>
      </c>
      <c r="C1686" s="527">
        <v>-82.141899108886719</v>
      </c>
    </row>
    <row r="1687" spans="1:3" x14ac:dyDescent="0.35">
      <c r="A1687" s="527">
        <v>1686</v>
      </c>
      <c r="B1687" s="527">
        <v>2.1561490371823311E-2</v>
      </c>
      <c r="C1687" s="527">
        <v>-91.402793884277344</v>
      </c>
    </row>
    <row r="1688" spans="1:3" x14ac:dyDescent="0.35">
      <c r="A1688" s="527">
        <v>1687</v>
      </c>
      <c r="B1688" s="527">
        <v>2.3855322971940041E-2</v>
      </c>
      <c r="C1688" s="527">
        <v>-101.12673950195312</v>
      </c>
    </row>
    <row r="1689" spans="1:3" x14ac:dyDescent="0.35">
      <c r="A1689" s="527">
        <v>1688</v>
      </c>
      <c r="B1689" s="527">
        <v>2.6263847947120667E-2</v>
      </c>
      <c r="C1689" s="527">
        <v>-111.33688354492187</v>
      </c>
    </row>
    <row r="1690" spans="1:3" x14ac:dyDescent="0.35">
      <c r="A1690" s="527">
        <v>1689</v>
      </c>
      <c r="B1690" s="527">
        <v>2.8672371059656143E-2</v>
      </c>
      <c r="C1690" s="527">
        <v>-121.54702758789062</v>
      </c>
    </row>
    <row r="1691" spans="1:3" x14ac:dyDescent="0.35">
      <c r="A1691" s="527">
        <v>1690</v>
      </c>
      <c r="B1691" s="527">
        <v>2.6263847947120667E-2</v>
      </c>
      <c r="C1691" s="527">
        <v>-111.33688354492187</v>
      </c>
    </row>
    <row r="1692" spans="1:3" x14ac:dyDescent="0.35">
      <c r="A1692" s="527">
        <v>1691</v>
      </c>
      <c r="B1692" s="527">
        <v>2.397574856877327E-2</v>
      </c>
      <c r="C1692" s="527">
        <v>-101.63724517822266</v>
      </c>
    </row>
    <row r="1693" spans="1:3" x14ac:dyDescent="0.35">
      <c r="A1693" s="527">
        <v>1692</v>
      </c>
      <c r="B1693" s="527">
        <v>2.1802054718136787E-2</v>
      </c>
      <c r="C1693" s="527">
        <v>-92.422592163085937</v>
      </c>
    </row>
    <row r="1694" spans="1:3" x14ac:dyDescent="0.35">
      <c r="A1694" s="527">
        <v>1693</v>
      </c>
      <c r="B1694" s="527">
        <v>1.9737046211957932E-2</v>
      </c>
      <c r="C1694" s="527">
        <v>-83.668678283691406</v>
      </c>
    </row>
    <row r="1695" spans="1:3" x14ac:dyDescent="0.35">
      <c r="A1695" s="527">
        <v>1694</v>
      </c>
      <c r="B1695" s="527">
        <v>1.7775287851691246E-2</v>
      </c>
      <c r="C1695" s="527">
        <v>-75.352447509765625</v>
      </c>
    </row>
    <row r="1696" spans="1:3" x14ac:dyDescent="0.35">
      <c r="A1696" s="527">
        <v>1695</v>
      </c>
      <c r="B1696" s="527">
        <v>1.5911618247628212E-2</v>
      </c>
      <c r="C1696" s="527">
        <v>-67.452033996582031</v>
      </c>
    </row>
    <row r="1697" spans="1:3" x14ac:dyDescent="0.35">
      <c r="A1697" s="527">
        <v>1696</v>
      </c>
      <c r="B1697" s="527">
        <v>1.4141131192445755E-2</v>
      </c>
      <c r="C1697" s="527">
        <v>-59.946643829345703</v>
      </c>
    </row>
    <row r="1698" spans="1:3" x14ac:dyDescent="0.35">
      <c r="A1698" s="527">
        <v>1697</v>
      </c>
      <c r="B1698" s="527">
        <v>1.2459169141948223E-2</v>
      </c>
      <c r="C1698" s="527">
        <v>-52.816520690917969</v>
      </c>
    </row>
    <row r="1699" spans="1:3" x14ac:dyDescent="0.35">
      <c r="A1699" s="527">
        <v>1698</v>
      </c>
      <c r="B1699" s="527">
        <v>1.0861304588615894E-2</v>
      </c>
      <c r="C1699" s="527">
        <v>-46.042903900146484</v>
      </c>
    </row>
    <row r="1700" spans="1:3" x14ac:dyDescent="0.35">
      <c r="A1700" s="527">
        <v>1699</v>
      </c>
      <c r="B1700" s="527">
        <v>9.3433335423469543E-3</v>
      </c>
      <c r="C1700" s="527">
        <v>-39.607967376708984</v>
      </c>
    </row>
    <row r="1701" spans="1:3" x14ac:dyDescent="0.35">
      <c r="A1701" s="527">
        <v>1700</v>
      </c>
      <c r="B1701" s="527">
        <v>7.9012606292963028E-3</v>
      </c>
      <c r="C1701" s="527">
        <v>-33.494777679443359</v>
      </c>
    </row>
    <row r="1702" spans="1:3" x14ac:dyDescent="0.35">
      <c r="A1702" s="527">
        <v>1701</v>
      </c>
      <c r="B1702" s="527">
        <v>6.5312916412949562E-3</v>
      </c>
      <c r="C1702" s="527">
        <v>-27.687248229980469</v>
      </c>
    </row>
    <row r="1703" spans="1:3" x14ac:dyDescent="0.35">
      <c r="A1703" s="527">
        <v>1702</v>
      </c>
      <c r="B1703" s="527">
        <v>5.2298209629952908E-3</v>
      </c>
      <c r="C1703" s="527">
        <v>-22.170095443725586</v>
      </c>
    </row>
    <row r="1704" spans="1:3" x14ac:dyDescent="0.35">
      <c r="A1704" s="527">
        <v>1703</v>
      </c>
      <c r="B1704" s="527">
        <v>3.9934241212904453E-3</v>
      </c>
      <c r="C1704" s="527">
        <v>-16.928798675537109</v>
      </c>
    </row>
    <row r="1705" spans="1:3" x14ac:dyDescent="0.35">
      <c r="A1705" s="527">
        <v>1704</v>
      </c>
      <c r="B1705" s="527">
        <v>2.8188468422740698E-3</v>
      </c>
      <c r="C1705" s="527">
        <v>-11.949567794799805</v>
      </c>
    </row>
    <row r="1706" spans="1:3" x14ac:dyDescent="0.35">
      <c r="A1706" s="527">
        <v>1705</v>
      </c>
      <c r="B1706" s="527">
        <v>1.5855408273637295E-3</v>
      </c>
      <c r="C1706" s="527">
        <v>-6.7213754653930664</v>
      </c>
    </row>
    <row r="1707" spans="1:3" x14ac:dyDescent="0.35">
      <c r="A1707" s="527">
        <v>1706</v>
      </c>
      <c r="B1707" s="527">
        <v>2.8805122710764408E-3</v>
      </c>
      <c r="C1707" s="527">
        <v>-12.210977554321289</v>
      </c>
    </row>
    <row r="1708" spans="1:3" x14ac:dyDescent="0.35">
      <c r="A1708" s="527">
        <v>1707</v>
      </c>
      <c r="B1708" s="527">
        <v>4.2402320541441441E-3</v>
      </c>
      <c r="C1708" s="527">
        <v>-17.975059509277344</v>
      </c>
    </row>
    <row r="1709" spans="1:3" x14ac:dyDescent="0.35">
      <c r="A1709" s="527">
        <v>1708</v>
      </c>
      <c r="B1709" s="527">
        <v>5.6679379194974899E-3</v>
      </c>
      <c r="C1709" s="527">
        <v>-24.027345657348633</v>
      </c>
    </row>
    <row r="1710" spans="1:3" x14ac:dyDescent="0.35">
      <c r="A1710" s="527">
        <v>1709</v>
      </c>
      <c r="B1710" s="527">
        <v>7.1670291945338249E-3</v>
      </c>
      <c r="C1710" s="527">
        <v>-30.382246017456055</v>
      </c>
    </row>
    <row r="1711" spans="1:3" x14ac:dyDescent="0.35">
      <c r="A1711" s="527">
        <v>1710</v>
      </c>
      <c r="B1711" s="527">
        <v>8.7410751730203629E-3</v>
      </c>
      <c r="C1711" s="527">
        <v>-37.054893493652344</v>
      </c>
    </row>
    <row r="1712" spans="1:3" x14ac:dyDescent="0.35">
      <c r="A1712" s="527">
        <v>1711</v>
      </c>
      <c r="B1712" s="527">
        <v>1.0393822565674782E-2</v>
      </c>
      <c r="C1712" s="527">
        <v>-44.061168670654297</v>
      </c>
    </row>
    <row r="1713" spans="1:3" x14ac:dyDescent="0.35">
      <c r="A1713" s="527">
        <v>1712</v>
      </c>
      <c r="B1713" s="527">
        <v>1.2129208073019981E-2</v>
      </c>
      <c r="C1713" s="527">
        <v>-51.417762756347656</v>
      </c>
    </row>
    <row r="1714" spans="1:3" x14ac:dyDescent="0.35">
      <c r="A1714" s="527">
        <v>1713</v>
      </c>
      <c r="B1714" s="527">
        <v>1.3951363041996956E-2</v>
      </c>
      <c r="C1714" s="527">
        <v>-59.142185211181641</v>
      </c>
    </row>
    <row r="1715" spans="1:3" x14ac:dyDescent="0.35">
      <c r="A1715" s="527">
        <v>1714</v>
      </c>
      <c r="B1715" s="527">
        <v>1.5864625573158264E-2</v>
      </c>
      <c r="C1715" s="527">
        <v>-67.252822875976563</v>
      </c>
    </row>
    <row r="1716" spans="1:3" x14ac:dyDescent="0.35">
      <c r="A1716" s="527">
        <v>1715</v>
      </c>
      <c r="B1716" s="527">
        <v>1.7873551696538925E-2</v>
      </c>
      <c r="C1716" s="527">
        <v>-75.768997192382813</v>
      </c>
    </row>
    <row r="1717" spans="1:3" x14ac:dyDescent="0.35">
      <c r="A1717" s="527">
        <v>1716</v>
      </c>
      <c r="B1717" s="527">
        <v>1.5864625573158264E-2</v>
      </c>
      <c r="C1717" s="527">
        <v>-67.252822875976563</v>
      </c>
    </row>
    <row r="1718" spans="1:3" x14ac:dyDescent="0.35">
      <c r="A1718" s="527">
        <v>1717</v>
      </c>
      <c r="B1718" s="527">
        <v>1.3855699449777603E-2</v>
      </c>
      <c r="C1718" s="527">
        <v>-58.736652374267578</v>
      </c>
    </row>
    <row r="1719" spans="1:3" x14ac:dyDescent="0.35">
      <c r="A1719" s="527">
        <v>1718</v>
      </c>
      <c r="B1719" s="527">
        <v>1.194722019135952E-2</v>
      </c>
      <c r="C1719" s="527">
        <v>-50.646286010742188</v>
      </c>
    </row>
    <row r="1720" spans="1:3" x14ac:dyDescent="0.35">
      <c r="A1720" s="527">
        <v>1719</v>
      </c>
      <c r="B1720" s="527">
        <v>1.0134165175259113E-2</v>
      </c>
      <c r="C1720" s="527">
        <v>-42.960437774658203</v>
      </c>
    </row>
    <row r="1721" spans="1:3" x14ac:dyDescent="0.35">
      <c r="A1721" s="527">
        <v>1720</v>
      </c>
      <c r="B1721" s="527">
        <v>8.4117623046040535E-3</v>
      </c>
      <c r="C1721" s="527">
        <v>-35.658882141113281</v>
      </c>
    </row>
    <row r="1722" spans="1:3" x14ac:dyDescent="0.35">
      <c r="A1722" s="527">
        <v>1721</v>
      </c>
      <c r="B1722" s="527">
        <v>6.7754802294075489E-3</v>
      </c>
      <c r="C1722" s="527">
        <v>-28.722404479980469</v>
      </c>
    </row>
    <row r="1723" spans="1:3" x14ac:dyDescent="0.35">
      <c r="A1723" s="527">
        <v>1722</v>
      </c>
      <c r="B1723" s="527">
        <v>5.2210120484232903E-3</v>
      </c>
      <c r="C1723" s="527">
        <v>-22.13275146484375</v>
      </c>
    </row>
    <row r="1724" spans="1:3" x14ac:dyDescent="0.35">
      <c r="A1724" s="527">
        <v>1723</v>
      </c>
      <c r="B1724" s="527">
        <v>3.6665436346083879E-3</v>
      </c>
      <c r="C1724" s="527">
        <v>-15.543098449707031</v>
      </c>
    </row>
    <row r="1725" spans="1:3" x14ac:dyDescent="0.35">
      <c r="A1725" s="527">
        <v>1724</v>
      </c>
      <c r="B1725" s="527">
        <v>2.1897987462580204E-3</v>
      </c>
      <c r="C1725" s="527">
        <v>-9.2829275131225586</v>
      </c>
    </row>
    <row r="1726" spans="1:3" x14ac:dyDescent="0.35">
      <c r="A1726" s="527">
        <v>1725</v>
      </c>
      <c r="B1726" s="527">
        <v>7.8689120709896088E-4</v>
      </c>
      <c r="C1726" s="527">
        <v>-3.3357646465301514</v>
      </c>
    </row>
    <row r="1727" spans="1:3" x14ac:dyDescent="0.35">
      <c r="A1727" s="527">
        <v>1726</v>
      </c>
      <c r="B1727" s="527">
        <v>-5.4587103659287095E-4</v>
      </c>
      <c r="C1727" s="527">
        <v>2.3140394687652588</v>
      </c>
    </row>
    <row r="1728" spans="1:3" x14ac:dyDescent="0.35">
      <c r="A1728" s="527">
        <v>1727</v>
      </c>
      <c r="B1728" s="527">
        <v>-1.8119951710104942E-3</v>
      </c>
      <c r="C1728" s="527">
        <v>7.6813535690307617</v>
      </c>
    </row>
    <row r="1729" spans="1:3" x14ac:dyDescent="0.35">
      <c r="A1729" s="527">
        <v>1728</v>
      </c>
      <c r="B1729" s="527">
        <v>-3.0148131772875786E-3</v>
      </c>
      <c r="C1729" s="527">
        <v>12.780302047729492</v>
      </c>
    </row>
    <row r="1730" spans="1:3" x14ac:dyDescent="0.35">
      <c r="A1730" s="527">
        <v>1729</v>
      </c>
      <c r="B1730" s="527">
        <v>-4.1574900969862938E-3</v>
      </c>
      <c r="C1730" s="527">
        <v>17.624303817749023</v>
      </c>
    </row>
    <row r="1731" spans="1:3" x14ac:dyDescent="0.35">
      <c r="A1731" s="527">
        <v>1730</v>
      </c>
      <c r="B1731" s="527">
        <v>-5.2430331707000732E-3</v>
      </c>
      <c r="C1731" s="527">
        <v>22.226104736328125</v>
      </c>
    </row>
    <row r="1732" spans="1:3" x14ac:dyDescent="0.35">
      <c r="A1732" s="527">
        <v>1731</v>
      </c>
      <c r="B1732" s="527">
        <v>2.6794562116265297E-2</v>
      </c>
      <c r="C1732" s="527">
        <v>22.226100921630859</v>
      </c>
    </row>
    <row r="1733" spans="1:3" x14ac:dyDescent="0.35">
      <c r="A1733" s="527">
        <v>1732</v>
      </c>
      <c r="B1733" s="527">
        <v>2.6794562116265297E-2</v>
      </c>
      <c r="C1733" s="527">
        <v>22.226100921630859</v>
      </c>
    </row>
    <row r="1734" spans="1:3" x14ac:dyDescent="0.35">
      <c r="A1734" s="527">
        <v>1733</v>
      </c>
      <c r="B1734" s="527">
        <v>0</v>
      </c>
      <c r="C1734" s="527">
        <v>22.226100921630859</v>
      </c>
    </row>
    <row r="1735" spans="1:3" x14ac:dyDescent="0.35">
      <c r="A1735" s="527">
        <v>1734</v>
      </c>
      <c r="B1735" s="527">
        <v>0</v>
      </c>
      <c r="C1735" s="527">
        <v>26.827899932861328</v>
      </c>
    </row>
    <row r="1736" spans="1:3" x14ac:dyDescent="0.35">
      <c r="A1736" s="527">
        <v>1735</v>
      </c>
      <c r="B1736" s="527">
        <v>0</v>
      </c>
      <c r="C1736" s="527">
        <v>31.42970085144043</v>
      </c>
    </row>
    <row r="1737" spans="1:3" x14ac:dyDescent="0.35">
      <c r="A1737" s="527">
        <v>1736</v>
      </c>
      <c r="B1737" s="527">
        <v>0</v>
      </c>
      <c r="C1737" s="527">
        <v>36.031501770019531</v>
      </c>
    </row>
    <row r="1738" spans="1:3" x14ac:dyDescent="0.35">
      <c r="A1738" s="527">
        <v>1737</v>
      </c>
      <c r="B1738" s="527">
        <v>0</v>
      </c>
      <c r="C1738" s="527">
        <v>40.63330078125</v>
      </c>
    </row>
    <row r="1739" spans="1:3" x14ac:dyDescent="0.35">
      <c r="A1739" s="527">
        <v>1738</v>
      </c>
      <c r="B1739" s="527">
        <v>0</v>
      </c>
      <c r="C1739" s="527">
        <v>45.235099792480469</v>
      </c>
    </row>
    <row r="1740" spans="1:3" x14ac:dyDescent="0.35">
      <c r="A1740" s="527">
        <v>1739</v>
      </c>
      <c r="B1740" s="527">
        <v>0</v>
      </c>
      <c r="C1740" s="527">
        <v>49.836898803710938</v>
      </c>
    </row>
    <row r="1741" spans="1:3" x14ac:dyDescent="0.35">
      <c r="A1741" s="527">
        <v>1740</v>
      </c>
      <c r="B1741" s="527">
        <v>0</v>
      </c>
      <c r="C1741" s="527">
        <v>54.438701629638672</v>
      </c>
    </row>
    <row r="1742" spans="1:3" x14ac:dyDescent="0.35">
      <c r="A1742" s="527">
        <v>1741</v>
      </c>
      <c r="B1742" s="527">
        <v>0</v>
      </c>
      <c r="C1742" s="527">
        <v>58.810409545898438</v>
      </c>
    </row>
    <row r="1743" spans="1:3" x14ac:dyDescent="0.35">
      <c r="A1743" s="527">
        <v>1742</v>
      </c>
      <c r="B1743" s="527">
        <v>0</v>
      </c>
      <c r="C1743" s="527">
        <v>63.182121276855469</v>
      </c>
    </row>
    <row r="1744" spans="1:3" x14ac:dyDescent="0.35">
      <c r="A1744" s="527">
        <v>1743</v>
      </c>
      <c r="B1744" s="527">
        <v>0</v>
      </c>
      <c r="C1744" s="527">
        <v>67.5538330078125</v>
      </c>
    </row>
    <row r="1745" spans="1:3" x14ac:dyDescent="0.35">
      <c r="A1745" s="527">
        <v>1744</v>
      </c>
      <c r="B1745" s="527">
        <v>0</v>
      </c>
      <c r="C1745" s="527">
        <v>71.706954956054688</v>
      </c>
    </row>
    <row r="1746" spans="1:3" x14ac:dyDescent="0.35">
      <c r="A1746" s="527">
        <v>1745</v>
      </c>
      <c r="B1746" s="527">
        <v>0</v>
      </c>
      <c r="C1746" s="527">
        <v>75.860076904296875</v>
      </c>
    </row>
    <row r="1747" spans="1:3" x14ac:dyDescent="0.35">
      <c r="A1747" s="527">
        <v>1746</v>
      </c>
      <c r="B1747" s="527">
        <v>0</v>
      </c>
      <c r="C1747" s="527">
        <v>80.013206481933594</v>
      </c>
    </row>
    <row r="1748" spans="1:3" x14ac:dyDescent="0.35">
      <c r="A1748" s="527">
        <v>1747</v>
      </c>
      <c r="B1748" s="527">
        <v>0</v>
      </c>
      <c r="C1748" s="527">
        <v>84.166328430175781</v>
      </c>
    </row>
    <row r="1749" spans="1:3" x14ac:dyDescent="0.35">
      <c r="A1749" s="527">
        <v>1748</v>
      </c>
      <c r="B1749" s="527">
        <v>0</v>
      </c>
      <c r="C1749" s="527">
        <v>88.319450378417969</v>
      </c>
    </row>
    <row r="1750" spans="1:3" x14ac:dyDescent="0.35">
      <c r="A1750" s="527">
        <v>1749</v>
      </c>
      <c r="B1750" s="527">
        <v>0</v>
      </c>
      <c r="C1750" s="527">
        <v>92.264923095703125</v>
      </c>
    </row>
    <row r="1751" spans="1:3" x14ac:dyDescent="0.35">
      <c r="A1751" s="527">
        <v>1750</v>
      </c>
      <c r="B1751" s="527">
        <v>0</v>
      </c>
      <c r="C1751" s="527">
        <v>96.013114929199219</v>
      </c>
    </row>
    <row r="1752" spans="1:3" x14ac:dyDescent="0.35">
      <c r="A1752" s="527">
        <v>1751</v>
      </c>
      <c r="B1752" s="527">
        <v>0</v>
      </c>
      <c r="C1752" s="527">
        <v>99.761306762695312</v>
      </c>
    </row>
    <row r="1753" spans="1:3" x14ac:dyDescent="0.35">
      <c r="A1753" s="527">
        <v>1752</v>
      </c>
      <c r="B1753" s="527">
        <v>0</v>
      </c>
      <c r="C1753" s="527">
        <v>103.50950622558594</v>
      </c>
    </row>
    <row r="1754" spans="1:3" x14ac:dyDescent="0.35">
      <c r="A1754" s="527">
        <v>1753</v>
      </c>
      <c r="B1754" s="527">
        <v>0</v>
      </c>
      <c r="C1754" s="527">
        <v>107.07028961181641</v>
      </c>
    </row>
    <row r="1755" spans="1:3" x14ac:dyDescent="0.35">
      <c r="A1755" s="527">
        <v>1754</v>
      </c>
      <c r="B1755" s="527">
        <v>0</v>
      </c>
      <c r="C1755" s="527">
        <v>110.45303344726562</v>
      </c>
    </row>
    <row r="1756" spans="1:3" x14ac:dyDescent="0.35">
      <c r="A1756" s="527">
        <v>1755</v>
      </c>
      <c r="B1756" s="527">
        <v>0</v>
      </c>
      <c r="C1756" s="527">
        <v>107.23942565917969</v>
      </c>
    </row>
    <row r="1757" spans="1:3" x14ac:dyDescent="0.35">
      <c r="A1757" s="527">
        <v>1756</v>
      </c>
      <c r="B1757" s="527">
        <v>0</v>
      </c>
      <c r="C1757" s="527">
        <v>107.23943328857422</v>
      </c>
    </row>
    <row r="1758" spans="1:3" x14ac:dyDescent="0.35">
      <c r="A1758" s="527">
        <v>1757</v>
      </c>
      <c r="B1758" s="527">
        <v>0</v>
      </c>
      <c r="C1758" s="527">
        <v>107.23943328857422</v>
      </c>
    </row>
    <row r="1759" spans="1:3" x14ac:dyDescent="0.35">
      <c r="A1759" s="527">
        <v>1758</v>
      </c>
      <c r="B1759" s="527">
        <v>3.2208006829023361E-2</v>
      </c>
      <c r="C1759" s="527">
        <v>107.23943328857422</v>
      </c>
    </row>
    <row r="1760" spans="1:3" x14ac:dyDescent="0.35">
      <c r="A1760" s="527">
        <v>1759</v>
      </c>
      <c r="B1760" s="527">
        <v>3.3173173666000366E-2</v>
      </c>
      <c r="C1760" s="527">
        <v>110.45304107666016</v>
      </c>
    </row>
    <row r="1761" spans="1:3" x14ac:dyDescent="0.35">
      <c r="A1761" s="527">
        <v>1760</v>
      </c>
      <c r="B1761" s="527">
        <v>3.4090083092451096E-2</v>
      </c>
      <c r="C1761" s="527">
        <v>113.50596618652344</v>
      </c>
    </row>
    <row r="1762" spans="1:3" x14ac:dyDescent="0.35">
      <c r="A1762" s="527">
        <v>1761</v>
      </c>
      <c r="B1762" s="527">
        <v>3.5006988793611526E-2</v>
      </c>
      <c r="C1762" s="527">
        <v>116.55889129638672</v>
      </c>
    </row>
    <row r="1763" spans="1:3" x14ac:dyDescent="0.35">
      <c r="A1763" s="527">
        <v>1762</v>
      </c>
      <c r="B1763" s="527">
        <v>3.5923898220062256E-2</v>
      </c>
      <c r="C1763" s="527">
        <v>119.61182403564453</v>
      </c>
    </row>
    <row r="1764" spans="1:3" x14ac:dyDescent="0.35">
      <c r="A1764" s="527">
        <v>1763</v>
      </c>
      <c r="B1764" s="527">
        <v>3.6840807646512985E-2</v>
      </c>
      <c r="C1764" s="527">
        <v>122.66474914550781</v>
      </c>
    </row>
    <row r="1765" spans="1:3" x14ac:dyDescent="0.35">
      <c r="A1765" s="527">
        <v>1764</v>
      </c>
      <c r="B1765" s="527">
        <v>3.7757717072963715E-2</v>
      </c>
      <c r="C1765" s="527">
        <v>125.71768188476562</v>
      </c>
    </row>
    <row r="1766" spans="1:3" x14ac:dyDescent="0.35">
      <c r="A1766" s="527">
        <v>1765</v>
      </c>
      <c r="B1766" s="527">
        <v>3.8674622774124146E-2</v>
      </c>
      <c r="C1766" s="527">
        <v>128.77061462402344</v>
      </c>
    </row>
    <row r="1767" spans="1:3" x14ac:dyDescent="0.35">
      <c r="A1767" s="527">
        <v>1766</v>
      </c>
      <c r="B1767" s="527">
        <v>3.9591532200574875E-2</v>
      </c>
      <c r="C1767" s="527">
        <v>131.82353210449219</v>
      </c>
    </row>
    <row r="1768" spans="1:3" x14ac:dyDescent="0.35">
      <c r="A1768" s="527">
        <v>1767</v>
      </c>
      <c r="B1768" s="527">
        <v>4.0508441627025604E-2</v>
      </c>
      <c r="C1768" s="527">
        <v>134.87646484375</v>
      </c>
    </row>
    <row r="1769" spans="1:3" x14ac:dyDescent="0.35">
      <c r="A1769" s="527">
        <v>1768</v>
      </c>
      <c r="B1769" s="527">
        <v>4.1425347328186035E-2</v>
      </c>
      <c r="C1769" s="527">
        <v>137.92939758300781</v>
      </c>
    </row>
    <row r="1770" spans="1:3" x14ac:dyDescent="0.35">
      <c r="A1770" s="527">
        <v>1769</v>
      </c>
      <c r="B1770" s="527">
        <v>4.2342256754636765E-2</v>
      </c>
      <c r="C1770" s="527">
        <v>140.98231506347656</v>
      </c>
    </row>
    <row r="1771" spans="1:3" x14ac:dyDescent="0.35">
      <c r="A1771" s="527">
        <v>1770</v>
      </c>
      <c r="B1771" s="527">
        <v>4.3259166181087494E-2</v>
      </c>
      <c r="C1771" s="527">
        <v>144.03524780273437</v>
      </c>
    </row>
    <row r="1772" spans="1:3" x14ac:dyDescent="0.35">
      <c r="A1772" s="527">
        <v>1771</v>
      </c>
      <c r="B1772" s="527">
        <v>4.4176075607538223E-2</v>
      </c>
      <c r="C1772" s="527">
        <v>147.08818054199219</v>
      </c>
    </row>
    <row r="1773" spans="1:3" x14ac:dyDescent="0.35">
      <c r="A1773" s="527">
        <v>1772</v>
      </c>
      <c r="B1773" s="527">
        <v>4.5092981308698654E-2</v>
      </c>
      <c r="C1773" s="527">
        <v>150.14109802246094</v>
      </c>
    </row>
    <row r="1774" spans="1:3" x14ac:dyDescent="0.35">
      <c r="A1774" s="527">
        <v>1773</v>
      </c>
      <c r="B1774" s="527">
        <v>4.5964043587446213E-2</v>
      </c>
      <c r="C1774" s="527">
        <v>153.0413818359375</v>
      </c>
    </row>
    <row r="1775" spans="1:3" x14ac:dyDescent="0.35">
      <c r="A1775" s="527">
        <v>1774</v>
      </c>
      <c r="B1775" s="527">
        <v>4.683510959148407E-2</v>
      </c>
      <c r="C1775" s="527">
        <v>155.94166564941406</v>
      </c>
    </row>
    <row r="1776" spans="1:3" x14ac:dyDescent="0.35">
      <c r="A1776" s="527">
        <v>1775</v>
      </c>
      <c r="B1776" s="527">
        <v>4.7706171870231628E-2</v>
      </c>
      <c r="C1776" s="527">
        <v>158.84194946289062</v>
      </c>
    </row>
    <row r="1777" spans="1:3" x14ac:dyDescent="0.35">
      <c r="A1777" s="527">
        <v>1776</v>
      </c>
      <c r="B1777" s="527">
        <v>4.8533681780099869E-2</v>
      </c>
      <c r="C1777" s="527">
        <v>161.59721374511719</v>
      </c>
    </row>
    <row r="1778" spans="1:3" x14ac:dyDescent="0.35">
      <c r="A1778" s="527">
        <v>1777</v>
      </c>
      <c r="B1778" s="527">
        <v>4.9361191689968109E-2</v>
      </c>
      <c r="C1778" s="527">
        <v>164.35247802734375</v>
      </c>
    </row>
    <row r="1779" spans="1:3" x14ac:dyDescent="0.35">
      <c r="A1779" s="527">
        <v>1778</v>
      </c>
      <c r="B1779" s="527">
        <v>5.0188701599836349E-2</v>
      </c>
      <c r="C1779" s="527">
        <v>167.10775756835937</v>
      </c>
    </row>
    <row r="1780" spans="1:3" x14ac:dyDescent="0.35">
      <c r="A1780" s="527">
        <v>1779</v>
      </c>
      <c r="B1780" s="527">
        <v>5.101621150970459E-2</v>
      </c>
      <c r="C1780" s="527">
        <v>169.86302185058594</v>
      </c>
    </row>
    <row r="1781" spans="1:3" x14ac:dyDescent="0.35">
      <c r="A1781" s="527">
        <v>1780</v>
      </c>
      <c r="B1781" s="527">
        <v>5.1802344620227814E-2</v>
      </c>
      <c r="C1781" s="527">
        <v>172.48052978515625</v>
      </c>
    </row>
    <row r="1782" spans="1:3" x14ac:dyDescent="0.35">
      <c r="A1782" s="527">
        <v>1781</v>
      </c>
      <c r="B1782" s="527">
        <v>5.2588477730751038E-2</v>
      </c>
      <c r="C1782" s="527">
        <v>175.0980224609375</v>
      </c>
    </row>
    <row r="1783" spans="1:3" x14ac:dyDescent="0.35">
      <c r="A1783" s="527">
        <v>1782</v>
      </c>
      <c r="B1783" s="527">
        <v>5.333530530333519E-2</v>
      </c>
      <c r="C1783" s="527">
        <v>177.58465576171875</v>
      </c>
    </row>
    <row r="1784" spans="1:3" x14ac:dyDescent="0.35">
      <c r="A1784" s="527">
        <v>1783</v>
      </c>
      <c r="B1784" s="527">
        <v>5.4082132875919342E-2</v>
      </c>
      <c r="C1784" s="527">
        <v>180.0712890625</v>
      </c>
    </row>
    <row r="1785" spans="1:3" x14ac:dyDescent="0.35">
      <c r="A1785" s="527">
        <v>1784</v>
      </c>
      <c r="B1785" s="527">
        <v>5.4828960448503494E-2</v>
      </c>
      <c r="C1785" s="527">
        <v>182.55792236328125</v>
      </c>
    </row>
    <row r="1786" spans="1:3" x14ac:dyDescent="0.35">
      <c r="A1786" s="527">
        <v>1785</v>
      </c>
      <c r="B1786" s="527">
        <v>5.5538449436426163E-2</v>
      </c>
      <c r="C1786" s="527">
        <v>184.92021179199219</v>
      </c>
    </row>
    <row r="1787" spans="1:3" x14ac:dyDescent="0.35">
      <c r="A1787" s="527">
        <v>1786</v>
      </c>
      <c r="B1787" s="527">
        <v>5.6247934699058533E-2</v>
      </c>
      <c r="C1787" s="527">
        <v>187.28251647949219</v>
      </c>
    </row>
    <row r="1788" spans="1:3" x14ac:dyDescent="0.35">
      <c r="A1788" s="527">
        <v>1787</v>
      </c>
      <c r="B1788" s="527">
        <v>5.6957419961690903E-2</v>
      </c>
      <c r="C1788" s="527">
        <v>189.64480590820313</v>
      </c>
    </row>
    <row r="1789" spans="1:3" x14ac:dyDescent="0.35">
      <c r="A1789" s="527">
        <v>1788</v>
      </c>
      <c r="B1789" s="527">
        <v>5.7631433010101318E-2</v>
      </c>
      <c r="C1789" s="527">
        <v>191.88899230957031</v>
      </c>
    </row>
    <row r="1790" spans="1:3" x14ac:dyDescent="0.35">
      <c r="A1790" s="527">
        <v>1789</v>
      </c>
      <c r="B1790" s="527">
        <v>5.8305442333221436E-2</v>
      </c>
      <c r="C1790" s="527">
        <v>194.1331787109375</v>
      </c>
    </row>
    <row r="1791" spans="1:3" x14ac:dyDescent="0.35">
      <c r="A1791" s="527">
        <v>1790</v>
      </c>
      <c r="B1791" s="527">
        <v>5.8979455381631851E-2</v>
      </c>
      <c r="C1791" s="527">
        <v>196.37734985351562</v>
      </c>
    </row>
    <row r="1792" spans="1:3" x14ac:dyDescent="0.35">
      <c r="A1792" s="527">
        <v>1791</v>
      </c>
      <c r="B1792" s="527">
        <v>5.9619765728712082E-2</v>
      </c>
      <c r="C1792" s="527">
        <v>198.50932312011719</v>
      </c>
    </row>
    <row r="1793" spans="1:3" x14ac:dyDescent="0.35">
      <c r="A1793" s="527">
        <v>1792</v>
      </c>
      <c r="B1793" s="527">
        <v>6.0260079801082611E-2</v>
      </c>
      <c r="C1793" s="527">
        <v>200.64129638671875</v>
      </c>
    </row>
    <row r="1794" spans="1:3" x14ac:dyDescent="0.35">
      <c r="A1794" s="527">
        <v>1793</v>
      </c>
      <c r="B1794" s="527">
        <v>6.086837500333786E-2</v>
      </c>
      <c r="C1794" s="527">
        <v>202.66667175292969</v>
      </c>
    </row>
    <row r="1795" spans="1:3" x14ac:dyDescent="0.35">
      <c r="A1795" s="527">
        <v>1794</v>
      </c>
      <c r="B1795" s="527">
        <v>6.1476670205593109E-2</v>
      </c>
      <c r="C1795" s="527">
        <v>204.69204711914063</v>
      </c>
    </row>
    <row r="1796" spans="1:3" x14ac:dyDescent="0.35">
      <c r="A1796" s="527">
        <v>1795</v>
      </c>
      <c r="B1796" s="527">
        <v>6.2084965407848358E-2</v>
      </c>
      <c r="C1796" s="527">
        <v>206.71742248535156</v>
      </c>
    </row>
    <row r="1797" spans="1:3" x14ac:dyDescent="0.35">
      <c r="A1797" s="527">
        <v>1796</v>
      </c>
      <c r="B1797" s="527">
        <v>6.2662847340106964E-2</v>
      </c>
      <c r="C1797" s="527">
        <v>208.64154052734375</v>
      </c>
    </row>
    <row r="1798" spans="1:3" x14ac:dyDescent="0.35">
      <c r="A1798" s="527">
        <v>1797</v>
      </c>
      <c r="B1798" s="527">
        <v>6.2084965407848358E-2</v>
      </c>
      <c r="C1798" s="527">
        <v>206.71742248535156</v>
      </c>
    </row>
    <row r="1799" spans="1:3" x14ac:dyDescent="0.35">
      <c r="A1799" s="527">
        <v>1798</v>
      </c>
      <c r="B1799" s="527">
        <v>6.1507083475589752E-2</v>
      </c>
      <c r="C1799" s="527">
        <v>204.79331970214844</v>
      </c>
    </row>
    <row r="1800" spans="1:3" x14ac:dyDescent="0.35">
      <c r="A1800" s="527">
        <v>1799</v>
      </c>
      <c r="B1800" s="527">
        <v>6.0929205268621445E-2</v>
      </c>
      <c r="C1800" s="527">
        <v>202.86921691894531</v>
      </c>
    </row>
    <row r="1801" spans="1:3" x14ac:dyDescent="0.35">
      <c r="A1801" s="527">
        <v>1800</v>
      </c>
      <c r="B1801" s="527">
        <v>6.0351323336362839E-2</v>
      </c>
      <c r="C1801" s="527">
        <v>200.94511413574219</v>
      </c>
    </row>
    <row r="1802" spans="1:3" x14ac:dyDescent="0.35">
      <c r="A1802" s="527">
        <v>1801</v>
      </c>
      <c r="B1802" s="527">
        <v>5.9773441404104233E-2</v>
      </c>
      <c r="C1802" s="527">
        <v>199.02101135253906</v>
      </c>
    </row>
    <row r="1803" spans="1:3" x14ac:dyDescent="0.35">
      <c r="A1803" s="527">
        <v>1802</v>
      </c>
      <c r="B1803" s="527">
        <v>5.9195559471845627E-2</v>
      </c>
      <c r="C1803" s="527">
        <v>197.09689331054687</v>
      </c>
    </row>
    <row r="1804" spans="1:3" x14ac:dyDescent="0.35">
      <c r="A1804" s="527">
        <v>1803</v>
      </c>
      <c r="B1804" s="527">
        <v>5.8617681264877319E-2</v>
      </c>
      <c r="C1804" s="527">
        <v>195.17279052734375</v>
      </c>
    </row>
    <row r="1805" spans="1:3" x14ac:dyDescent="0.35">
      <c r="A1805" s="527">
        <v>1804</v>
      </c>
      <c r="B1805" s="527">
        <v>5.8039799332618713E-2</v>
      </c>
      <c r="C1805" s="527">
        <v>193.24868774414062</v>
      </c>
    </row>
    <row r="1806" spans="1:3" x14ac:dyDescent="0.35">
      <c r="A1806" s="527">
        <v>1805</v>
      </c>
      <c r="B1806" s="527">
        <v>5.7461917400360107E-2</v>
      </c>
      <c r="C1806" s="527">
        <v>191.3245849609375</v>
      </c>
    </row>
    <row r="1807" spans="1:3" x14ac:dyDescent="0.35">
      <c r="A1807" s="527">
        <v>1806</v>
      </c>
      <c r="B1807" s="527">
        <v>5.6884035468101501E-2</v>
      </c>
      <c r="C1807" s="527">
        <v>189.40046691894531</v>
      </c>
    </row>
    <row r="1808" spans="1:3" x14ac:dyDescent="0.35">
      <c r="A1808" s="527">
        <v>1807</v>
      </c>
      <c r="B1808" s="527">
        <v>5.6306157261133194E-2</v>
      </c>
      <c r="C1808" s="527">
        <v>187.47636413574219</v>
      </c>
    </row>
    <row r="1809" spans="1:3" x14ac:dyDescent="0.35">
      <c r="A1809" s="527">
        <v>1808</v>
      </c>
      <c r="B1809" s="527">
        <v>5.5699381977319717E-2</v>
      </c>
      <c r="C1809" s="527">
        <v>185.4560546875</v>
      </c>
    </row>
    <row r="1810" spans="1:3" x14ac:dyDescent="0.35">
      <c r="A1810" s="527">
        <v>1809</v>
      </c>
      <c r="B1810" s="527">
        <v>5.5092606693506241E-2</v>
      </c>
      <c r="C1810" s="527">
        <v>183.43574523925781</v>
      </c>
    </row>
    <row r="1811" spans="1:3" x14ac:dyDescent="0.35">
      <c r="A1811" s="527">
        <v>1810</v>
      </c>
      <c r="B1811" s="527">
        <v>5.445549264550209E-2</v>
      </c>
      <c r="C1811" s="527">
        <v>181.31442260742187</v>
      </c>
    </row>
    <row r="1812" spans="1:3" x14ac:dyDescent="0.35">
      <c r="A1812" s="527">
        <v>1811</v>
      </c>
      <c r="B1812" s="527">
        <v>5.381837859749794E-2</v>
      </c>
      <c r="C1812" s="527">
        <v>179.19308471679687</v>
      </c>
    </row>
    <row r="1813" spans="1:3" x14ac:dyDescent="0.35">
      <c r="A1813" s="527">
        <v>1812</v>
      </c>
      <c r="B1813" s="527">
        <v>5.318126454949379E-2</v>
      </c>
      <c r="C1813" s="527">
        <v>177.07176208496094</v>
      </c>
    </row>
    <row r="1814" spans="1:3" x14ac:dyDescent="0.35">
      <c r="A1814" s="527">
        <v>1813</v>
      </c>
      <c r="B1814" s="527">
        <v>5.2544150501489639E-2</v>
      </c>
      <c r="C1814" s="527">
        <v>174.950439453125</v>
      </c>
    </row>
    <row r="1815" spans="1:3" x14ac:dyDescent="0.35">
      <c r="A1815" s="527">
        <v>1814</v>
      </c>
      <c r="B1815" s="527">
        <v>5.1875181496143341E-2</v>
      </c>
      <c r="C1815" s="527">
        <v>172.72303771972656</v>
      </c>
    </row>
    <row r="1816" spans="1:3" x14ac:dyDescent="0.35">
      <c r="A1816" s="527">
        <v>1815</v>
      </c>
      <c r="B1816" s="527">
        <v>5.1206212490797043E-2</v>
      </c>
      <c r="C1816" s="527">
        <v>170.49565124511719</v>
      </c>
    </row>
    <row r="1817" spans="1:3" x14ac:dyDescent="0.35">
      <c r="A1817" s="527">
        <v>1816</v>
      </c>
      <c r="B1817" s="527">
        <v>5.0537243485450745E-2</v>
      </c>
      <c r="C1817" s="527">
        <v>168.26824951171875</v>
      </c>
    </row>
    <row r="1818" spans="1:3" x14ac:dyDescent="0.35">
      <c r="A1818" s="527">
        <v>1817</v>
      </c>
      <c r="B1818" s="527">
        <v>4.9868274480104446E-2</v>
      </c>
      <c r="C1818" s="527">
        <v>166.04086303710937</v>
      </c>
    </row>
    <row r="1819" spans="1:3" x14ac:dyDescent="0.35">
      <c r="A1819" s="527">
        <v>1818</v>
      </c>
      <c r="B1819" s="527">
        <v>4.9199305474758148E-2</v>
      </c>
      <c r="C1819" s="527">
        <v>163.8134765625</v>
      </c>
    </row>
    <row r="1820" spans="1:3" x14ac:dyDescent="0.35">
      <c r="A1820" s="527">
        <v>1819</v>
      </c>
      <c r="B1820" s="527">
        <v>4.8530332744121552E-2</v>
      </c>
      <c r="C1820" s="527">
        <v>161.58607482910156</v>
      </c>
    </row>
    <row r="1821" spans="1:3" x14ac:dyDescent="0.35">
      <c r="A1821" s="527">
        <v>1820</v>
      </c>
      <c r="B1821" s="527">
        <v>4.7861363738775253E-2</v>
      </c>
      <c r="C1821" s="527">
        <v>159.35868835449219</v>
      </c>
    </row>
    <row r="1822" spans="1:3" x14ac:dyDescent="0.35">
      <c r="A1822" s="527">
        <v>1821</v>
      </c>
      <c r="B1822" s="527">
        <v>4.7192394733428955E-2</v>
      </c>
      <c r="C1822" s="527">
        <v>157.13128662109375</v>
      </c>
    </row>
    <row r="1823" spans="1:3" x14ac:dyDescent="0.35">
      <c r="A1823" s="527">
        <v>1822</v>
      </c>
      <c r="B1823" s="527">
        <v>4.6523425728082657E-2</v>
      </c>
      <c r="C1823" s="527">
        <v>154.90390014648437</v>
      </c>
    </row>
    <row r="1824" spans="1:3" x14ac:dyDescent="0.35">
      <c r="A1824" s="527">
        <v>1823</v>
      </c>
      <c r="B1824" s="527">
        <v>4.5887906104326248E-2</v>
      </c>
      <c r="C1824" s="527">
        <v>152.78787231445312</v>
      </c>
    </row>
    <row r="1825" spans="1:3" x14ac:dyDescent="0.35">
      <c r="A1825" s="527">
        <v>1824</v>
      </c>
      <c r="B1825" s="527">
        <v>4.5252382755279541E-2</v>
      </c>
      <c r="C1825" s="527">
        <v>150.67184448242187</v>
      </c>
    </row>
    <row r="1826" spans="1:3" x14ac:dyDescent="0.35">
      <c r="A1826" s="527">
        <v>1825</v>
      </c>
      <c r="B1826" s="527">
        <v>4.4616863131523132E-2</v>
      </c>
      <c r="C1826" s="527">
        <v>148.55583190917969</v>
      </c>
    </row>
    <row r="1827" spans="1:3" x14ac:dyDescent="0.35">
      <c r="A1827" s="527">
        <v>1826</v>
      </c>
      <c r="B1827" s="527">
        <v>4.3981343507766724E-2</v>
      </c>
      <c r="C1827" s="527">
        <v>146.43980407714844</v>
      </c>
    </row>
    <row r="1828" spans="1:3" x14ac:dyDescent="0.35">
      <c r="A1828" s="527">
        <v>1827</v>
      </c>
      <c r="B1828" s="527">
        <v>4.4616863131523132E-2</v>
      </c>
      <c r="C1828" s="527">
        <v>148.55583190917969</v>
      </c>
    </row>
    <row r="1829" spans="1:3" x14ac:dyDescent="0.35">
      <c r="A1829" s="527">
        <v>1828</v>
      </c>
      <c r="B1829" s="527">
        <v>4.5252382755279541E-2</v>
      </c>
      <c r="C1829" s="527">
        <v>150.67184448242187</v>
      </c>
    </row>
    <row r="1830" spans="1:3" x14ac:dyDescent="0.35">
      <c r="A1830" s="527">
        <v>1829</v>
      </c>
      <c r="B1830" s="527">
        <v>4.5887906104326248E-2</v>
      </c>
      <c r="C1830" s="527">
        <v>152.78787231445312</v>
      </c>
    </row>
    <row r="1831" spans="1:3" x14ac:dyDescent="0.35">
      <c r="A1831" s="527">
        <v>1830</v>
      </c>
      <c r="B1831" s="527">
        <v>4.6523425728082657E-2</v>
      </c>
      <c r="C1831" s="527">
        <v>154.90390014648437</v>
      </c>
    </row>
    <row r="1832" spans="1:3" x14ac:dyDescent="0.35">
      <c r="A1832" s="527">
        <v>1831</v>
      </c>
      <c r="B1832" s="527">
        <v>4.7158949077129364E-2</v>
      </c>
      <c r="C1832" s="527">
        <v>157.01991271972656</v>
      </c>
    </row>
    <row r="1833" spans="1:3" x14ac:dyDescent="0.35">
      <c r="A1833" s="527">
        <v>1832</v>
      </c>
      <c r="B1833" s="527">
        <v>4.7794468700885773E-2</v>
      </c>
      <c r="C1833" s="527">
        <v>159.13594055175781</v>
      </c>
    </row>
    <row r="1834" spans="1:3" x14ac:dyDescent="0.35">
      <c r="A1834" s="527">
        <v>1833</v>
      </c>
      <c r="B1834" s="527">
        <v>4.8461765050888062E-2</v>
      </c>
      <c r="C1834" s="527">
        <v>161.35777282714844</v>
      </c>
    </row>
    <row r="1835" spans="1:3" x14ac:dyDescent="0.35">
      <c r="A1835" s="527">
        <v>1834</v>
      </c>
      <c r="B1835" s="527">
        <v>4.912906140089035E-2</v>
      </c>
      <c r="C1835" s="527">
        <v>163.57958984375</v>
      </c>
    </row>
    <row r="1836" spans="1:3" x14ac:dyDescent="0.35">
      <c r="A1836" s="527">
        <v>1835</v>
      </c>
      <c r="B1836" s="527">
        <v>4.9796357750892639E-2</v>
      </c>
      <c r="C1836" s="527">
        <v>165.80142211914062</v>
      </c>
    </row>
    <row r="1837" spans="1:3" x14ac:dyDescent="0.35">
      <c r="A1837" s="527">
        <v>1836</v>
      </c>
      <c r="B1837" s="527">
        <v>5.0463657826185226E-2</v>
      </c>
      <c r="C1837" s="527">
        <v>168.02323913574219</v>
      </c>
    </row>
    <row r="1838" spans="1:3" x14ac:dyDescent="0.35">
      <c r="A1838" s="527">
        <v>1837</v>
      </c>
      <c r="B1838" s="527">
        <v>5.116431787610054E-2</v>
      </c>
      <c r="C1838" s="527">
        <v>170.35615539550781</v>
      </c>
    </row>
    <row r="1839" spans="1:3" x14ac:dyDescent="0.35">
      <c r="A1839" s="527">
        <v>1838</v>
      </c>
      <c r="B1839" s="527">
        <v>5.1900014281272888E-2</v>
      </c>
      <c r="C1839" s="527">
        <v>172.80572509765625</v>
      </c>
    </row>
    <row r="1840" spans="1:3" x14ac:dyDescent="0.35">
      <c r="A1840" s="527">
        <v>1839</v>
      </c>
      <c r="B1840" s="527">
        <v>5.2635706961154938E-2</v>
      </c>
      <c r="C1840" s="527">
        <v>175.25527954101562</v>
      </c>
    </row>
    <row r="1841" spans="1:3" x14ac:dyDescent="0.35">
      <c r="A1841" s="527">
        <v>1840</v>
      </c>
      <c r="B1841" s="527">
        <v>5.2635706961154938E-2</v>
      </c>
      <c r="C1841" s="527">
        <v>175.25527954101562</v>
      </c>
    </row>
    <row r="1842" spans="1:3" x14ac:dyDescent="0.35">
      <c r="A1842" s="527">
        <v>1841</v>
      </c>
      <c r="B1842" s="527">
        <v>3.3088045120239258</v>
      </c>
      <c r="C1842" s="527">
        <v>175.25527954101562</v>
      </c>
    </row>
    <row r="1843" spans="1:3" x14ac:dyDescent="0.35">
      <c r="A1843" s="527">
        <v>1842</v>
      </c>
      <c r="B1843" s="527">
        <v>3.1312344074249268</v>
      </c>
      <c r="C1843" s="527">
        <v>175.25527954101562</v>
      </c>
    </row>
    <row r="1844" spans="1:3" x14ac:dyDescent="0.35">
      <c r="A1844" s="527">
        <v>1843</v>
      </c>
      <c r="B1844" s="527">
        <v>3.1312344074249268</v>
      </c>
      <c r="C1844" s="527">
        <v>175.25527954101562</v>
      </c>
    </row>
    <row r="1845" spans="1:3" x14ac:dyDescent="0.35">
      <c r="A1845" s="527">
        <v>1844</v>
      </c>
      <c r="B1845" s="527">
        <v>3.1312344074249268</v>
      </c>
      <c r="C1845" s="527">
        <v>175.25527954101562</v>
      </c>
    </row>
    <row r="1846" spans="1:3" x14ac:dyDescent="0.35">
      <c r="A1846" s="527">
        <v>1845</v>
      </c>
      <c r="B1846" s="527">
        <v>3.1312344074249268</v>
      </c>
      <c r="C1846" s="527">
        <v>175.25527954101562</v>
      </c>
    </row>
    <row r="1847" spans="1:3" x14ac:dyDescent="0.35">
      <c r="A1847" s="527">
        <v>1846</v>
      </c>
      <c r="B1847" s="527">
        <v>3.1312344074249268</v>
      </c>
      <c r="C1847" s="527">
        <v>175.25527954101562</v>
      </c>
    </row>
    <row r="1848" spans="1:3" x14ac:dyDescent="0.35">
      <c r="A1848" s="527">
        <v>1847</v>
      </c>
      <c r="B1848" s="527">
        <v>5.2635706961154938E-2</v>
      </c>
      <c r="C1848" s="527">
        <v>175.25527954101562</v>
      </c>
    </row>
    <row r="1849" spans="1:3" x14ac:dyDescent="0.35">
      <c r="A1849" s="527">
        <v>1848</v>
      </c>
      <c r="B1849" s="527">
        <v>5.2635621279478073E-2</v>
      </c>
      <c r="C1849" s="527">
        <v>175.2550048828125</v>
      </c>
    </row>
    <row r="1850" spans="1:3" x14ac:dyDescent="0.35">
      <c r="A1850" s="527">
        <v>1849</v>
      </c>
      <c r="B1850" s="527">
        <v>5.2635621279478073E-2</v>
      </c>
      <c r="C1850" s="527">
        <v>175.2550048828125</v>
      </c>
    </row>
    <row r="1851" spans="1:3" x14ac:dyDescent="0.35">
      <c r="A1851" s="527">
        <v>1850</v>
      </c>
      <c r="B1851" s="527">
        <v>5.2635621279478073E-2</v>
      </c>
      <c r="C1851" s="527">
        <v>175.2550048828125</v>
      </c>
    </row>
    <row r="1852" spans="1:3" x14ac:dyDescent="0.35">
      <c r="A1852" s="527">
        <v>1851</v>
      </c>
      <c r="B1852" s="527">
        <v>5.2635621279478073E-2</v>
      </c>
      <c r="C1852" s="527">
        <v>175.2550048828125</v>
      </c>
    </row>
    <row r="1853" spans="1:3" x14ac:dyDescent="0.35">
      <c r="A1853" s="527">
        <v>1852</v>
      </c>
      <c r="B1853" s="527">
        <v>5.2635625004768372E-2</v>
      </c>
      <c r="C1853" s="527">
        <v>175.2550048828125</v>
      </c>
    </row>
    <row r="1854" spans="1:3" x14ac:dyDescent="0.35">
      <c r="A1854" s="527">
        <v>1853</v>
      </c>
      <c r="B1854" s="527">
        <v>5.2635621279478073E-2</v>
      </c>
      <c r="C1854" s="527">
        <v>175.2550048828125</v>
      </c>
    </row>
    <row r="1855" spans="1:3" x14ac:dyDescent="0.35">
      <c r="A1855" s="527">
        <v>1854</v>
      </c>
      <c r="B1855" s="527">
        <v>5.2635625004768372E-2</v>
      </c>
      <c r="C1855" s="527">
        <v>175.2550048828125</v>
      </c>
    </row>
    <row r="1856" spans="1:3" x14ac:dyDescent="0.35">
      <c r="A1856" s="527">
        <v>1855</v>
      </c>
      <c r="B1856" s="527">
        <v>5.2635625004768372E-2</v>
      </c>
      <c r="C1856" s="527">
        <v>175.2550048828125</v>
      </c>
    </row>
    <row r="1857" spans="1:3" x14ac:dyDescent="0.35">
      <c r="A1857" s="527">
        <v>1856</v>
      </c>
      <c r="B1857" s="527">
        <v>5.2635625004768372E-2</v>
      </c>
      <c r="C1857" s="527">
        <v>175.2550048828125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zoomScale="80" zoomScaleNormal="80" workbookViewId="0">
      <selection activeCell="BF1" sqref="BF1"/>
    </sheetView>
  </sheetViews>
  <sheetFormatPr baseColWidth="10" defaultColWidth="11.46484375" defaultRowHeight="12.75" x14ac:dyDescent="0.35"/>
  <cols>
    <col min="1" max="1" width="6.53125" style="425" customWidth="1"/>
    <col min="2" max="12" width="11.46484375" style="425"/>
    <col min="13" max="13" width="4.53125" style="425" customWidth="1"/>
    <col min="14" max="14" width="7" style="425" customWidth="1"/>
    <col min="15" max="17" width="11.46484375" style="425" customWidth="1"/>
    <col min="18" max="25" width="11.46484375" style="425"/>
    <col min="26" max="26" width="3.46484375" style="528" customWidth="1"/>
    <col min="27" max="33" width="11.46484375" style="425"/>
    <col min="34" max="37" width="11.53125" style="425" bestFit="1" customWidth="1"/>
    <col min="38" max="38" width="14.46484375" style="425" bestFit="1" customWidth="1"/>
    <col min="39" max="39" width="4.19921875" style="425" customWidth="1"/>
    <col min="40" max="50" width="11.53125" style="425" bestFit="1" customWidth="1"/>
    <col min="51" max="51" width="14.46484375" style="425" bestFit="1" customWidth="1"/>
    <col min="52" max="52" width="3.53125" style="528" customWidth="1"/>
    <col min="53" max="53" width="4" style="425" bestFit="1" customWidth="1"/>
    <col min="54" max="58" width="11.53125" style="425" bestFit="1" customWidth="1"/>
    <col min="59" max="64" width="11.46484375" style="425"/>
    <col min="65" max="65" width="4.46484375" style="425" customWidth="1"/>
    <col min="66" max="66" width="4" style="425" bestFit="1" customWidth="1"/>
    <col min="67" max="76" width="11.46484375" style="425"/>
    <col min="77" max="77" width="14.46484375" style="425" customWidth="1"/>
    <col min="78" max="78" width="5.53125" style="425" customWidth="1"/>
    <col min="79" max="80" width="11.46484375" style="425"/>
    <col min="81" max="81" width="13.53125" style="425" customWidth="1"/>
    <col min="82" max="82" width="2" style="425" customWidth="1"/>
    <col min="83" max="16384" width="11.46484375" style="425"/>
  </cols>
  <sheetData>
    <row r="1" spans="1:85" ht="24" customHeight="1" thickBot="1" x14ac:dyDescent="0.45">
      <c r="C1" s="431" t="s">
        <v>150</v>
      </c>
      <c r="D1" s="431"/>
      <c r="AA1" s="529" t="s">
        <v>151</v>
      </c>
      <c r="AB1"/>
      <c r="AC1" s="529" t="s">
        <v>152</v>
      </c>
      <c r="AD1">
        <f>MAX(AF1,AI1)</f>
        <v>3.2530416296053102</v>
      </c>
      <c r="AE1" s="530" t="s">
        <v>153</v>
      </c>
      <c r="AF1" s="531">
        <f>MAX(MAX(AB4:AL23),ABS(MIN(AB4:AL23)))</f>
        <v>0.14050836658569099</v>
      </c>
      <c r="AG1"/>
      <c r="AH1" s="530" t="s">
        <v>154</v>
      </c>
      <c r="AI1" s="531">
        <f>MAX(MAX(AO4:AY23),ABS(MIN(AO4:AY23)))</f>
        <v>3.2530416296053102</v>
      </c>
      <c r="BB1" s="527" t="s">
        <v>155</v>
      </c>
      <c r="BE1" s="532" t="s">
        <v>156</v>
      </c>
      <c r="BF1" s="498">
        <f>Knoten!AF19</f>
        <v>1.0612946368637932</v>
      </c>
      <c r="BH1" s="532" t="s">
        <v>157</v>
      </c>
      <c r="BI1" s="487">
        <f>(MAX(BB4:BL43)+MIN(BB4:BL43))/2</f>
        <v>7.6499388170852303</v>
      </c>
      <c r="BJ1" s="533" t="s">
        <v>158</v>
      </c>
      <c r="BK1" s="487">
        <f>(MAX(BB4:BL43)-MIN(BB4:BL43))/2</f>
        <v>14.09993881708523</v>
      </c>
      <c r="BQ1" s="532" t="s">
        <v>159</v>
      </c>
      <c r="BR1" s="487">
        <f>(MAX(BO4:BY43)+MIN(BO4:BY43))/2</f>
        <v>1.1262178874481121</v>
      </c>
      <c r="BS1" s="532" t="s">
        <v>160</v>
      </c>
      <c r="BT1" s="487">
        <f>(MAX(BO4:BY43)-MIN(BO4:BY43))/2</f>
        <v>3.2262177475466576</v>
      </c>
      <c r="BU1" s="533" t="s">
        <v>122</v>
      </c>
      <c r="BV1" s="487">
        <f>SQRT(BK1^2+BT1^2)</f>
        <v>14.464327001286021</v>
      </c>
      <c r="BZ1" s="433"/>
      <c r="CC1" s="534" t="s">
        <v>161</v>
      </c>
      <c r="CD1" s="535"/>
      <c r="CE1" s="536"/>
    </row>
    <row r="2" spans="1:85" ht="18.75" customHeight="1" thickBot="1" x14ac:dyDescent="0.45">
      <c r="B2" s="527"/>
      <c r="D2" s="537"/>
      <c r="O2" s="527" t="s">
        <v>162</v>
      </c>
      <c r="BB2" s="425">
        <f>COLUMN(BB5)</f>
        <v>54</v>
      </c>
      <c r="BC2" s="425" t="s">
        <v>163</v>
      </c>
      <c r="BO2" s="425">
        <f>COLUMN(BO5)</f>
        <v>67</v>
      </c>
      <c r="BP2" s="425" t="s">
        <v>163</v>
      </c>
      <c r="BZ2" s="433"/>
      <c r="CA2" s="538" t="s">
        <v>41</v>
      </c>
      <c r="CB2" s="539"/>
      <c r="CC2" s="540"/>
      <c r="CD2" s="541"/>
      <c r="CE2" s="538" t="s">
        <v>164</v>
      </c>
      <c r="CF2" s="539"/>
      <c r="CG2" s="540"/>
    </row>
    <row r="3" spans="1:85" ht="13.15" thickBot="1" x14ac:dyDescent="0.4">
      <c r="A3" s="542" t="s">
        <v>13</v>
      </c>
      <c r="B3" s="543">
        <v>0</v>
      </c>
      <c r="C3" s="544">
        <v>0.1</v>
      </c>
      <c r="D3" s="543">
        <v>0.2</v>
      </c>
      <c r="E3" s="544">
        <v>0.3</v>
      </c>
      <c r="F3" s="543">
        <v>0.4</v>
      </c>
      <c r="G3" s="544">
        <v>0.5</v>
      </c>
      <c r="H3" s="543">
        <v>0.6</v>
      </c>
      <c r="I3" s="544">
        <v>0.7</v>
      </c>
      <c r="J3" s="543">
        <v>0.8</v>
      </c>
      <c r="K3" s="544">
        <v>0.9</v>
      </c>
      <c r="L3" s="543">
        <v>1</v>
      </c>
      <c r="N3" s="542" t="s">
        <v>165</v>
      </c>
      <c r="O3" s="543">
        <v>0</v>
      </c>
      <c r="P3" s="544">
        <v>0.1</v>
      </c>
      <c r="Q3" s="543">
        <v>0.2</v>
      </c>
      <c r="R3" s="544">
        <v>0.3</v>
      </c>
      <c r="S3" s="543">
        <v>0.4</v>
      </c>
      <c r="T3" s="544">
        <v>0.5</v>
      </c>
      <c r="U3" s="543">
        <v>0.6</v>
      </c>
      <c r="V3" s="544">
        <v>0.7</v>
      </c>
      <c r="W3" s="543">
        <v>0.8</v>
      </c>
      <c r="X3" s="544">
        <v>0.9</v>
      </c>
      <c r="Y3" s="543">
        <v>1</v>
      </c>
      <c r="AA3" s="545" t="s">
        <v>13</v>
      </c>
      <c r="AB3" s="546">
        <v>0</v>
      </c>
      <c r="AC3" s="486">
        <v>0.1</v>
      </c>
      <c r="AD3" s="547">
        <v>0.2</v>
      </c>
      <c r="AE3" s="486">
        <v>0.3</v>
      </c>
      <c r="AF3" s="547">
        <v>0.4</v>
      </c>
      <c r="AG3" s="486">
        <v>0.5</v>
      </c>
      <c r="AH3" s="547">
        <v>0.6</v>
      </c>
      <c r="AI3" s="486">
        <v>0.7</v>
      </c>
      <c r="AJ3" s="547">
        <v>0.8</v>
      </c>
      <c r="AK3" s="486">
        <v>0.9</v>
      </c>
      <c r="AL3" s="547">
        <v>1</v>
      </c>
      <c r="AN3" s="545" t="s">
        <v>165</v>
      </c>
      <c r="AO3" s="548"/>
      <c r="AP3" s="549"/>
      <c r="AQ3" s="549"/>
      <c r="AR3" s="549"/>
      <c r="AS3" s="549"/>
      <c r="AT3" s="549"/>
      <c r="AU3" s="549"/>
      <c r="AV3" s="549"/>
      <c r="AW3" s="549"/>
      <c r="AX3" s="549"/>
      <c r="AY3" s="550"/>
      <c r="BA3" s="545" t="s">
        <v>13</v>
      </c>
      <c r="BB3" s="548">
        <v>0</v>
      </c>
      <c r="BC3" s="549">
        <v>0.1</v>
      </c>
      <c r="BD3" s="549">
        <v>0.2</v>
      </c>
      <c r="BE3" s="549">
        <v>0.3</v>
      </c>
      <c r="BF3" s="549">
        <v>0.4</v>
      </c>
      <c r="BG3" s="549">
        <v>0.5</v>
      </c>
      <c r="BH3" s="549">
        <v>0.6</v>
      </c>
      <c r="BI3" s="549">
        <v>0.7</v>
      </c>
      <c r="BJ3" s="549">
        <v>0.8</v>
      </c>
      <c r="BK3" s="549">
        <v>0.9</v>
      </c>
      <c r="BL3" s="550">
        <v>1</v>
      </c>
      <c r="BN3" s="545" t="s">
        <v>165</v>
      </c>
      <c r="BO3" s="548">
        <v>0</v>
      </c>
      <c r="BP3" s="549">
        <v>0.1</v>
      </c>
      <c r="BQ3" s="549">
        <v>0.2</v>
      </c>
      <c r="BR3" s="549">
        <v>0.3</v>
      </c>
      <c r="BS3" s="549">
        <v>0.4</v>
      </c>
      <c r="BT3" s="549">
        <v>0.5</v>
      </c>
      <c r="BU3" s="549">
        <v>0.6</v>
      </c>
      <c r="BV3" s="549">
        <v>0.7</v>
      </c>
      <c r="BW3" s="549">
        <v>0.8</v>
      </c>
      <c r="BX3" s="549">
        <v>0.9</v>
      </c>
      <c r="BY3" s="550">
        <v>1</v>
      </c>
      <c r="BZ3" s="551"/>
      <c r="CA3" s="552" t="s">
        <v>157</v>
      </c>
      <c r="CB3" s="553">
        <f>(MAX(Knoten!$C$3:$C$42)+MIN(Knoten!$C$3:$C$42))/2</f>
        <v>7.6500000953674316</v>
      </c>
      <c r="CC3" s="554">
        <f>(MAX(Knoten!$C$3:$C$42)-MIN(Knoten!$C$3:$C$42))/2</f>
        <v>14.099999904632568</v>
      </c>
      <c r="CD3" s="555"/>
      <c r="CE3" s="552" t="s">
        <v>157</v>
      </c>
      <c r="CF3" s="553">
        <f>PlotData!$BI$1</f>
        <v>7.6499388170852303</v>
      </c>
      <c r="CG3" s="554"/>
    </row>
    <row r="4" spans="1:85" x14ac:dyDescent="0.35">
      <c r="A4" s="556">
        <v>1</v>
      </c>
      <c r="B4" s="505">
        <v>-3.75</v>
      </c>
      <c r="C4" s="557">
        <v>-3.4649999999999999</v>
      </c>
      <c r="D4" s="557">
        <v>-3.1799999999999997</v>
      </c>
      <c r="E4" s="557">
        <v>-2.8949999999999996</v>
      </c>
      <c r="F4" s="557">
        <v>-2.6099999999999994</v>
      </c>
      <c r="G4" s="557">
        <v>-2.3249999999999993</v>
      </c>
      <c r="H4" s="557">
        <v>-2.0399999999999991</v>
      </c>
      <c r="I4" s="557">
        <v>-1.754999999999999</v>
      </c>
      <c r="J4" s="557">
        <v>-1.4699999999999989</v>
      </c>
      <c r="K4" s="557">
        <v>-1.1849999999999987</v>
      </c>
      <c r="L4" s="558">
        <v>-0.89999999999999869</v>
      </c>
      <c r="N4" s="556">
        <v>1</v>
      </c>
      <c r="O4" s="505">
        <v>0.9</v>
      </c>
      <c r="P4" s="557">
        <v>0.9</v>
      </c>
      <c r="Q4" s="557">
        <v>0.9</v>
      </c>
      <c r="R4" s="557">
        <v>0.9</v>
      </c>
      <c r="S4" s="557">
        <v>0.9</v>
      </c>
      <c r="T4" s="557">
        <v>0.9</v>
      </c>
      <c r="U4" s="557">
        <v>0.9</v>
      </c>
      <c r="V4" s="557">
        <v>0.9</v>
      </c>
      <c r="W4" s="557">
        <v>0.9</v>
      </c>
      <c r="X4" s="557">
        <v>0.9</v>
      </c>
      <c r="Y4" s="506">
        <v>0.9</v>
      </c>
      <c r="AA4" s="559">
        <v>1</v>
      </c>
      <c r="AB4" s="505">
        <f xml:space="preserve"> 0 + ((1 - 0)*0 + 0*0)</f>
        <v>0</v>
      </c>
      <c r="AC4" s="557">
        <f xml:space="preserve"> 0 + ((1 - 0.1)*0 + 0.1*0)</f>
        <v>0</v>
      </c>
      <c r="AD4" s="557">
        <f xml:space="preserve"> 0 + ((1 - 0.2)*0 + 0.2*0)</f>
        <v>0</v>
      </c>
      <c r="AE4" s="557">
        <f xml:space="preserve"> 0 + ((1 - 0.3)*0 + 0.3*0)</f>
        <v>0</v>
      </c>
      <c r="AF4" s="557">
        <f xml:space="preserve"> 0 + ((1 - 0.4)*0 + 0.4*0)</f>
        <v>0</v>
      </c>
      <c r="AG4" s="557">
        <f xml:space="preserve"> 0 + ((1 - 0.5)*0 + 0.5*0)</f>
        <v>0</v>
      </c>
      <c r="AH4" s="557">
        <f xml:space="preserve"> 0 + ((1 - 0.6)*0 + 0.6*0)</f>
        <v>0</v>
      </c>
      <c r="AI4" s="557">
        <f xml:space="preserve"> 0 + ((1 - 0.7)*0 + 0.7*0)</f>
        <v>0</v>
      </c>
      <c r="AJ4" s="557">
        <f xml:space="preserve"> 0 + ((1 - 0.8000001)*0 + 0.8000001*0)</f>
        <v>0</v>
      </c>
      <c r="AK4" s="557">
        <f xml:space="preserve"> 0 + ((1 - 0.9000001)*0 + 0.9000001*0)</f>
        <v>0</v>
      </c>
      <c r="AL4" s="558">
        <f xml:space="preserve"> 0 + ((1 - 1)*0 + 1*0)</f>
        <v>0</v>
      </c>
      <c r="AN4" s="559">
        <v>1</v>
      </c>
      <c r="AO4" s="505">
        <f xml:space="preserve"> 0 + ((1 - 0)*0 + 0*0)</f>
        <v>0</v>
      </c>
      <c r="AP4" s="557">
        <f xml:space="preserve"> 0.00147379748859908 + ((1 - 0.1)*0 + 0.1*0)</f>
        <v>1.47379748859908E-3</v>
      </c>
      <c r="AQ4" s="557">
        <f xml:space="preserve"> 0.00547410495765371 + ((1 - 0.2)*0 + 0.2*0)</f>
        <v>5.4741049576537103E-3</v>
      </c>
      <c r="AR4" s="557">
        <f xml:space="preserve"> 0.01136929491205 + ((1 - 0.3)*0 + 0.3*0)</f>
        <v>1.136929491205E-2</v>
      </c>
      <c r="AS4" s="557">
        <f xml:space="preserve"> 0.0185277398566741 + ((1 - 0.4)*0 + 0.4*0)</f>
        <v>1.8527739856674101E-2</v>
      </c>
      <c r="AT4" s="557">
        <f xml:space="preserve"> 0.0263178122964121 + ((1 - 0.5)*0 + 0.5*0)</f>
        <v>2.6317812296412099E-2</v>
      </c>
      <c r="AU4" s="557">
        <f xml:space="preserve"> 0.03410788473615 + ((1 - 0.6)*0 + 0.6*0)</f>
        <v>3.410788473615E-2</v>
      </c>
      <c r="AV4" s="557">
        <f xml:space="preserve"> 0.0412663296807741 + ((1 - 0.7)*0 + 0.7*0)</f>
        <v>4.1266329680774101E-2</v>
      </c>
      <c r="AW4" s="557">
        <f xml:space="preserve"> 0.0471615196351704 + ((1 - 0.8000001)*0 + 0.8000001*0)</f>
        <v>4.7161519635170401E-2</v>
      </c>
      <c r="AX4" s="557">
        <f xml:space="preserve"> 0.051161827104225 + ((1 - 0.9000001)*0 + 0.9000001*0)</f>
        <v>5.1161827104224997E-2</v>
      </c>
      <c r="AY4" s="506">
        <f xml:space="preserve"> 0.0526356245928241 + ((1 - 1)*0 + 1*0)</f>
        <v>5.2635624592824101E-2</v>
      </c>
      <c r="BA4" s="560">
        <v>1</v>
      </c>
      <c r="BB4" s="505">
        <f>IF(ISNUMBER(System!$C4),PlotData!B4+ $BF$1*AB4,$CB$3)</f>
        <v>-3.75</v>
      </c>
      <c r="BC4" s="557">
        <f>IF(ISNUMBER(System!$C4),PlotData!C4+ $BF$1*AC4,$CB$3)</f>
        <v>-3.4649999999999999</v>
      </c>
      <c r="BD4" s="557">
        <f>IF(ISNUMBER(System!$C4),PlotData!D4+ $BF$1*AD4,$CB$3)</f>
        <v>-3.1799999999999997</v>
      </c>
      <c r="BE4" s="557">
        <f>IF(ISNUMBER(System!$C4),PlotData!E4+ $BF$1*AE4,$CB$3)</f>
        <v>-2.8949999999999996</v>
      </c>
      <c r="BF4" s="557">
        <f>IF(ISNUMBER(System!$C4),PlotData!F4+ $BF$1*AF4,$CB$3)</f>
        <v>-2.6099999999999994</v>
      </c>
      <c r="BG4" s="557">
        <f>IF(ISNUMBER(System!$C4),PlotData!G4+ $BF$1*AG4,$CB$3)</f>
        <v>-2.3249999999999993</v>
      </c>
      <c r="BH4" s="557">
        <f>IF(ISNUMBER(System!$C4),PlotData!H4+ $BF$1*AH4,$CB$3)</f>
        <v>-2.0399999999999991</v>
      </c>
      <c r="BI4" s="557">
        <f>IF(ISNUMBER(System!$C4),PlotData!I4+ $BF$1*AI4,$CB$3)</f>
        <v>-1.754999999999999</v>
      </c>
      <c r="BJ4" s="557">
        <f>IF(ISNUMBER(System!$C4),PlotData!J4+ $BF$1*AJ4,$CB$3)</f>
        <v>-1.4699999999999989</v>
      </c>
      <c r="BK4" s="557">
        <f>IF(ISNUMBER(System!$C4),PlotData!K4+ $BF$1*AK4,$CB$3)</f>
        <v>-1.1849999999999987</v>
      </c>
      <c r="BL4" s="558">
        <f>IF(ISNUMBER(System!$C4),PlotData!L4+ $BF$1*AL4,$CB$3)</f>
        <v>-0.89999999999999869</v>
      </c>
      <c r="BN4" s="560">
        <v>1</v>
      </c>
      <c r="BO4" s="505">
        <f>IF(ISNUMBER(System!$C4),O4+ $BF$1*AO4,$CB$4)</f>
        <v>0.9</v>
      </c>
      <c r="BP4" s="557">
        <f>IF(ISNUMBER(System!$C4),P4+ $BF$1*AP4,$CB$4)</f>
        <v>0.90156413337047359</v>
      </c>
      <c r="BQ4" s="557">
        <f>IF(ISNUMBER(System!$C4),Q4+ $BF$1*AQ4,$CB$4)</f>
        <v>0.90580963823318739</v>
      </c>
      <c r="BR4" s="557">
        <f>IF(ISNUMBER(System!$C4),R4+ $BF$1*AR4,$CB$4)</f>
        <v>0.91206617171508153</v>
      </c>
      <c r="BS4" s="557">
        <f>IF(ISNUMBER(System!$C4),S4+ $BF$1*AS4,$CB$4)</f>
        <v>0.91966339094309579</v>
      </c>
      <c r="BT4" s="557">
        <f>IF(ISNUMBER(System!$C4),T4+ $BF$1*AT4,$CB$4)</f>
        <v>0.92793095304417017</v>
      </c>
      <c r="BU4" s="557">
        <f>IF(ISNUMBER(System!$C4),U4+ $BF$1*AU4,$CB$4)</f>
        <v>0.93619851514524444</v>
      </c>
      <c r="BV4" s="557">
        <f>IF(ISNUMBER(System!$C4),V4+ $BF$1*AV4,$CB$4)</f>
        <v>0.9437957343732587</v>
      </c>
      <c r="BW4" s="557">
        <f>IF(ISNUMBER(System!$C4),W4+ $BF$1*AW4,$CB$4)</f>
        <v>0.95005226785515284</v>
      </c>
      <c r="BX4" s="557">
        <f>IF(ISNUMBER(System!$C4),X4+ $BF$1*AX4,$CB$4)</f>
        <v>0.95429777271786664</v>
      </c>
      <c r="BY4" s="506">
        <f>IF(ISNUMBER(System!$C4),Y4+ $BF$1*AY4,$CB$4)</f>
        <v>0.95586190608834021</v>
      </c>
      <c r="BZ4" s="465"/>
      <c r="CA4" s="561" t="s">
        <v>166</v>
      </c>
      <c r="CB4" s="562">
        <f>(MAX(Knoten!$D$3:$D$42)+MIN(Knoten!$D$3:$D$42))/2</f>
        <v>0.75</v>
      </c>
      <c r="CC4" s="563">
        <f>(MAX(Knoten!$D$3:$D$42)-MIN(Knoten!$D$3:$D$42))/2</f>
        <v>2.8499999046325684</v>
      </c>
      <c r="CD4" s="555"/>
      <c r="CE4" s="561" t="s">
        <v>166</v>
      </c>
      <c r="CF4" s="562">
        <f>PlotData!$BR$1</f>
        <v>1.1262178874481121</v>
      </c>
      <c r="CG4" s="563"/>
    </row>
    <row r="5" spans="1:85" x14ac:dyDescent="0.35">
      <c r="A5" s="564">
        <v>2</v>
      </c>
      <c r="B5" s="565">
        <v>-0.9</v>
      </c>
      <c r="C5" s="566">
        <v>-0.55491829999999998</v>
      </c>
      <c r="D5" s="566">
        <v>-0.20983659999999998</v>
      </c>
      <c r="E5" s="566">
        <v>0.13524510000000001</v>
      </c>
      <c r="F5" s="566">
        <v>0.4803268</v>
      </c>
      <c r="G5" s="566">
        <v>0.82540849999999999</v>
      </c>
      <c r="H5" s="566">
        <v>1.1704901999999999</v>
      </c>
      <c r="I5" s="566">
        <v>1.5155718999999999</v>
      </c>
      <c r="J5" s="566">
        <v>1.8606535999999998</v>
      </c>
      <c r="K5" s="566">
        <v>2.2057352999999997</v>
      </c>
      <c r="L5" s="567">
        <v>2.5508169999999999</v>
      </c>
      <c r="N5" s="564">
        <v>2</v>
      </c>
      <c r="O5" s="565">
        <v>0.9</v>
      </c>
      <c r="P5" s="566">
        <v>0.89998359999999999</v>
      </c>
      <c r="Q5" s="566">
        <v>0.89996719999999997</v>
      </c>
      <c r="R5" s="566">
        <v>0.89995079999999994</v>
      </c>
      <c r="S5" s="566">
        <v>0.89993439999999991</v>
      </c>
      <c r="T5" s="566">
        <v>0.89991799999999988</v>
      </c>
      <c r="U5" s="566">
        <v>0.89990159999999986</v>
      </c>
      <c r="V5" s="566">
        <v>0.89988519999999983</v>
      </c>
      <c r="W5" s="566">
        <v>0.8998687999999998</v>
      </c>
      <c r="X5" s="566">
        <v>0.89985239999999977</v>
      </c>
      <c r="Y5" s="567">
        <v>0.89983599999999975</v>
      </c>
      <c r="AA5" s="568">
        <v>2</v>
      </c>
      <c r="AB5" s="565">
        <f xml:space="preserve"> 2.41123148559208E-22 + ((1 - 0)*0 + 0*0)</f>
        <v>2.4112314855920799E-22</v>
      </c>
      <c r="AC5" s="566">
        <f xml:space="preserve"> 4.94586096359685E-07 + ((1 - 0.1)*0 + 0.1*0)</f>
        <v>4.9458609635968498E-7</v>
      </c>
      <c r="AD5" s="566">
        <f xml:space="preserve"> 9.39170607803627E-07 + ((1 - 0.2)*0 + 0.2*0)</f>
        <v>9.39170607803627E-7</v>
      </c>
      <c r="AE5" s="566">
        <f xml:space="preserve"> 1.28375194941609E-06 + ((1 - 0.3)*0 + 0.3*0)</f>
        <v>1.2837519494160901E-6</v>
      </c>
      <c r="AF5" s="566">
        <f xml:space="preserve"> 1.47832853628132E-06 + ((1 - 0.4)*0 + 0.4*0)</f>
        <v>1.47832853628132E-6</v>
      </c>
      <c r="AG5" s="566">
        <f xml:space="preserve"> 1.47289878348358E-06 + ((1 - 0.5)*0 + 0.5*0)</f>
        <v>1.47289878348358E-6</v>
      </c>
      <c r="AH5" s="566">
        <f xml:space="preserve"> 1.21746110610714E-06 + ((1 - 0.6)*0 + 0.6*0)</f>
        <v>1.2174611061071401E-6</v>
      </c>
      <c r="AI5" s="566">
        <f xml:space="preserve"> 6.6201391923624E-07 + ((1 - 0.7)*0 + 0.7*0)</f>
        <v>6.6201391923623999E-7</v>
      </c>
      <c r="AJ5" s="566">
        <f xml:space="preserve"> -2.43444362044852E-07 + ((1 - 0.8000001)*0 + 0.8000001*0)</f>
        <v>-2.4344436204485199E-7</v>
      </c>
      <c r="AK5" s="566">
        <f xml:space="preserve"> -1.54891532265188E-06 + ((1 - 0.9000001)*0 + 0.9000001*0)</f>
        <v>-1.5489153226518799E-6</v>
      </c>
      <c r="AL5" s="567">
        <f xml:space="preserve"> -3.30440054750058E-06 + ((1 - 1)*0 + 1*0)</f>
        <v>-3.30440054750058E-6</v>
      </c>
      <c r="AN5" s="568">
        <v>2</v>
      </c>
      <c r="AO5" s="565">
        <f xml:space="preserve"> 0.0526356245928241 + ((1 - 0)*0 + 0*0)</f>
        <v>5.2635624592824101E-2</v>
      </c>
      <c r="AP5" s="566">
        <f xml:space="preserve"> 0.0630424911118466 + ((1 - 0.1)*0 + 0.1*0)</f>
        <v>6.3042491111846594E-2</v>
      </c>
      <c r="AQ5" s="566">
        <f xml:space="preserve"> 0.0723972459281 + ((1 - 0.2)*0 + 0.2*0)</f>
        <v>7.2397245928099999E-2</v>
      </c>
      <c r="AR5" s="566">
        <f xml:space="preserve"> 0.0796477773388152 + ((1 - 0.3)*0 + 0.3*0)</f>
        <v>7.9647777338815201E-2</v>
      </c>
      <c r="AS5" s="566">
        <f xml:space="preserve"> 0.0837419736412231 + ((1 - 0.4)*0 + 0.4*0)</f>
        <v>8.37419736412231E-2</v>
      </c>
      <c r="AT5" s="566">
        <f xml:space="preserve"> 0.0836277231325548 + ((1 - 0.5)*0 + 0.5*0)</f>
        <v>8.3627723132554801E-2</v>
      </c>
      <c r="AU5" s="566">
        <f xml:space="preserve"> 0.0782529141100409 + ((1 - 0.6)*0 + 0.6*0)</f>
        <v>7.82529141100409E-2</v>
      </c>
      <c r="AV5" s="566">
        <f xml:space="preserve"> 0.0665654348709126 + ((1 - 0.7)*0 + 0.7*0)</f>
        <v>6.6565434870912599E-2</v>
      </c>
      <c r="AW5" s="566">
        <f xml:space="preserve"> 0.0475131737124006 + ((1 - 0.8000001)*0 + 0.8000001*0)</f>
        <v>4.7513173712400603E-2</v>
      </c>
      <c r="AX5" s="566">
        <f xml:space="preserve"> 0.020044018931736 + ((1 - 0.9000001)*0 + 0.9000001*0)</f>
        <v>2.0044018931736001E-2</v>
      </c>
      <c r="AY5" s="567">
        <f xml:space="preserve"> -0.0168941411738504 + ((1 - 1)*0 + 1*0)</f>
        <v>-1.6894141173850401E-2</v>
      </c>
      <c r="BA5" s="569">
        <v>2</v>
      </c>
      <c r="BB5" s="565">
        <f>IF(ISNUMBER(System!$C5),PlotData!B5+ $BF$1*AB5,$CB$3)</f>
        <v>-0.9</v>
      </c>
      <c r="BC5" s="566">
        <f>IF(ISNUMBER(System!$C5),PlotData!C5+ $BF$1*AC5,$CB$3)</f>
        <v>-0.55491777509842843</v>
      </c>
      <c r="BD5" s="566">
        <f>IF(ISNUMBER(System!$C5),PlotData!D5+ $BF$1*AD5,$CB$3)</f>
        <v>-0.20983560326327083</v>
      </c>
      <c r="BE5" s="566">
        <f>IF(ISNUMBER(System!$C5),PlotData!E5+ $BF$1*AE5,$CB$3)</f>
        <v>0.135246462439059</v>
      </c>
      <c r="BF5" s="566">
        <f>IF(ISNUMBER(System!$C5),PlotData!F5+ $BF$1*AF5,$CB$3)</f>
        <v>0.48032836894214709</v>
      </c>
      <c r="BG5" s="566">
        <f>IF(ISNUMBER(System!$C5),PlotData!G5+ $BF$1*AG5,$CB$3)</f>
        <v>0.82541006317957955</v>
      </c>
      <c r="BH5" s="566">
        <f>IF(ISNUMBER(System!$C5),PlotData!H5+ $BF$1*AH5,$CB$3)</f>
        <v>1.1704914920849425</v>
      </c>
      <c r="BI5" s="566">
        <f>IF(ISNUMBER(System!$C5),PlotData!I5+ $BF$1*AI5,$CB$3)</f>
        <v>1.5155726025918219</v>
      </c>
      <c r="BJ5" s="566">
        <f>IF(ISNUMBER(System!$C5),PlotData!J5+ $BF$1*AJ5,$CB$3)</f>
        <v>1.860653341633804</v>
      </c>
      <c r="BK5" s="566">
        <f>IF(ISNUMBER(System!$C5),PlotData!K5+ $BF$1*AK5,$CB$3)</f>
        <v>2.2057336561444747</v>
      </c>
      <c r="BL5" s="567">
        <f>IF(ISNUMBER(System!$C5),PlotData!L5+ $BF$1*AL5,$CB$3)</f>
        <v>2.5508134930574209</v>
      </c>
      <c r="BN5" s="569">
        <v>2</v>
      </c>
      <c r="BO5" s="565">
        <f>IF(ISNUMBER(System!$C5),O5+ $BF$1*AO5,$CB$4)</f>
        <v>0.95586190608834021</v>
      </c>
      <c r="BP5" s="566">
        <f>IF(ISNUMBER(System!$C5),P5+ $BF$1*AP5,$CB$4)</f>
        <v>0.96689025771153614</v>
      </c>
      <c r="BQ5" s="566">
        <f>IF(ISNUMBER(System!$C5),Q5+ $BF$1*AQ5,$CB$4)</f>
        <v>0.97680200882720158</v>
      </c>
      <c r="BR5" s="566">
        <f>IF(ISNUMBER(System!$C5),R5+ $BF$1*AR5,$CB$4)</f>
        <v>0.98448055892780606</v>
      </c>
      <c r="BS5" s="566">
        <f>IF(ISNUMBER(System!$C5),S5+ $BF$1*AS5,$CB$4)</f>
        <v>0.98880930750581908</v>
      </c>
      <c r="BT5" s="566">
        <f>IF(ISNUMBER(System!$C5),T5+ $BF$1*AT5,$CB$4)</f>
        <v>0.98867165405371049</v>
      </c>
      <c r="BU5" s="566">
        <f>IF(ISNUMBER(System!$C5),U5+ $BF$1*AU5,$CB$4)</f>
        <v>0.98295099806394926</v>
      </c>
      <c r="BV5" s="566">
        <f>IF(ISNUMBER(System!$C5),V5+ $BF$1*AV5,$CB$4)</f>
        <v>0.97053073902900544</v>
      </c>
      <c r="BW5" s="566">
        <f>IF(ISNUMBER(System!$C5),W5+ $BF$1*AW5,$CB$4)</f>
        <v>0.95029427644134834</v>
      </c>
      <c r="BX5" s="566">
        <f>IF(ISNUMBER(System!$C5),X5+ $BF$1*AX5,$CB$4)</f>
        <v>0.92112500979344758</v>
      </c>
      <c r="BY5" s="567">
        <f>IF(ISNUMBER(System!$C5),Y5+ $BF$1*AY5,$CB$4)</f>
        <v>0.88190633857777256</v>
      </c>
      <c r="CA5" s="561" t="s">
        <v>122</v>
      </c>
      <c r="CB5" s="562">
        <f>SQRT(CC3^2+CC4^2)*CB6</f>
        <v>17.262178174973847</v>
      </c>
      <c r="CC5" s="570"/>
      <c r="CD5" s="555"/>
      <c r="CE5" s="561" t="s">
        <v>122</v>
      </c>
      <c r="CF5" s="562">
        <f>CF6 * PlotData!$BV$1</f>
        <v>14.464327001286021</v>
      </c>
      <c r="CG5" s="563"/>
    </row>
    <row r="6" spans="1:85" x14ac:dyDescent="0.35">
      <c r="A6" s="564">
        <v>3</v>
      </c>
      <c r="B6" s="565">
        <v>-0.9</v>
      </c>
      <c r="C6" s="566">
        <v>-0.42</v>
      </c>
      <c r="D6" s="566">
        <v>6.0000000000000053E-2</v>
      </c>
      <c r="E6" s="566">
        <v>0.54</v>
      </c>
      <c r="F6" s="566">
        <v>1.02</v>
      </c>
      <c r="G6" s="566">
        <v>1.5</v>
      </c>
      <c r="H6" s="566">
        <v>1.98</v>
      </c>
      <c r="I6" s="566">
        <v>2.46</v>
      </c>
      <c r="J6" s="566">
        <v>2.94</v>
      </c>
      <c r="K6" s="566">
        <v>3.42</v>
      </c>
      <c r="L6" s="567">
        <v>3.9</v>
      </c>
      <c r="N6" s="564">
        <v>3</v>
      </c>
      <c r="O6" s="565">
        <v>0.9</v>
      </c>
      <c r="P6" s="566">
        <v>0.6</v>
      </c>
      <c r="Q6" s="566">
        <v>0.29999999999999993</v>
      </c>
      <c r="R6" s="566">
        <v>-1.1102230246251565E-16</v>
      </c>
      <c r="S6" s="566">
        <v>-0.30000000000000016</v>
      </c>
      <c r="T6" s="566">
        <v>-0.6000000000000002</v>
      </c>
      <c r="U6" s="566">
        <v>-0.90000000000000024</v>
      </c>
      <c r="V6" s="566">
        <v>-1.2000000000000002</v>
      </c>
      <c r="W6" s="566">
        <v>-1.5000000000000002</v>
      </c>
      <c r="X6" s="566">
        <v>-1.8000000000000003</v>
      </c>
      <c r="Y6" s="567">
        <v>-2.1000000000000005</v>
      </c>
      <c r="AA6" s="568">
        <v>3</v>
      </c>
      <c r="AB6" s="565">
        <f xml:space="preserve"> -6.20028117390148E-19 + ((1 - 0)*0 + 0*0)</f>
        <v>-6.2002811739014804E-19</v>
      </c>
      <c r="AC6" s="566">
        <f xml:space="preserve"> 0.00166613477436442 + ((1 - 0.1)*0 + 0.1*0)</f>
        <v>1.6661347743644199E-3</v>
      </c>
      <c r="AD6" s="566">
        <f xml:space="preserve"> 0.00219608425685245 + ((1 - 0.2)*0 + 0.2*0)</f>
        <v>2.19608425685245E-3</v>
      </c>
      <c r="AE6" s="566">
        <f xml:space="preserve"> 0.0018738947704332 + ((1 - 0.3)*0 + 0.3*0)</f>
        <v>1.8738947704332E-3</v>
      </c>
      <c r="AF6" s="566">
        <f xml:space="preserve"> 0.000983612638075756 + ((1 - 0.4)*0 + 0.4*0)</f>
        <v>9.8361263807575611E-4</v>
      </c>
      <c r="AG6" s="566">
        <f xml:space="preserve"> -0.000190715817250778 + ((1 - 0.5)*0 + 0.5*0)</f>
        <v>-1.90715817250778E-4</v>
      </c>
      <c r="AH6" s="566">
        <f xml:space="preserve"> -0.00136504427257731 + ((1 - 0.6)*0 + 0.6*0)</f>
        <v>-1.3650442725773101E-3</v>
      </c>
      <c r="AI6" s="566">
        <f xml:space="preserve"> -0.00225532640493476 + ((1 - 0.7)*0 + 0.7*0)</f>
        <v>-2.25532640493476E-3</v>
      </c>
      <c r="AJ6" s="566">
        <f xml:space="preserve"> -0.00257751589135401 + ((1 - 0.8000001)*0 + 0.8000001*0)</f>
        <v>-2.57751589135401E-3</v>
      </c>
      <c r="AK6" s="566">
        <f xml:space="preserve"> -0.00204756640886597 + ((1 - 0.9000001)*0 + 0.9000001*0)</f>
        <v>-2.04756640886597E-3</v>
      </c>
      <c r="AL6" s="567">
        <f xml:space="preserve"> -0.000381431634501558 + ((1 - 1)*0 + 1*0)</f>
        <v>-3.8143163450155801E-4</v>
      </c>
      <c r="AN6" s="568">
        <v>3</v>
      </c>
      <c r="AO6" s="565">
        <f xml:space="preserve"> 0.0526356245928241 + ((1 - 0)*0 + 0*0)</f>
        <v>5.2635624592824101E-2</v>
      </c>
      <c r="AP6" s="566">
        <f xml:space="preserve"> 0.0501196165320984 + ((1 - 0.1)*0 + 0.1*0)</f>
        <v>5.0119616532098399E-2</v>
      </c>
      <c r="AQ6" s="566">
        <f xml:space="preserve"> 0.0457857120043706 + ((1 - 0.2)*0 + 0.2*0)</f>
        <v>4.57857120043706E-2</v>
      </c>
      <c r="AR6" s="566">
        <f xml:space="preserve"> 0.0400883851263911 + ((1 - 0.3)*0 + 0.3*0)</f>
        <v>4.0088385126391103E-2</v>
      </c>
      <c r="AS6" s="566">
        <f xml:space="preserve"> 0.0334821100149105 + ((1 - 0.4)*0 + 0.4*0)</f>
        <v>3.3482110014910499E-2</v>
      </c>
      <c r="AT6" s="566">
        <f xml:space="preserve"> 0.0264213607866793 + ((1 - 0.5)*0 + 0.5*0)</f>
        <v>2.6421360786679299E-2</v>
      </c>
      <c r="AU6" s="566">
        <f xml:space="preserve"> 0.0193606115584481 + ((1 - 0.6)*0 + 0.6*0)</f>
        <v>1.93606115584481E-2</v>
      </c>
      <c r="AV6" s="566">
        <f xml:space="preserve"> 0.0127543364469675 + ((1 - 0.7)*0 + 0.7*0)</f>
        <v>1.2754336446967499E-2</v>
      </c>
      <c r="AW6" s="566">
        <f xml:space="preserve"> 0.00705700956898799 + ((1 - 0.8000001)*0 + 0.8000001*0)</f>
        <v>7.0570095689879899E-3</v>
      </c>
      <c r="AX6" s="566">
        <f xml:space="preserve"> 0.00272310504126013 + ((1 - 0.9000001)*0 + 0.9000001*0)</f>
        <v>2.7231050412601298E-3</v>
      </c>
      <c r="AY6" s="567">
        <f xml:space="preserve"> 0.000207096980534485 + ((1 - 1)*0 + 1*0)</f>
        <v>2.07096980534485E-4</v>
      </c>
      <c r="BA6" s="569">
        <v>3</v>
      </c>
      <c r="BB6" s="565">
        <f>IF(ISNUMBER(System!$C6),PlotData!B6+ $BF$1*AB6,$CB$3)</f>
        <v>-0.9</v>
      </c>
      <c r="BC6" s="566">
        <f>IF(ISNUMBER(System!$C6),PlotData!C6+ $BF$1*AC6,$CB$3)</f>
        <v>-0.41823174009967479</v>
      </c>
      <c r="BD6" s="566">
        <f>IF(ISNUMBER(System!$C6),PlotData!D6+ $BF$1*AD6,$CB$3)</f>
        <v>6.2330692443898564E-2</v>
      </c>
      <c r="BE6" s="566">
        <f>IF(ISNUMBER(System!$C6),PlotData!E6+ $BF$1*AE6,$CB$3)</f>
        <v>0.54198875446990791</v>
      </c>
      <c r="BF6" s="566">
        <f>IF(ISNUMBER(System!$C6),PlotData!F6+ $BF$1*AF6,$CB$3)</f>
        <v>1.0210439028175413</v>
      </c>
      <c r="BG6" s="566">
        <f>IF(ISNUMBER(System!$C6),PlotData!G6+ $BF$1*AG6,$CB$3)</f>
        <v>1.4997975943259867</v>
      </c>
      <c r="BH6" s="566">
        <f>IF(ISNUMBER(System!$C6),PlotData!H6+ $BF$1*AH6,$CB$3)</f>
        <v>1.9785512858344321</v>
      </c>
      <c r="BI6" s="566">
        <f>IF(ISNUMBER(System!$C6),PlotData!I6+ $BF$1*AI6,$CB$3)</f>
        <v>2.4576064341820656</v>
      </c>
      <c r="BJ6" s="566">
        <f>IF(ISNUMBER(System!$C6),PlotData!J6+ $BF$1*AJ6,$CB$3)</f>
        <v>2.9372644962080749</v>
      </c>
      <c r="BK6" s="566">
        <f>IF(ISNUMBER(System!$C6),PlotData!K6+ $BF$1*AK6,$CB$3)</f>
        <v>3.4178269287516478</v>
      </c>
      <c r="BL6" s="567">
        <f>IF(ISNUMBER(System!$C6),PlotData!L6+ $BF$1*AL6,$CB$3)</f>
        <v>3.8995951886519733</v>
      </c>
      <c r="BN6" s="569">
        <v>3</v>
      </c>
      <c r="BO6" s="565">
        <f>IF(ISNUMBER(System!$C6),O6+ $BF$1*AO6,$CB$4)</f>
        <v>0.95586190608834021</v>
      </c>
      <c r="BP6" s="566">
        <f>IF(ISNUMBER(System!$C6),P6+ $BF$1*AP6,$CB$4)</f>
        <v>0.65319168022718588</v>
      </c>
      <c r="BQ6" s="566">
        <f>IF(ISNUMBER(System!$C6),Q6+ $BF$1*AQ6,$CB$4)</f>
        <v>0.34859213059522864</v>
      </c>
      <c r="BR6" s="566">
        <f>IF(ISNUMBER(System!$C6),R6+ $BF$1*AR6,$CB$4)</f>
        <v>4.2545588135169024E-2</v>
      </c>
      <c r="BS6" s="566">
        <f>IF(ISNUMBER(System!$C6),S6+ $BF$1*AS6,$CB$4)</f>
        <v>-0.26446561621029213</v>
      </c>
      <c r="BT6" s="566">
        <f>IF(ISNUMBER(System!$C6),T6+ $BF$1*AT6,$CB$4)</f>
        <v>-0.57195915149845411</v>
      </c>
      <c r="BU6" s="566">
        <f>IF(ISNUMBER(System!$C6),U6+ $BF$1*AU6,$CB$4)</f>
        <v>-0.87945268678661614</v>
      </c>
      <c r="BV6" s="566">
        <f>IF(ISNUMBER(System!$C6),V6+ $BF$1*AV6,$CB$4)</f>
        <v>-1.1864638911320771</v>
      </c>
      <c r="BW6" s="566">
        <f>IF(ISNUMBER(System!$C6),W6+ $BF$1*AW6,$CB$4)</f>
        <v>-1.4925104335921369</v>
      </c>
      <c r="BX6" s="566">
        <f>IF(ISNUMBER(System!$C6),X6+ $BF$1*AX6,$CB$4)</f>
        <v>-1.7971099832240942</v>
      </c>
      <c r="BY6" s="567">
        <f>IF(ISNUMBER(System!$C6),Y6+ $BF$1*AY6,$CB$4)</f>
        <v>-2.0997802090852487</v>
      </c>
      <c r="CA6" s="561" t="s">
        <v>167</v>
      </c>
      <c r="CB6" s="562">
        <v>1.2</v>
      </c>
      <c r="CC6" s="563"/>
      <c r="CD6" s="555"/>
      <c r="CE6" s="561" t="s">
        <v>167</v>
      </c>
      <c r="CF6" s="562">
        <v>1</v>
      </c>
      <c r="CG6" s="563"/>
    </row>
    <row r="7" spans="1:85" x14ac:dyDescent="0.35">
      <c r="A7" s="564">
        <v>4</v>
      </c>
      <c r="B7" s="565">
        <v>8.6999999999999993</v>
      </c>
      <c r="C7" s="566">
        <v>8.2199999999999989</v>
      </c>
      <c r="D7" s="566">
        <v>7.7399999999999984</v>
      </c>
      <c r="E7" s="566">
        <v>7.259999999999998</v>
      </c>
      <c r="F7" s="566">
        <v>6.7799999999999976</v>
      </c>
      <c r="G7" s="566">
        <v>6.2999999999999972</v>
      </c>
      <c r="H7" s="566">
        <v>5.8199999999999967</v>
      </c>
      <c r="I7" s="566">
        <v>5.3399999999999963</v>
      </c>
      <c r="J7" s="566">
        <v>4.8599999999999959</v>
      </c>
      <c r="K7" s="566">
        <v>4.3799999999999955</v>
      </c>
      <c r="L7" s="567">
        <v>3.8999999999999955</v>
      </c>
      <c r="N7" s="564">
        <v>4</v>
      </c>
      <c r="O7" s="565">
        <v>0.9</v>
      </c>
      <c r="P7" s="566">
        <v>0.6</v>
      </c>
      <c r="Q7" s="566">
        <v>0.29999999999999993</v>
      </c>
      <c r="R7" s="566">
        <v>-1.1102230246251565E-16</v>
      </c>
      <c r="S7" s="566">
        <v>-0.30000000000000016</v>
      </c>
      <c r="T7" s="566">
        <v>-0.6000000000000002</v>
      </c>
      <c r="U7" s="566">
        <v>-0.90000000000000024</v>
      </c>
      <c r="V7" s="566">
        <v>-1.2000000000000002</v>
      </c>
      <c r="W7" s="566">
        <v>-1.5000000000000002</v>
      </c>
      <c r="X7" s="566">
        <v>-1.8000000000000003</v>
      </c>
      <c r="Y7" s="567">
        <v>-2.1000000000000005</v>
      </c>
      <c r="AA7" s="568">
        <v>4</v>
      </c>
      <c r="AB7" s="565">
        <f xml:space="preserve"> -0.00011529855538152 + ((1 - 0)*0 + 0*0)</f>
        <v>-1.1529855538152E-4</v>
      </c>
      <c r="AC7" s="566">
        <f xml:space="preserve"> -0.105396792924158 + ((1 - 0.1)*0 + 0.1*0)</f>
        <v>-0.105396792924158</v>
      </c>
      <c r="AD7" s="566">
        <f xml:space="preserve"> -0.140508366585691 + ((1 - 0.2)*0 + 0.2*0)</f>
        <v>-0.14050836658569099</v>
      </c>
      <c r="AE7" s="566">
        <f xml:space="preserve"> -0.122992499716793 + ((1 - 0.3)*0 + 0.3*0)</f>
        <v>-0.12299249971679301</v>
      </c>
      <c r="AF7" s="566">
        <f xml:space="preserve"> -0.0703916724942723 + ((1 - 0.4)*0 + 0.4*0)</f>
        <v>-7.0391672494272306E-2</v>
      </c>
      <c r="AG7" s="566">
        <f xml:space="preserve"> -0.000248365094941617 + ((1 - 0.5)*0 + 0.5*0)</f>
        <v>-2.4836509494161703E-4</v>
      </c>
      <c r="AH7" s="566">
        <f xml:space="preserve"> 0.0698949423043895 + ((1 - 0.6)*0 + 0.6*0)</f>
        <v>6.9894942304389501E-2</v>
      </c>
      <c r="AI7" s="566">
        <f xml:space="preserve"> 0.12249576952691 + ((1 - 0.7)*0 + 0.7*0)</f>
        <v>0.12249576952691001</v>
      </c>
      <c r="AJ7" s="566">
        <f xml:space="preserve"> 0.140011636395808 + ((1 - 0.8000001)*0 + 0.8000001*0)</f>
        <v>0.14001163639580799</v>
      </c>
      <c r="AK7" s="566">
        <f xml:space="preserve"> 0.104900062734275 + ((1 - 0.9000001)*0 + 0.9000001*0)</f>
        <v>0.104900062734275</v>
      </c>
      <c r="AL7" s="567">
        <f xml:space="preserve"> -0.000381431634501393 + ((1 - 1)*0 + 1*0)</f>
        <v>-3.81431634501393E-4</v>
      </c>
      <c r="AN7" s="568">
        <v>4</v>
      </c>
      <c r="AO7" s="565">
        <f xml:space="preserve"> 3.25304162960531 + ((1 - 0)*0 + 0*0)</f>
        <v>3.2530416296053102</v>
      </c>
      <c r="AP7" s="566">
        <f xml:space="preserve"> 3.09616598604021 + ((1 - 0.1)*0 + 0.1*0)</f>
        <v>3.09616598604021</v>
      </c>
      <c r="AQ7" s="566">
        <f xml:space="preserve"> 2.82701846934353 + ((1 - 0.2)*0 + 0.2*0)</f>
        <v>2.8270184693435301</v>
      </c>
      <c r="AR7" s="566">
        <f xml:space="preserve"> 2.47366704779816 + ((1 - 0.3)*0 + 0.3*0)</f>
        <v>2.4736670477981599</v>
      </c>
      <c r="AS7" s="566">
        <f xml:space="preserve"> 2.06417968968699 + ((1 - 0.4)*0 + 0.4*0)</f>
        <v>2.0641796896869899</v>
      </c>
      <c r="AT7" s="566">
        <f xml:space="preserve"> 1.62662436329292 + ((1 - 0.5)*0 + 0.5*0)</f>
        <v>1.62662436329292</v>
      </c>
      <c r="AU7" s="566">
        <f xml:space="preserve"> 1.18906903689886 + ((1 - 0.6)*0 + 0.6*0)</f>
        <v>1.1890690368988599</v>
      </c>
      <c r="AV7" s="566">
        <f xml:space="preserve"> 0.779581678787686 + ((1 - 0.7)*0 + 0.7*0)</f>
        <v>0.77958167878768603</v>
      </c>
      <c r="AW7" s="566">
        <f xml:space="preserve"> 0.426230257242312 + ((1 - 0.8000001)*0 + 0.8000001*0)</f>
        <v>0.42623025724231201</v>
      </c>
      <c r="AX7" s="566">
        <f xml:space="preserve"> 0.157082740545629 + ((1 - 0.9000001)*0 + 0.9000001*0)</f>
        <v>0.15708274054562901</v>
      </c>
      <c r="AY7" s="567">
        <f xml:space="preserve"> 0.000207096980534585 + ((1 - 1)*0 + 1*0)</f>
        <v>2.0709698053458499E-4</v>
      </c>
      <c r="BA7" s="569">
        <v>4</v>
      </c>
      <c r="BB7" s="565">
        <f>IF(ISNUMBER(System!$C7),PlotData!B7+ $BF$1*AB7,$CB$3)</f>
        <v>8.6998776342615347</v>
      </c>
      <c r="BC7" s="566">
        <f>IF(ISNUMBER(System!$C7),PlotData!C7+ $BF$1*AC7,$CB$3)</f>
        <v>8.1081429489269468</v>
      </c>
      <c r="BD7" s="566">
        <f>IF(ISNUMBER(System!$C7),PlotData!D7+ $BF$1*AD7,$CB$3)</f>
        <v>7.5908792241081127</v>
      </c>
      <c r="BE7" s="566">
        <f>IF(ISNUMBER(System!$C7),PlotData!E7+ $BF$1*AE7,$CB$3)</f>
        <v>7.129468719676094</v>
      </c>
      <c r="BF7" s="566">
        <f>IF(ISNUMBER(System!$C7),PlotData!F7+ $BF$1*AF7,$CB$3)</f>
        <v>6.705293695501954</v>
      </c>
      <c r="BG7" s="566">
        <f>IF(ISNUMBER(System!$C7),PlotData!G7+ $BF$1*AG7,$CB$3)</f>
        <v>6.2997364114567516</v>
      </c>
      <c r="BH7" s="566">
        <f>IF(ISNUMBER(System!$C7),PlotData!H7+ $BF$1*AH7,$CB$3)</f>
        <v>5.8941791274115491</v>
      </c>
      <c r="BI7" s="566">
        <f>IF(ISNUMBER(System!$C7),PlotData!I7+ $BF$1*AI7,$CB$3)</f>
        <v>5.4700041032374092</v>
      </c>
      <c r="BJ7" s="566">
        <f>IF(ISNUMBER(System!$C7),PlotData!J7+ $BF$1*AJ7,$CB$3)</f>
        <v>5.0085935988053905</v>
      </c>
      <c r="BK7" s="566">
        <f>IF(ISNUMBER(System!$C7),PlotData!K7+ $BF$1*AK7,$CB$3)</f>
        <v>4.4913298739865573</v>
      </c>
      <c r="BL7" s="567">
        <f>IF(ISNUMBER(System!$C7),PlotData!L7+ $BF$1*AL7,$CB$3)</f>
        <v>3.8995951886519689</v>
      </c>
      <c r="BN7" s="569">
        <v>4</v>
      </c>
      <c r="BO7" s="565">
        <f>IF(ISNUMBER(System!$C7),O7+ $BF$1*AO7,$CB$4)</f>
        <v>4.3524356349947695</v>
      </c>
      <c r="BP7" s="566">
        <f>IF(ISNUMBER(System!$C7),P7+ $BF$1*AP7,$CB$4)</f>
        <v>3.8859443558245732</v>
      </c>
      <c r="BQ7" s="566">
        <f>IF(ISNUMBER(System!$C7),Q7+ $BF$1*AQ7,$CB$4)</f>
        <v>3.3002995398291781</v>
      </c>
      <c r="BR7" s="566">
        <f>IF(ISNUMBER(System!$C7),R7+ $BF$1*AR7,$CB$4)</f>
        <v>2.6252895712148794</v>
      </c>
      <c r="BS7" s="566">
        <f>IF(ISNUMBER(System!$C7),S7+ $BF$1*AS7,$CB$4)</f>
        <v>1.8907028341879712</v>
      </c>
      <c r="BT7" s="566">
        <f>IF(ISNUMBER(System!$C7),T7+ $BF$1*AT7,$CB$4)</f>
        <v>1.1263277129547582</v>
      </c>
      <c r="BU7" s="566">
        <f>IF(ISNUMBER(System!$C7),U7+ $BF$1*AU7,$CB$4)</f>
        <v>0.36195259172155569</v>
      </c>
      <c r="BV7" s="566">
        <f>IF(ISNUMBER(System!$C7),V7+ $BF$1*AV7,$CB$4)</f>
        <v>-0.37263414530535666</v>
      </c>
      <c r="BW7" s="566">
        <f>IF(ISNUMBER(System!$C7),W7+ $BF$1*AW7,$CB$4)</f>
        <v>-1.0476441139196595</v>
      </c>
      <c r="BX7" s="566">
        <f>IF(ISNUMBER(System!$C7),X7+ $BF$1*AX7,$CB$4)</f>
        <v>-1.6332889299150575</v>
      </c>
      <c r="BY7" s="567">
        <f>IF(ISNUMBER(System!$C7),Y7+ $BF$1*AY7,$CB$4)</f>
        <v>-2.0997802090852487</v>
      </c>
      <c r="CA7" s="561" t="s">
        <v>168</v>
      </c>
      <c r="CB7" s="562">
        <f>CB3-CB5</f>
        <v>-9.6121780796064158</v>
      </c>
      <c r="CC7" s="563">
        <f>CB4+CB5</f>
        <v>18.012178174973847</v>
      </c>
      <c r="CD7" s="555"/>
      <c r="CE7" s="561" t="s">
        <v>168</v>
      </c>
      <c r="CF7" s="562">
        <f>CF3-CF5</f>
        <v>-6.8143881842007907</v>
      </c>
      <c r="CG7" s="563">
        <f>CF4+CF5</f>
        <v>15.590544888734133</v>
      </c>
    </row>
    <row r="8" spans="1:85" x14ac:dyDescent="0.35">
      <c r="A8" s="564">
        <v>5</v>
      </c>
      <c r="B8" s="565">
        <v>3.9</v>
      </c>
      <c r="C8" s="566">
        <v>4.0371756000000003</v>
      </c>
      <c r="D8" s="566">
        <v>4.1743512000000003</v>
      </c>
      <c r="E8" s="566">
        <v>4.3115268000000002</v>
      </c>
      <c r="F8" s="566">
        <v>4.4487024000000002</v>
      </c>
      <c r="G8" s="566">
        <v>4.5858780000000001</v>
      </c>
      <c r="H8" s="566">
        <v>4.7230536000000001</v>
      </c>
      <c r="I8" s="566">
        <v>4.8602292</v>
      </c>
      <c r="J8" s="566">
        <v>4.9974048</v>
      </c>
      <c r="K8" s="566">
        <v>5.1345803999999999</v>
      </c>
      <c r="L8" s="567">
        <v>5.2717559999999999</v>
      </c>
      <c r="N8" s="564">
        <v>5</v>
      </c>
      <c r="O8" s="565">
        <v>0.9</v>
      </c>
      <c r="P8" s="566">
        <v>0.89998359999999999</v>
      </c>
      <c r="Q8" s="566">
        <v>0.89996719999999997</v>
      </c>
      <c r="R8" s="566">
        <v>0.89995079999999994</v>
      </c>
      <c r="S8" s="566">
        <v>0.89993439999999991</v>
      </c>
      <c r="T8" s="566">
        <v>0.89991799999999988</v>
      </c>
      <c r="U8" s="566">
        <v>0.89990159999999986</v>
      </c>
      <c r="V8" s="566">
        <v>0.89988519999999983</v>
      </c>
      <c r="W8" s="566">
        <v>0.8998687999999998</v>
      </c>
      <c r="X8" s="566">
        <v>0.89985239999999977</v>
      </c>
      <c r="Y8" s="567">
        <v>0.89983599999999975</v>
      </c>
      <c r="AA8" s="568">
        <v>5</v>
      </c>
      <c r="AB8" s="565">
        <f xml:space="preserve"> 0.000016175540116208 + ((1 - 0)*0 + 0*0)</f>
        <v>1.6175540116208001E-5</v>
      </c>
      <c r="AC8" s="566">
        <f xml:space="preserve"> 0.0000155277492366484 + ((1 - 0.1)*0 + 0.1*0)</f>
        <v>1.5527749236648399E-5</v>
      </c>
      <c r="AD8" s="566">
        <f xml:space="preserve"> 0.0000153713380002468 + ((1 - 0.2)*0 + 0.2*0)</f>
        <v>1.5371338000246799E-5</v>
      </c>
      <c r="AE8" s="566">
        <f xml:space="preserve"> 0.0000157701643088132 + ((1 - 0.3)*0 + 0.3*0)</f>
        <v>1.5770164308813202E-5</v>
      </c>
      <c r="AF8" s="566">
        <f xml:space="preserve"> 0.0000167880860641577 + ((1 - 0.4)*0 + 0.4*0)</f>
        <v>1.6788086064157699E-5</v>
      </c>
      <c r="AG8" s="566">
        <f xml:space="preserve"> 0.0000184889611680903 + ((1 - 0.5)*0 + 0.5*0)</f>
        <v>1.8488961168090299E-5</v>
      </c>
      <c r="AH8" s="566">
        <f xml:space="preserve"> 0.0000209366475224208 + ((1 - 0.6)*0 + 0.6*0)</f>
        <v>2.0936647522420802E-5</v>
      </c>
      <c r="AI8" s="566">
        <f xml:space="preserve"> 0.0000241950030289594 + ((1 - 0.7)*0 + 0.7*0)</f>
        <v>2.4195003028959399E-5</v>
      </c>
      <c r="AJ8" s="566">
        <f xml:space="preserve"> 0.0000283278855895159 + ((1 - 0.8000001)*0 + 0.8000001*0)</f>
        <v>2.8327885589515899E-5</v>
      </c>
      <c r="AK8" s="566">
        <f xml:space="preserve"> 0.0000333991531059005 + ((1 - 0.9000001)*0 + 0.9000001*0)</f>
        <v>3.3399153105900499E-5</v>
      </c>
      <c r="AL8" s="567">
        <f xml:space="preserve"> 0.000039472663479923 + ((1 - 1)*0 + 1*0)</f>
        <v>3.9472663479922997E-5</v>
      </c>
      <c r="AN8" s="568">
        <v>5</v>
      </c>
      <c r="AO8" s="565">
        <f xml:space="preserve"> -0.17715026790976 + ((1 - 0)*0 + 0*0)</f>
        <v>-0.17715026790975999</v>
      </c>
      <c r="AP8" s="566">
        <f xml:space="preserve"> -0.182568627823078 + ((1 - 0.1)*0 + 0.1*0)</f>
        <v>-0.18256862782307801</v>
      </c>
      <c r="AQ8" s="566">
        <f xml:space="preserve"> -0.183876908627984 + ((1 - 0.2)*0 + 0.2*0)</f>
        <v>-0.183876908627984</v>
      </c>
      <c r="AR8" s="566">
        <f xml:space="preserve"> -0.180540979471091 + ((1 - 0.3)*0 + 0.3*0)</f>
        <v>-0.18054097947109099</v>
      </c>
      <c r="AS8" s="566">
        <f xml:space="preserve"> -0.172026709499014 + ((1 - 0.4)*0 + 0.4*0)</f>
        <v>-0.172026709499014</v>
      </c>
      <c r="AT8" s="566">
        <f xml:space="preserve"> -0.157799967858367 + ((1 - 0.5)*0 + 0.5*0)</f>
        <v>-0.157799967858367</v>
      </c>
      <c r="AU8" s="566">
        <f xml:space="preserve"> -0.137326623695766 + ((1 - 0.6)*0 + 0.6*0)</f>
        <v>-0.13732662369576601</v>
      </c>
      <c r="AV8" s="566">
        <f xml:space="preserve"> -0.110072546157823 + ((1 - 0.7)*0 + 0.7*0)</f>
        <v>-0.110072546157823</v>
      </c>
      <c r="AW8" s="566">
        <f xml:space="preserve"> -0.0755036043911538 + ((1 - 0.8000001)*0 + 0.8000001*0)</f>
        <v>-7.5503604391153806E-2</v>
      </c>
      <c r="AX8" s="566">
        <f xml:space="preserve"> -0.0330856675423728 + ((1 - 0.9000001)*0 + 0.9000001*0)</f>
        <v>-3.3085667542372799E-2</v>
      </c>
      <c r="AY8" s="567">
        <f xml:space="preserve"> 0.0177153952419056 + ((1 - 1)*0 + 1*0)</f>
        <v>1.7715395241905602E-2</v>
      </c>
      <c r="BA8" s="569">
        <v>5</v>
      </c>
      <c r="BB8" s="565">
        <f>IF(ISNUMBER(System!$C8),PlotData!B8+ $BF$1*AB8,$CB$3)</f>
        <v>3.9000171670139738</v>
      </c>
      <c r="BC8" s="566">
        <f>IF(ISNUMBER(System!$C8),PlotData!C8+ $BF$1*AC8,$CB$3)</f>
        <v>4.0371920795169878</v>
      </c>
      <c r="BD8" s="566">
        <f>IF(ISNUMBER(System!$C8),PlotData!D8+ $BF$1*AD8,$CB$3)</f>
        <v>4.1743675135185816</v>
      </c>
      <c r="BE8" s="566">
        <f>IF(ISNUMBER(System!$C8),PlotData!E8+ $BF$1*AE8,$CB$3)</f>
        <v>4.3115435367908033</v>
      </c>
      <c r="BF8" s="566">
        <f>IF(ISNUMBER(System!$C8),PlotData!F8+ $BF$1*AF8,$CB$3)</f>
        <v>4.448720217105703</v>
      </c>
      <c r="BG8" s="566">
        <f>IF(ISNUMBER(System!$C8),PlotData!G8+ $BF$1*AG8,$CB$3)</f>
        <v>4.5858976222353292</v>
      </c>
      <c r="BH8" s="566">
        <f>IF(ISNUMBER(System!$C8),PlotData!H8+ $BF$1*AH8,$CB$3)</f>
        <v>4.7230758199517293</v>
      </c>
      <c r="BI8" s="566">
        <f>IF(ISNUMBER(System!$C8),PlotData!I8+ $BF$1*AI8,$CB$3)</f>
        <v>4.8602548780269537</v>
      </c>
      <c r="BJ8" s="566">
        <f>IF(ISNUMBER(System!$C8),PlotData!J8+ $BF$1*AJ8,$CB$3)</f>
        <v>4.9974348642330497</v>
      </c>
      <c r="BK8" s="566">
        <f>IF(ISNUMBER(System!$C8),PlotData!K8+ $BF$1*AK8,$CB$3)</f>
        <v>5.1346158463420668</v>
      </c>
      <c r="BL8" s="567">
        <f>IF(ISNUMBER(System!$C8),PlotData!L8+ $BF$1*AL8,$CB$3)</f>
        <v>5.2717978921260542</v>
      </c>
      <c r="BN8" s="569">
        <v>5</v>
      </c>
      <c r="BO8" s="565">
        <f>IF(ISNUMBER(System!$C8),O8+ $BF$1*AO8,$CB$4)</f>
        <v>0.71199137074838759</v>
      </c>
      <c r="BP8" s="566">
        <f>IF(ISNUMBER(System!$C8),P8+ $BF$1*AP8,$CB$4)</f>
        <v>0.70622449443178548</v>
      </c>
      <c r="BQ8" s="566">
        <f>IF(ISNUMBER(System!$C8),Q8+ $BF$1*AQ8,$CB$4)</f>
        <v>0.70481962303002677</v>
      </c>
      <c r="BR8" s="566">
        <f>IF(ISNUMBER(System!$C8),R8+ $BF$1*AR8,$CB$4)</f>
        <v>0.70834362675319484</v>
      </c>
      <c r="BS8" s="566">
        <f>IF(ISNUMBER(System!$C8),S8+ $BF$1*AS8,$CB$4)</f>
        <v>0.71736337581137066</v>
      </c>
      <c r="BT8" s="566">
        <f>IF(ISNUMBER(System!$C8),T8+ $BF$1*AT8,$CB$4)</f>
        <v>0.73244574041463606</v>
      </c>
      <c r="BU8" s="566">
        <f>IF(ISNUMBER(System!$C8),U8+ $BF$1*AU8,$CB$4)</f>
        <v>0.7541575907730711</v>
      </c>
      <c r="BV8" s="566">
        <f>IF(ISNUMBER(System!$C8),V8+ $BF$1*AV8,$CB$4)</f>
        <v>0.78306579709675994</v>
      </c>
      <c r="BW8" s="566">
        <f>IF(ISNUMBER(System!$C8),W8+ $BF$1*AW8,$CB$4)</f>
        <v>0.81973722959578277</v>
      </c>
      <c r="BX8" s="566">
        <f>IF(ISNUMBER(System!$C8),X8+ $BF$1*AX8,$CB$4)</f>
        <v>0.86473875848022108</v>
      </c>
      <c r="BY8" s="567">
        <f>IF(ISNUMBER(System!$C8),Y8+ $BF$1*AY8,$CB$4)</f>
        <v>0.9186372539601565</v>
      </c>
      <c r="CA8" s="561" t="s">
        <v>169</v>
      </c>
      <c r="CB8" s="562">
        <f>CB3+CB5</f>
        <v>24.912178270341279</v>
      </c>
      <c r="CC8" s="563">
        <f>CB4+CB5</f>
        <v>18.012178174973847</v>
      </c>
      <c r="CD8" s="555"/>
      <c r="CE8" s="561" t="s">
        <v>169</v>
      </c>
      <c r="CF8" s="562">
        <f>CF3+CF5</f>
        <v>22.114265818371251</v>
      </c>
      <c r="CG8" s="563">
        <f>CF4+CF5</f>
        <v>15.590544888734133</v>
      </c>
    </row>
    <row r="9" spans="1:85" x14ac:dyDescent="0.35">
      <c r="A9" s="564">
        <v>6</v>
      </c>
      <c r="B9" s="565">
        <v>3.3</v>
      </c>
      <c r="C9" s="566">
        <v>3.3085649999999998</v>
      </c>
      <c r="D9" s="566">
        <v>3.3171299999999997</v>
      </c>
      <c r="E9" s="566">
        <v>3.3256949999999996</v>
      </c>
      <c r="F9" s="566">
        <v>3.3342599999999996</v>
      </c>
      <c r="G9" s="566">
        <v>3.3428249999999995</v>
      </c>
      <c r="H9" s="566">
        <v>3.3513899999999994</v>
      </c>
      <c r="I9" s="566">
        <v>3.3599549999999994</v>
      </c>
      <c r="J9" s="566">
        <v>3.3685199999999993</v>
      </c>
      <c r="K9" s="566">
        <v>3.3770849999999992</v>
      </c>
      <c r="L9" s="567">
        <v>3.3856499999999992</v>
      </c>
      <c r="N9" s="564">
        <v>6</v>
      </c>
      <c r="O9" s="565">
        <v>3.6</v>
      </c>
      <c r="P9" s="566">
        <v>3.5129331000000001</v>
      </c>
      <c r="Q9" s="566">
        <v>3.4258662000000002</v>
      </c>
      <c r="R9" s="566">
        <v>3.3387993000000002</v>
      </c>
      <c r="S9" s="566">
        <v>3.2517324000000003</v>
      </c>
      <c r="T9" s="566">
        <v>3.1646655000000004</v>
      </c>
      <c r="U9" s="566">
        <v>3.0775986000000004</v>
      </c>
      <c r="V9" s="566">
        <v>2.9905317000000005</v>
      </c>
      <c r="W9" s="566">
        <v>2.9034648000000005</v>
      </c>
      <c r="X9" s="566">
        <v>2.8163979000000006</v>
      </c>
      <c r="Y9" s="567">
        <v>2.7293310000000006</v>
      </c>
      <c r="AA9" s="568">
        <v>6</v>
      </c>
      <c r="AB9" s="565">
        <f xml:space="preserve"> 0 + ((1 - 0)*0 + 0*0)</f>
        <v>0</v>
      </c>
      <c r="AC9" s="566">
        <f xml:space="preserve"> -0.00435181887450868 + ((1 - 0.1)*0 + 0.1*0)</f>
        <v>-4.3518188745086802E-3</v>
      </c>
      <c r="AD9" s="566">
        <f xml:space="preserve"> -0.00862449445166448 + ((1 - 0.2)*0 + 0.2*0)</f>
        <v>-8.62449445166448E-3</v>
      </c>
      <c r="AE9" s="566">
        <f xml:space="preserve"> -0.0127388834341145 + ((1 - 0.3)*0 + 0.3*0)</f>
        <v>-1.2738883434114501E-2</v>
      </c>
      <c r="AF9" s="566">
        <f xml:space="preserve"> -0.016615842524506 + ((1 - 0.4)*0 + 0.4*0)</f>
        <v>-1.6615842524506E-2</v>
      </c>
      <c r="AG9" s="566">
        <f xml:space="preserve"> -0.020176228425486 + ((1 - 0.5)*0 + 0.5*0)</f>
        <v>-2.0176228425486002E-2</v>
      </c>
      <c r="AH9" s="566">
        <f xml:space="preserve"> -0.0233408978397016 + ((1 - 0.6)*0 + 0.6*0)</f>
        <v>-2.3340897839701599E-2</v>
      </c>
      <c r="AI9" s="566">
        <f xml:space="preserve"> -0.0260307074698 + ((1 - 0.7)*0 + 0.7*0)</f>
        <v>-2.6030707469800001E-2</v>
      </c>
      <c r="AJ9" s="566">
        <f xml:space="preserve"> -0.0281665140184282 + ((1 - 0.8000001)*0 + 0.8000001*0)</f>
        <v>-2.81665140184282E-2</v>
      </c>
      <c r="AK9" s="566">
        <f xml:space="preserve"> -0.0296691741882336 + ((1 - 0.9000001)*0 + 0.9000001*0)</f>
        <v>-2.9669174188233598E-2</v>
      </c>
      <c r="AL9" s="567">
        <f xml:space="preserve"> -0.0304595446818631 + ((1 - 1)*0 + 1*0)</f>
        <v>-3.0459544681863099E-2</v>
      </c>
      <c r="AN9" s="568">
        <v>6</v>
      </c>
      <c r="AO9" s="565">
        <f xml:space="preserve"> 0 + ((1 - 0)*0 + 0*0)</f>
        <v>0</v>
      </c>
      <c r="AP9" s="566">
        <f xml:space="preserve"> -0.000428099871020665 + ((1 - 0.1)*0 + 0.1*0)</f>
        <v>-4.2809987102066503E-4</v>
      </c>
      <c r="AQ9" s="566">
        <f xml:space="preserve"> -0.00084841420767836 + ((1 - 0.2)*0 + 0.2*0)</f>
        <v>-8.4841420767835999E-4</v>
      </c>
      <c r="AR9" s="566">
        <f xml:space="preserve"> -0.00125315747561011 + ((1 - 0.3)*0 + 0.3*0)</f>
        <v>-1.2531574756101101E-3</v>
      </c>
      <c r="AS9" s="566">
        <f xml:space="preserve"> -0.00163454414045295 + ((1 - 0.4)*0 + 0.4*0)</f>
        <v>-1.63454414045295E-3</v>
      </c>
      <c r="AT9" s="566">
        <f xml:space="preserve"> -0.00198478866784391 + ((1 - 0.5)*0 + 0.5*0)</f>
        <v>-1.9847886678439099E-3</v>
      </c>
      <c r="AU9" s="566">
        <f xml:space="preserve"> -0.00229610552342001 + ((1 - 0.6)*0 + 0.6*0)</f>
        <v>-2.2961055234200101E-3</v>
      </c>
      <c r="AV9" s="566">
        <f xml:space="preserve"> -0.00256070917281829 + ((1 - 0.7)*0 + 0.7*0)</f>
        <v>-2.56070917281829E-3</v>
      </c>
      <c r="AW9" s="566">
        <f xml:space="preserve"> -0.00277081408167578 + ((1 - 0.8000001)*0 + 0.8000001*0)</f>
        <v>-2.7708140816757802E-3</v>
      </c>
      <c r="AX9" s="566">
        <f xml:space="preserve"> -0.00291863471562949 + ((1 - 0.9000001)*0 + 0.9000001*0)</f>
        <v>-2.9186347156294899E-3</v>
      </c>
      <c r="AY9" s="567">
        <f xml:space="preserve"> -0.00299638554031647 + ((1 - 1)*0 + 1*0)</f>
        <v>-2.9963855403164698E-3</v>
      </c>
      <c r="BA9" s="569">
        <v>6</v>
      </c>
      <c r="BB9" s="565">
        <f>IF(ISNUMBER(System!$C9),PlotData!B9+ $BF$1*AB9,$CB$3)</f>
        <v>3.3</v>
      </c>
      <c r="BC9" s="566">
        <f>IF(ISNUMBER(System!$C9),PlotData!C9+ $BF$1*AC9,$CB$3)</f>
        <v>3.3039464379678809</v>
      </c>
      <c r="BD9" s="566">
        <f>IF(ISNUMBER(System!$C9),PlotData!D9+ $BF$1*AD9,$CB$3)</f>
        <v>3.3079768702927868</v>
      </c>
      <c r="BE9" s="566">
        <f>IF(ISNUMBER(System!$C9),PlotData!E9+ $BF$1*AE9,$CB$3)</f>
        <v>3.3121752913317408</v>
      </c>
      <c r="BF9" s="566">
        <f>IF(ISNUMBER(System!$C9),PlotData!F9+ $BF$1*AF9,$CB$3)</f>
        <v>3.3166256954417679</v>
      </c>
      <c r="BG9" s="566">
        <f>IF(ISNUMBER(System!$C9),PlotData!G9+ $BF$1*AG9,$CB$3)</f>
        <v>3.3214120769798923</v>
      </c>
      <c r="BH9" s="566">
        <f>IF(ISNUMBER(System!$C9),PlotData!H9+ $BF$1*AH9,$CB$3)</f>
        <v>3.3266184303031383</v>
      </c>
      <c r="BI9" s="566">
        <f>IF(ISNUMBER(System!$C9),PlotData!I9+ $BF$1*AI9,$CB$3)</f>
        <v>3.3323287497685303</v>
      </c>
      <c r="BJ9" s="566">
        <f>IF(ISNUMBER(System!$C9),PlotData!J9+ $BF$1*AJ9,$CB$3)</f>
        <v>3.3386270297330927</v>
      </c>
      <c r="BK9" s="566">
        <f>IF(ISNUMBER(System!$C9),PlotData!K9+ $BF$1*AK9,$CB$3)</f>
        <v>3.3455972645538492</v>
      </c>
      <c r="BL9" s="567">
        <f>IF(ISNUMBER(System!$C9),PlotData!L9+ $BF$1*AL9,$CB$3)</f>
        <v>3.3533234485878247</v>
      </c>
      <c r="BN9" s="569">
        <v>6</v>
      </c>
      <c r="BO9" s="565">
        <f>IF(ISNUMBER(System!$C9),O9+ $BF$1*AO9,$CB$4)</f>
        <v>3.6</v>
      </c>
      <c r="BP9" s="566">
        <f>IF(ISNUMBER(System!$C9),P9+ $BF$1*AP9,$CB$4)</f>
        <v>3.512478759902844</v>
      </c>
      <c r="BQ9" s="566">
        <f>IF(ISNUMBER(System!$C9),Q9+ $BF$1*AQ9,$CB$4)</f>
        <v>3.4249657825515523</v>
      </c>
      <c r="BR9" s="566">
        <f>IF(ISNUMBER(System!$C9),R9+ $BF$1*AR9,$CB$4)</f>
        <v>3.3374693306919894</v>
      </c>
      <c r="BS9" s="566">
        <f>IF(ISNUMBER(System!$C9),S9+ $BF$1*AS9,$CB$4)</f>
        <v>3.2499976670700206</v>
      </c>
      <c r="BT9" s="566">
        <f>IF(ISNUMBER(System!$C9),T9+ $BF$1*AT9,$CB$4)</f>
        <v>3.1625590544315094</v>
      </c>
      <c r="BU9" s="566">
        <f>IF(ISNUMBER(System!$C9),U9+ $BF$1*AU9,$CB$4)</f>
        <v>3.0751617555223216</v>
      </c>
      <c r="BV9" s="566">
        <f>IF(ISNUMBER(System!$C9),V9+ $BF$1*AV9,$CB$4)</f>
        <v>2.9878140330883203</v>
      </c>
      <c r="BW9" s="566">
        <f>IF(ISNUMBER(System!$C9),W9+ $BF$1*AW9,$CB$4)</f>
        <v>2.9005241498753715</v>
      </c>
      <c r="BX9" s="566">
        <f>IF(ISNUMBER(System!$C9),X9+ $BF$1*AX9,$CB$4)</f>
        <v>2.8133003686293385</v>
      </c>
      <c r="BY9" s="567">
        <f>IF(ISNUMBER(System!$C9),Y9+ $BF$1*AY9,$CB$4)</f>
        <v>2.7261509520960865</v>
      </c>
      <c r="CA9" s="561" t="s">
        <v>170</v>
      </c>
      <c r="CB9" s="562">
        <f>CB3+CB5</f>
        <v>24.912178270341279</v>
      </c>
      <c r="CC9" s="563">
        <f>CB4-CB5</f>
        <v>-16.512178174973847</v>
      </c>
      <c r="CD9" s="555"/>
      <c r="CE9" s="561" t="s">
        <v>170</v>
      </c>
      <c r="CF9" s="562">
        <f>CF3+CF5</f>
        <v>22.114265818371251</v>
      </c>
      <c r="CG9" s="563">
        <f>CF4-CF5</f>
        <v>-13.338109113837909</v>
      </c>
    </row>
    <row r="10" spans="1:85" ht="13.15" thickBot="1" x14ac:dyDescent="0.4">
      <c r="A10" s="564">
        <v>7</v>
      </c>
      <c r="B10" s="565">
        <v>4.5</v>
      </c>
      <c r="C10" s="566">
        <v>4.4906002999999997</v>
      </c>
      <c r="D10" s="566">
        <v>4.4812005999999993</v>
      </c>
      <c r="E10" s="566">
        <v>4.471800899999999</v>
      </c>
      <c r="F10" s="566">
        <v>4.4624011999999986</v>
      </c>
      <c r="G10" s="566">
        <v>4.4530014999999983</v>
      </c>
      <c r="H10" s="566">
        <v>4.4436017999999979</v>
      </c>
      <c r="I10" s="566">
        <v>4.4342020999999976</v>
      </c>
      <c r="J10" s="566">
        <v>4.4248023999999972</v>
      </c>
      <c r="K10" s="566">
        <v>4.4154026999999969</v>
      </c>
      <c r="L10" s="567">
        <v>4.4060029999999966</v>
      </c>
      <c r="N10" s="564">
        <v>7</v>
      </c>
      <c r="O10" s="565">
        <v>3.6</v>
      </c>
      <c r="P10" s="566">
        <v>3.5144827000000003</v>
      </c>
      <c r="Q10" s="566">
        <v>3.4289654000000001</v>
      </c>
      <c r="R10" s="566">
        <v>3.3434480999999998</v>
      </c>
      <c r="S10" s="566">
        <v>3.2579307999999996</v>
      </c>
      <c r="T10" s="566">
        <v>3.1724134999999993</v>
      </c>
      <c r="U10" s="566">
        <v>3.0868961999999991</v>
      </c>
      <c r="V10" s="566">
        <v>3.0013788999999989</v>
      </c>
      <c r="W10" s="566">
        <v>2.9158615999999986</v>
      </c>
      <c r="X10" s="566">
        <v>2.8303442999999984</v>
      </c>
      <c r="Y10" s="567">
        <v>2.7448269999999981</v>
      </c>
      <c r="AA10" s="568">
        <v>7</v>
      </c>
      <c r="AB10" s="565">
        <f xml:space="preserve"> 0 + ((1 - 0)*0 + 0*0)</f>
        <v>0</v>
      </c>
      <c r="AC10" s="566">
        <f xml:space="preserve"> -0.00434305307281921 + ((1 - 0.1)*0 + 0.1*0)</f>
        <v>-4.3430530728192102E-3</v>
      </c>
      <c r="AD10" s="566">
        <f xml:space="preserve"> -0.00860807903277416 + ((1 - 0.2)*0 + 0.2*0)</f>
        <v>-8.6080790327741595E-3</v>
      </c>
      <c r="AE10" s="566">
        <f xml:space="preserve"> -0.0127170507670006 + ((1 - 0.3)*0 + 0.3*0)</f>
        <v>-1.2717050767000601E-2</v>
      </c>
      <c r="AF10" s="566">
        <f xml:space="preserve"> -0.0165919411626342 + ((1 - 0.4)*0 + 0.4*0)</f>
        <v>-1.65919411626342E-2</v>
      </c>
      <c r="AG10" s="566">
        <f xml:space="preserve"> -0.0201547231068108 + ((1 - 0.5)*0 + 0.5*0)</f>
        <v>-2.0154723106810799E-2</v>
      </c>
      <c r="AH10" s="566">
        <f xml:space="preserve"> -0.023327369486666 + ((1 - 0.6)*0 + 0.6*0)</f>
        <v>-2.3327369486666E-2</v>
      </c>
      <c r="AI10" s="566">
        <f xml:space="preserve"> -0.0260318531893356 + ((1 - 0.7)*0 + 0.7*0)</f>
        <v>-2.60318531893356E-2</v>
      </c>
      <c r="AJ10" s="566">
        <f xml:space="preserve"> -0.0281901471019554 + ((1 - 0.8000001)*0 + 0.8000001*0)</f>
        <v>-2.8190147101955401E-2</v>
      </c>
      <c r="AK10" s="566">
        <f xml:space="preserve"> -0.0297242241116611 + ((1 - 0.9000001)*0 + 0.9000001*0)</f>
        <v>-2.9724224111661101E-2</v>
      </c>
      <c r="AL10" s="567">
        <f xml:space="preserve"> -0.0305560571055883 + ((1 - 1)*0 + 1*0)</f>
        <v>-3.05560571055883E-2</v>
      </c>
      <c r="AN10" s="568">
        <v>7</v>
      </c>
      <c r="AO10" s="565">
        <f xml:space="preserve"> 0 + ((1 - 0)*0 + 0*0)</f>
        <v>0</v>
      </c>
      <c r="AP10" s="566">
        <f xml:space="preserve"> 0.00047737002885475 + ((1 - 0.1)*0 + 0.1*0)</f>
        <v>4.7737002885474999E-4</v>
      </c>
      <c r="AQ10" s="566">
        <f xml:space="preserve"> 0.00094616364740667 + ((1 - 0.2)*0 + 0.2*0)</f>
        <v>9.4616364740667002E-4</v>
      </c>
      <c r="AR10" s="566">
        <f xml:space="preserve"> 0.00139780444535293 + ((1 - 0.3)*0 + 0.3*0)</f>
        <v>1.39780444535293E-3</v>
      </c>
      <c r="AS10" s="566">
        <f xml:space="preserve"> 0.0018237160123907 + ((1 - 0.4)*0 + 0.4*0)</f>
        <v>1.8237160123907E-3</v>
      </c>
      <c r="AT10" s="566">
        <f xml:space="preserve"> 0.00221532193821714 + ((1 - 0.5)*0 + 0.5*0)</f>
        <v>2.21532193821714E-3</v>
      </c>
      <c r="AU10" s="566">
        <f xml:space="preserve"> 0.00256404581252944 + ((1 - 0.6)*0 + 0.6*0)</f>
        <v>2.56404581252944E-3</v>
      </c>
      <c r="AV10" s="566">
        <f xml:space="preserve"> 0.00286131122502475 + ((1 - 0.7)*0 + 0.7*0)</f>
        <v>2.8613112250247502E-3</v>
      </c>
      <c r="AW10" s="566">
        <f xml:space="preserve"> 0.00309854176540025 + ((1 - 0.8000001)*0 + 0.8000001*0)</f>
        <v>3.0985417654002499E-3</v>
      </c>
      <c r="AX10" s="566">
        <f xml:space="preserve"> 0.00326716102335311 + ((1 - 0.9000001)*0 + 0.9000001*0)</f>
        <v>3.26716102335311E-3</v>
      </c>
      <c r="AY10" s="567">
        <f xml:space="preserve"> 0.0033585925885805 + ((1 - 1)*0 + 1*0)</f>
        <v>3.3585925885805E-3</v>
      </c>
      <c r="BA10" s="569">
        <v>7</v>
      </c>
      <c r="BB10" s="565">
        <f>IF(ISNUMBER(System!$C10),PlotData!B10+ $BF$1*AB10,$CB$3)</f>
        <v>4.5</v>
      </c>
      <c r="BC10" s="566">
        <f>IF(ISNUMBER(System!$C10),PlotData!C10+ $BF$1*AC10,$CB$3)</f>
        <v>4.4859910410662014</v>
      </c>
      <c r="BD10" s="566">
        <f>IF(ISNUMBER(System!$C10),PlotData!D10+ $BF$1*AD10,$CB$3)</f>
        <v>4.4720648918888166</v>
      </c>
      <c r="BE10" s="566">
        <f>IF(ISNUMBER(System!$C10),PlotData!E10+ $BF$1*AE10,$CB$3)</f>
        <v>4.4583043622242569</v>
      </c>
      <c r="BF10" s="566">
        <f>IF(ISNUMBER(System!$C10),PlotData!F10+ $BF$1*AF10,$CB$3)</f>
        <v>4.4447922618289351</v>
      </c>
      <c r="BG10" s="566">
        <f>IF(ISNUMBER(System!$C10),PlotData!G10+ $BF$1*AG10,$CB$3)</f>
        <v>4.431611400459265</v>
      </c>
      <c r="BH10" s="566">
        <f>IF(ISNUMBER(System!$C10),PlotData!H10+ $BF$1*AH10,$CB$3)</f>
        <v>4.4188445878716589</v>
      </c>
      <c r="BI10" s="566">
        <f>IF(ISNUMBER(System!$C10),PlotData!I10+ $BF$1*AI10,$CB$3)</f>
        <v>4.4065746338225305</v>
      </c>
      <c r="BJ10" s="566">
        <f>IF(ISNUMBER(System!$C10),PlotData!J10+ $BF$1*AJ10,$CB$3)</f>
        <v>4.3948843480682909</v>
      </c>
      <c r="BK10" s="566">
        <f>IF(ISNUMBER(System!$C10),PlotData!K10+ $BF$1*AK10,$CB$3)</f>
        <v>4.3838565403653531</v>
      </c>
      <c r="BL10" s="567">
        <f>IF(ISNUMBER(System!$C10),PlotData!L10+ $BF$1*AL10,$CB$3)</f>
        <v>4.3735740204701319</v>
      </c>
      <c r="BN10" s="569">
        <v>7</v>
      </c>
      <c r="BO10" s="565">
        <f>IF(ISNUMBER(System!$C10),O10+ $BF$1*AO10,$CB$4)</f>
        <v>3.6</v>
      </c>
      <c r="BP10" s="566">
        <f>IF(ISNUMBER(System!$C10),P10+ $BF$1*AP10,$CB$4)</f>
        <v>3.5149893302514235</v>
      </c>
      <c r="BQ10" s="566">
        <f>IF(ISNUMBER(System!$C10),Q10+ $BF$1*AQ10,$CB$4)</f>
        <v>3.4299695584045882</v>
      </c>
      <c r="BR10" s="566">
        <f>IF(ISNUMBER(System!$C10),R10+ $BF$1*AR10,$CB$4)</f>
        <v>3.3449315823612373</v>
      </c>
      <c r="BS10" s="566">
        <f>IF(ISNUMBER(System!$C10),S10+ $BF$1*AS10,$CB$4)</f>
        <v>3.2598663000231123</v>
      </c>
      <c r="BT10" s="566">
        <f>IF(ISNUMBER(System!$C10),T10+ $BF$1*AT10,$CB$4)</f>
        <v>3.1747646092919557</v>
      </c>
      <c r="BU10" s="566">
        <f>IF(ISNUMBER(System!$C10),U10+ $BF$1*AU10,$CB$4)</f>
        <v>3.0896174080695098</v>
      </c>
      <c r="BV10" s="566">
        <f>IF(ISNUMBER(System!$C10),V10+ $BF$1*AV10,$CB$4)</f>
        <v>3.0044155942575159</v>
      </c>
      <c r="BW10" s="566">
        <f>IF(ISNUMBER(System!$C10),W10+ $BF$1*AW10,$CB$4)</f>
        <v>2.9191500657577163</v>
      </c>
      <c r="BX10" s="566">
        <f>IF(ISNUMBER(System!$C10),X10+ $BF$1*AX10,$CB$4)</f>
        <v>2.8338117204718536</v>
      </c>
      <c r="BY10" s="567">
        <f>IF(ISNUMBER(System!$C10),Y10+ $BF$1*AY10,$CB$4)</f>
        <v>2.7483914563016691</v>
      </c>
      <c r="CA10" s="571" t="s">
        <v>171</v>
      </c>
      <c r="CB10" s="572">
        <f>CB3-CB5</f>
        <v>-9.6121780796064158</v>
      </c>
      <c r="CC10" s="573">
        <f>CB4-CB5</f>
        <v>-16.512178174973847</v>
      </c>
      <c r="CD10" s="574"/>
      <c r="CE10" s="571" t="s">
        <v>171</v>
      </c>
      <c r="CF10" s="572">
        <f>CF3-CF5</f>
        <v>-6.8143881842007907</v>
      </c>
      <c r="CG10" s="573">
        <f>CF4-CF5</f>
        <v>-13.338109113837909</v>
      </c>
    </row>
    <row r="11" spans="1:85" x14ac:dyDescent="0.35">
      <c r="A11" s="564">
        <v>8</v>
      </c>
      <c r="B11" s="565">
        <v>2.5508169999999999</v>
      </c>
      <c r="C11" s="566">
        <v>2.6857352999999997</v>
      </c>
      <c r="D11" s="566">
        <v>2.8206535999999995</v>
      </c>
      <c r="E11" s="566">
        <v>2.9555718999999994</v>
      </c>
      <c r="F11" s="566">
        <v>3.0904901999999992</v>
      </c>
      <c r="G11" s="566">
        <v>3.225408499999999</v>
      </c>
      <c r="H11" s="566">
        <v>3.3603267999999988</v>
      </c>
      <c r="I11" s="566">
        <v>3.4952450999999987</v>
      </c>
      <c r="J11" s="566">
        <v>3.6301633999999985</v>
      </c>
      <c r="K11" s="566">
        <v>3.7650816999999983</v>
      </c>
      <c r="L11" s="567">
        <v>3.8999999999999981</v>
      </c>
      <c r="N11" s="564">
        <v>8</v>
      </c>
      <c r="O11" s="565">
        <v>0.89983599999999997</v>
      </c>
      <c r="P11" s="566">
        <v>0.8998524</v>
      </c>
      <c r="Q11" s="566">
        <v>0.89986880000000002</v>
      </c>
      <c r="R11" s="566">
        <v>0.89988520000000005</v>
      </c>
      <c r="S11" s="566">
        <v>0.89990160000000008</v>
      </c>
      <c r="T11" s="566">
        <v>0.89991800000000011</v>
      </c>
      <c r="U11" s="566">
        <v>0.89993440000000013</v>
      </c>
      <c r="V11" s="566">
        <v>0.89995080000000016</v>
      </c>
      <c r="W11" s="566">
        <v>0.89996720000000019</v>
      </c>
      <c r="X11" s="566">
        <v>0.89998360000000022</v>
      </c>
      <c r="Y11" s="567">
        <v>0.90000000000000024</v>
      </c>
      <c r="AA11" s="568">
        <v>8</v>
      </c>
      <c r="AB11" s="565">
        <f xml:space="preserve"> -3.30440054750058E-06 + ((1 - 0)*0 + 0*0)</f>
        <v>-3.30440054750058E-6</v>
      </c>
      <c r="AC11" s="566">
        <f xml:space="preserve"> -1.21976049786605E-06 + ((1 - 0.1)*0 + 0.1*0)</f>
        <v>-1.21976049786605E-6</v>
      </c>
      <c r="AD11" s="566">
        <f xml:space="preserve"> 9.98775193216123E-07 + ((1 - 0.2)*0 + 0.2*0)</f>
        <v>9.9877519321612298E-7</v>
      </c>
      <c r="AE11" s="566">
        <f xml:space="preserve"> 3.28960849493111E-06 + ((1 - 0.3)*0 + 0.3*0)</f>
        <v>3.2896084949311102E-6</v>
      </c>
      <c r="AF11" s="566">
        <f xml:space="preserve"> 5.59114137646406E-06 + ((1 - 0.4)*0 + 0.4*0)</f>
        <v>5.5911413764640596E-6</v>
      </c>
      <c r="AG11" s="566">
        <f xml:space="preserve"> 7.84177580700014E-06 + ((1 - 0.5)*0 + 0.5*0)</f>
        <v>7.8417758070001407E-6</v>
      </c>
      <c r="AH11" s="566">
        <f xml:space="preserve"> 9.97991375572451E-06 + ((1 - 0.6)*0 + 0.6*0)</f>
        <v>9.9799137557245096E-6</v>
      </c>
      <c r="AI11" s="566">
        <f xml:space="preserve"> 0.0000119439571918223 + ((1 - 0.7)*0 + 0.7*0)</f>
        <v>1.19439571918223E-5</v>
      </c>
      <c r="AJ11" s="566">
        <f xml:space="preserve"> 0.0000136723080844787 + ((1 - 0.8000001)*0 + 0.8000001*0)</f>
        <v>1.36723080844787E-5</v>
      </c>
      <c r="AK11" s="566">
        <f xml:space="preserve"> 0.0000151033684028789 + ((1 - 0.9000001)*0 + 0.9000001*0)</f>
        <v>1.51033684028789E-5</v>
      </c>
      <c r="AL11" s="567">
        <f xml:space="preserve"> 0.000016175540116208 + ((1 - 1)*0 + 1*0)</f>
        <v>1.6175540116208001E-5</v>
      </c>
      <c r="AN11" s="568">
        <v>8</v>
      </c>
      <c r="AO11" s="565">
        <f xml:space="preserve"> -0.0168941411738504 + ((1 - 0)*0 + 0*0)</f>
        <v>-1.6894141173850401E-2</v>
      </c>
      <c r="AP11" s="566">
        <f xml:space="preserve"> -0.0340439028574265 + ((1 - 0.1)*0 + 0.1*0)</f>
        <v>-3.4043902857426499E-2</v>
      </c>
      <c r="AQ11" s="566">
        <f xml:space="preserve"> -0.0522951872435343 + ((1 - 0.2)*0 + 0.2*0)</f>
        <v>-5.2295187243534297E-2</v>
      </c>
      <c r="AR11" s="566">
        <f xml:space="preserve"> -0.0711412442345591 + ((1 - 0.3)*0 + 0.3*0)</f>
        <v>-7.1141244234559101E-2</v>
      </c>
      <c r="AS11" s="566">
        <f xml:space="preserve"> -0.0900753237328858 + ((1 - 0.4)*0 + 0.4*0)</f>
        <v>-9.0075323732885806E-2</v>
      </c>
      <c r="AT11" s="566">
        <f xml:space="preserve"> -0.1085906756409 + ((1 - 0.5)*0 + 0.5*0)</f>
        <v>-0.1085906756409</v>
      </c>
      <c r="AU11" s="566">
        <f xml:space="preserve"> -0.126180549860986 + ((1 - 0.6)*0 + 0.6*0)</f>
        <v>-0.12618054986098601</v>
      </c>
      <c r="AV11" s="566">
        <f xml:space="preserve"> -0.14233819629553 + ((1 - 0.7)*0 + 0.7*0)</f>
        <v>-0.14233819629552999</v>
      </c>
      <c r="AW11" s="566">
        <f xml:space="preserve"> -0.156556864846917 + ((1 - 0.8000001)*0 + 0.8000001*0)</f>
        <v>-0.156556864846917</v>
      </c>
      <c r="AX11" s="566">
        <f xml:space="preserve"> -0.168329805417532 + ((1 - 0.9000001)*0 + 0.9000001*0)</f>
        <v>-0.16832980541753201</v>
      </c>
      <c r="AY11" s="567">
        <f xml:space="preserve"> -0.17715026790976 + ((1 - 1)*0 + 1*0)</f>
        <v>-0.17715026790975999</v>
      </c>
      <c r="BA11" s="569">
        <v>8</v>
      </c>
      <c r="BB11" s="565">
        <f>IF(ISNUMBER(System!$C11),PlotData!B11+ $BF$1*AB11,$CB$3)</f>
        <v>2.5508134930574209</v>
      </c>
      <c r="BC11" s="566">
        <f>IF(ISNUMBER(System!$C11),PlotData!C11+ $BF$1*AC11,$CB$3)</f>
        <v>2.6857340054747252</v>
      </c>
      <c r="BD11" s="566">
        <f>IF(ISNUMBER(System!$C11),PlotData!D11+ $BF$1*AD11,$CB$3)</f>
        <v>2.8206546599947555</v>
      </c>
      <c r="BE11" s="566">
        <f>IF(ISNUMBER(System!$C11),PlotData!E11+ $BF$1*AE11,$CB$3)</f>
        <v>2.9555753912438525</v>
      </c>
      <c r="BF11" s="566">
        <f>IF(ISNUMBER(System!$C11),PlotData!F11+ $BF$1*AF11,$CB$3)</f>
        <v>3.0904961338483559</v>
      </c>
      <c r="BG11" s="566">
        <f>IF(ISNUMBER(System!$C11),PlotData!G11+ $BF$1*AG11,$CB$3)</f>
        <v>3.2254168224346063</v>
      </c>
      <c r="BH11" s="566">
        <f>IF(ISNUMBER(System!$C11),PlotData!H11+ $BF$1*AH11,$CB$3)</f>
        <v>3.3603373916289443</v>
      </c>
      <c r="BI11" s="566">
        <f>IF(ISNUMBER(System!$C11),PlotData!I11+ $BF$1*AI11,$CB$3)</f>
        <v>3.4952577760577093</v>
      </c>
      <c r="BJ11" s="566">
        <f>IF(ISNUMBER(System!$C11),PlotData!J11+ $BF$1*AJ11,$CB$3)</f>
        <v>3.6301779103472422</v>
      </c>
      <c r="BK11" s="566">
        <f>IF(ISNUMBER(System!$C11),PlotData!K11+ $BF$1*AK11,$CB$3)</f>
        <v>3.765097729123883</v>
      </c>
      <c r="BL11" s="567">
        <f>IF(ISNUMBER(System!$C11),PlotData!L11+ $BF$1*AL11,$CB$3)</f>
        <v>3.9000171670139721</v>
      </c>
      <c r="BN11" s="569">
        <v>8</v>
      </c>
      <c r="BO11" s="565">
        <f>IF(ISNUMBER(System!$C11),O11+ $BF$1*AO11,$CB$4)</f>
        <v>0.88190633857777279</v>
      </c>
      <c r="BP11" s="566">
        <f>IF(ISNUMBER(System!$C11),P11+ $BF$1*AP11,$CB$4)</f>
        <v>0.86372178847950132</v>
      </c>
      <c r="BQ11" s="566">
        <f>IF(ISNUMBER(System!$C11),Q11+ $BF$1*AQ11,$CB$4)</f>
        <v>0.84436819824464926</v>
      </c>
      <c r="BR11" s="566">
        <f>IF(ISNUMBER(System!$C11),R11+ $BF$1*AR11,$CB$4)</f>
        <v>0.82438337903404524</v>
      </c>
      <c r="BS11" s="566">
        <f>IF(ISNUMBER(System!$C11),S11+ $BF$1*AS11,$CB$4)</f>
        <v>0.80430514200851844</v>
      </c>
      <c r="BT11" s="566">
        <f>IF(ISNUMBER(System!$C11),T11+ $BF$1*AT11,$CB$4)</f>
        <v>0.78467129832889715</v>
      </c>
      <c r="BU11" s="566">
        <f>IF(ISNUMBER(System!$C11),U11+ $BF$1*AU11,$CB$4)</f>
        <v>0.76601965915601122</v>
      </c>
      <c r="BV11" s="566">
        <f>IF(ISNUMBER(System!$C11),V11+ $BF$1*AV11,$CB$4)</f>
        <v>0.7488880356506884</v>
      </c>
      <c r="BW11" s="566">
        <f>IF(ISNUMBER(System!$C11),W11+ $BF$1*AW11,$CB$4)</f>
        <v>0.73381423897375742</v>
      </c>
      <c r="BX11" s="566">
        <f>IF(ISNUMBER(System!$C11),X11+ $BF$1*AX11,$CB$4)</f>
        <v>0.72133608028604757</v>
      </c>
      <c r="BY11" s="567">
        <f>IF(ISNUMBER(System!$C11),Y11+ $BF$1*AY11,$CB$4)</f>
        <v>0.71199137074838781</v>
      </c>
    </row>
    <row r="12" spans="1:85" x14ac:dyDescent="0.35">
      <c r="A12" s="564">
        <v>9</v>
      </c>
      <c r="B12" s="565">
        <v>5.2717559999999999</v>
      </c>
      <c r="C12" s="566">
        <v>5.6145803999999995</v>
      </c>
      <c r="D12" s="566">
        <v>5.9574047999999991</v>
      </c>
      <c r="E12" s="566">
        <v>6.3002291999999986</v>
      </c>
      <c r="F12" s="566">
        <v>6.6430535999999982</v>
      </c>
      <c r="G12" s="566">
        <v>6.9858779999999978</v>
      </c>
      <c r="H12" s="566">
        <v>7.3287023999999974</v>
      </c>
      <c r="I12" s="566">
        <v>7.671526799999997</v>
      </c>
      <c r="J12" s="566">
        <v>8.0143511999999966</v>
      </c>
      <c r="K12" s="566">
        <v>8.3571755999999962</v>
      </c>
      <c r="L12" s="567">
        <v>8.6999999999999957</v>
      </c>
      <c r="N12" s="564">
        <v>9</v>
      </c>
      <c r="O12" s="565">
        <v>0.89983599999999997</v>
      </c>
      <c r="P12" s="566">
        <v>0.8998524</v>
      </c>
      <c r="Q12" s="566">
        <v>0.89986880000000002</v>
      </c>
      <c r="R12" s="566">
        <v>0.89988520000000005</v>
      </c>
      <c r="S12" s="566">
        <v>0.89990160000000008</v>
      </c>
      <c r="T12" s="566">
        <v>0.89991800000000011</v>
      </c>
      <c r="U12" s="566">
        <v>0.89993440000000013</v>
      </c>
      <c r="V12" s="566">
        <v>0.89995080000000016</v>
      </c>
      <c r="W12" s="566">
        <v>0.89996720000000019</v>
      </c>
      <c r="X12" s="566">
        <v>0.89998360000000022</v>
      </c>
      <c r="Y12" s="567">
        <v>0.90000000000000024</v>
      </c>
      <c r="AA12" s="568">
        <v>9</v>
      </c>
      <c r="AB12" s="565">
        <f xml:space="preserve"> 0.000039472663479923 + ((1 - 0)*0 + 0*0)</f>
        <v>3.9472663479922997E-5</v>
      </c>
      <c r="AC12" s="566">
        <f xml:space="preserve"> 0.0000315889711130064 + ((1 - 0.1)*0 + 0.1*0)</f>
        <v>3.1588971113006398E-5</v>
      </c>
      <c r="AD12" s="566">
        <f xml:space="preserve"> 0.0000213073536347498 + ((1 - 0.2)*0 + 0.2*0)</f>
        <v>2.1307353634749801E-5</v>
      </c>
      <c r="AE12" s="566">
        <f xml:space="preserve"> 8.89424716863532E-06 + ((1 - 0.3)*0 + 0.3*0)</f>
        <v>8.8942471686353208E-6</v>
      </c>
      <c r="AF12" s="566">
        <f xml:space="preserve"> -5.38391216185474E-06 + ((1 - 0.4)*0 + 0.4*0)</f>
        <v>-5.3839121618547399E-6</v>
      </c>
      <c r="AG12" s="566">
        <f xml:space="preserve"> -0.0000212606882332382 + ((1 - 0.5)*0 + 0.5*0)</f>
        <v>-2.1260688233238201E-5</v>
      </c>
      <c r="AH12" s="566">
        <f xml:space="preserve"> -0.0000384696449220327 + ((1 - 0.6)*0 + 0.6*0)</f>
        <v>-3.8469644922032702E-5</v>
      </c>
      <c r="AI12" s="566">
        <f xml:space="preserve"> -0.0000567443461047563 + ((1 - 0.7)*0 + 0.7*0)</f>
        <v>-5.6744346104756302E-5</v>
      </c>
      <c r="AJ12" s="566">
        <f xml:space="preserve"> -0.0000758183556579264 + ((1 - 0.8000001)*0 + 0.8000001*0)</f>
        <v>-7.5818355657926393E-5</v>
      </c>
      <c r="AK12" s="566">
        <f xml:space="preserve"> -0.000095425237458061 + ((1 - 0.9000001)*0 + 0.9000001*0)</f>
        <v>-9.5425237458061002E-5</v>
      </c>
      <c r="AL12" s="567">
        <f xml:space="preserve"> -0.000115298555381678 + ((1 - 1)*0 + 1*0)</f>
        <v>-1.15298555381678E-4</v>
      </c>
      <c r="AN12" s="568">
        <v>9</v>
      </c>
      <c r="AO12" s="565">
        <f xml:space="preserve"> 0.0177153952419057 + ((1 - 0)*0 + 0*0)</f>
        <v>1.7715395241905699E-2</v>
      </c>
      <c r="AP12" s="566">
        <f xml:space="preserve"> 0.182515523624825 + ((1 - 0.1)*0 + 0.1*0)</f>
        <v>0.18251552362482501</v>
      </c>
      <c r="AQ12" s="566">
        <f xml:space="preserve"> 0.397441703077245 + ((1 - 0.2)*0 + 0.2*0)</f>
        <v>0.39744170307724502</v>
      </c>
      <c r="AR12" s="566">
        <f xml:space="preserve"> 0.656924372369223 + ((1 - 0.3)*0 + 0.3*0)</f>
        <v>0.65692437236922296</v>
      </c>
      <c r="AS12" s="566">
        <f xml:space="preserve"> 0.955393970270813 + ((1 - 0.4)*0 + 0.4*0)</f>
        <v>0.95539397027081296</v>
      </c>
      <c r="AT12" s="566">
        <f xml:space="preserve"> 1.28728093555207 + ((1 - 0.5)*0 + 0.5*0)</f>
        <v>1.28728093555207</v>
      </c>
      <c r="AU12" s="566">
        <f xml:space="preserve"> 1.64701570698305 + ((1 - 0.6)*0 + 0.6*0)</f>
        <v>1.64701570698305</v>
      </c>
      <c r="AV12" s="566">
        <f xml:space="preserve"> 2.02902872333381 + ((1 - 0.7)*0 + 0.7*0)</f>
        <v>2.02902872333381</v>
      </c>
      <c r="AW12" s="566">
        <f xml:space="preserve"> 2.4277504233744 + ((1 - 0.8000001)*0 + 0.8000001*0)</f>
        <v>2.4277504233744001</v>
      </c>
      <c r="AX12" s="566">
        <f xml:space="preserve"> 2.83761124587488 + ((1 - 0.9000001)*0 + 0.9000001*0)</f>
        <v>2.8376112458748799</v>
      </c>
      <c r="AY12" s="567">
        <f xml:space="preserve"> 3.25304162960531 + ((1 - 1)*0 + 1*0)</f>
        <v>3.2530416296053102</v>
      </c>
      <c r="BA12" s="569">
        <v>9</v>
      </c>
      <c r="BB12" s="565">
        <f>IF(ISNUMBER(System!$C12),PlotData!B12+ $BF$1*AB12,$CB$3)</f>
        <v>5.2717978921260542</v>
      </c>
      <c r="BC12" s="566">
        <f>IF(ISNUMBER(System!$C12),PlotData!C12+ $BF$1*AC12,$CB$3)</f>
        <v>5.6146139252056262</v>
      </c>
      <c r="BD12" s="566">
        <f>IF(ISNUMBER(System!$C12),PlotData!D12+ $BF$1*AD12,$CB$3)</f>
        <v>5.9574274133801373</v>
      </c>
      <c r="BE12" s="566">
        <f>IF(ISNUMBER(System!$C12),PlotData!E12+ $BF$1*AE12,$CB$3)</f>
        <v>6.3002386394168175</v>
      </c>
      <c r="BF12" s="566">
        <f>IF(ISNUMBER(System!$C12),PlotData!F12+ $BF$1*AF12,$CB$3)</f>
        <v>6.6430478860828952</v>
      </c>
      <c r="BG12" s="566">
        <f>IF(ISNUMBER(System!$C12),PlotData!G12+ $BF$1*AG12,$CB$3)</f>
        <v>6.9858554361455996</v>
      </c>
      <c r="BH12" s="566">
        <f>IF(ISNUMBER(System!$C12),PlotData!H12+ $BF$1*AH12,$CB$3)</f>
        <v>7.3286615723721598</v>
      </c>
      <c r="BI12" s="566">
        <f>IF(ISNUMBER(System!$C12),PlotData!I12+ $BF$1*AI12,$CB$3)</f>
        <v>7.6714665775298041</v>
      </c>
      <c r="BJ12" s="566">
        <f>IF(ISNUMBER(System!$C12),PlotData!J12+ $BF$1*AJ12,$CB$3)</f>
        <v>8.0142707343857609</v>
      </c>
      <c r="BK12" s="566">
        <f>IF(ISNUMBER(System!$C12),PlotData!K12+ $BF$1*AK12,$CB$3)</f>
        <v>8.3570743257072611</v>
      </c>
      <c r="BL12" s="567">
        <f>IF(ISNUMBER(System!$C12),PlotData!L12+ $BF$1*AL12,$CB$3)</f>
        <v>8.6998776342615312</v>
      </c>
      <c r="BN12" s="569">
        <v>9</v>
      </c>
      <c r="BO12" s="565">
        <f>IF(ISNUMBER(System!$C12),O12+ $BF$1*AO12,$CB$4)</f>
        <v>0.91863725396015683</v>
      </c>
      <c r="BP12" s="566">
        <f>IF(ISNUMBER(System!$C12),P12+ $BF$1*AP12,$CB$4)</f>
        <v>1.0935551463674138</v>
      </c>
      <c r="BQ12" s="566">
        <f>IF(ISNUMBER(System!$C12),Q12+ $BF$1*AQ12,$CB$4)</f>
        <v>1.3216715479418923</v>
      </c>
      <c r="BR12" s="566">
        <f>IF(ISNUMBER(System!$C12),R12+ $BF$1*AR12,$CB$4)</f>
        <v>1.5970755132205698</v>
      </c>
      <c r="BS12" s="566">
        <f>IF(ISNUMBER(System!$C12),S12+ $BF$1*AS12,$CB$4)</f>
        <v>1.9138560967404201</v>
      </c>
      <c r="BT12" s="566">
        <f>IF(ISNUMBER(System!$C12),T12+ $BF$1*AT12,$CB$4)</f>
        <v>2.2661023530384181</v>
      </c>
      <c r="BU12" s="566">
        <f>IF(ISNUMBER(System!$C12),U12+ $BF$1*AU12,$CB$4)</f>
        <v>2.6479033366515399</v>
      </c>
      <c r="BV12" s="566">
        <f>IF(ISNUMBER(System!$C12),V12+ $BF$1*AV12,$CB$4)</f>
        <v>3.0533481021167619</v>
      </c>
      <c r="BW12" s="566">
        <f>IF(ISNUMBER(System!$C12),W12+ $BF$1*AW12,$CB$4)</f>
        <v>3.4765257039710544</v>
      </c>
      <c r="BX12" s="566">
        <f>IF(ISNUMBER(System!$C12),X12+ $BF$1*AX12,$CB$4)</f>
        <v>3.9115251967513966</v>
      </c>
      <c r="BY12" s="567">
        <f>IF(ISNUMBER(System!$C12),Y12+ $BF$1*AY12,$CB$4)</f>
        <v>4.3524356349947695</v>
      </c>
    </row>
    <row r="13" spans="1:85" x14ac:dyDescent="0.35">
      <c r="A13" s="564">
        <v>10</v>
      </c>
      <c r="B13" s="565">
        <v>3.38565</v>
      </c>
      <c r="C13" s="566">
        <v>3.4370850000000002</v>
      </c>
      <c r="D13" s="566">
        <v>3.4885200000000003</v>
      </c>
      <c r="E13" s="566">
        <v>3.5399550000000004</v>
      </c>
      <c r="F13" s="566">
        <v>3.5913900000000005</v>
      </c>
      <c r="G13" s="566">
        <v>3.6428250000000006</v>
      </c>
      <c r="H13" s="566">
        <v>3.6942600000000008</v>
      </c>
      <c r="I13" s="566">
        <v>3.7456950000000009</v>
      </c>
      <c r="J13" s="566">
        <v>3.797130000000001</v>
      </c>
      <c r="K13" s="566">
        <v>3.8485650000000011</v>
      </c>
      <c r="L13" s="567">
        <v>3.9000000000000012</v>
      </c>
      <c r="N13" s="564">
        <v>10</v>
      </c>
      <c r="O13" s="565">
        <v>2.7293310000000002</v>
      </c>
      <c r="P13" s="566">
        <v>2.2463979000000003</v>
      </c>
      <c r="Q13" s="566">
        <v>1.7634648000000002</v>
      </c>
      <c r="R13" s="566">
        <v>1.2805317000000001</v>
      </c>
      <c r="S13" s="566">
        <v>0.79759859999999994</v>
      </c>
      <c r="T13" s="566">
        <v>0.31466549999999988</v>
      </c>
      <c r="U13" s="566">
        <v>-0.16826760000000018</v>
      </c>
      <c r="V13" s="566">
        <v>-0.65120070000000019</v>
      </c>
      <c r="W13" s="566">
        <v>-1.1341338000000003</v>
      </c>
      <c r="X13" s="566">
        <v>-1.6170669000000004</v>
      </c>
      <c r="Y13" s="567">
        <v>-2.1000000000000005</v>
      </c>
      <c r="AA13" s="568">
        <v>10</v>
      </c>
      <c r="AB13" s="565">
        <f xml:space="preserve"> -0.0304595446818631 + ((1 - 0)*0 + 0*0)</f>
        <v>-3.0459544681863099E-2</v>
      </c>
      <c r="AC13" s="566">
        <f xml:space="preserve"> -0.0319644480163232 + ((1 - 0.1)*0 + 0.1*0)</f>
        <v>-3.1964448016323199E-2</v>
      </c>
      <c r="AD13" s="566">
        <f xml:space="preserve"> -0.0320571319012593 + ((1 - 0.2)*0 + 0.2*0)</f>
        <v>-3.2057131901259299E-2</v>
      </c>
      <c r="AE13" s="566">
        <f xml:space="preserve"> -0.0308911190769767 + ((1 - 0.3)*0 + 0.3*0)</f>
        <v>-3.0891119076976701E-2</v>
      </c>
      <c r="AF13" s="566">
        <f xml:space="preserve"> -0.0286199322837803 + ((1 - 0.4)*0 + 0.4*0)</f>
        <v>-2.8619932283780299E-2</v>
      </c>
      <c r="AG13" s="566">
        <f xml:space="preserve"> -0.0253970942619754 + ((1 - 0.5)*0 + 0.5*0)</f>
        <v>-2.5397094261975402E-2</v>
      </c>
      <c r="AH13" s="566">
        <f xml:space="preserve"> -0.0213761277518671 + ((1 - 0.6)*0 + 0.6*0)</f>
        <v>-2.1376127751867102E-2</v>
      </c>
      <c r="AI13" s="566">
        <f xml:space="preserve"> -0.0167105554937604 + ((1 - 0.7)*0 + 0.7*0)</f>
        <v>-1.6710555493760399E-2</v>
      </c>
      <c r="AJ13" s="566">
        <f xml:space="preserve"> -0.0115539002279605 + ((1 - 0.8000001)*0 + 0.8000001*0)</f>
        <v>-1.15539002279605E-2</v>
      </c>
      <c r="AK13" s="566">
        <f xml:space="preserve"> -0.00605968469477249 + ((1 - 0.9000001)*0 + 0.9000001*0)</f>
        <v>-6.0596846947724896E-3</v>
      </c>
      <c r="AL13" s="567">
        <f xml:space="preserve"> -0.000381431634501562 + ((1 - 1)*0 + 1*0)</f>
        <v>-3.8143163450156202E-4</v>
      </c>
      <c r="AN13" s="568">
        <v>10</v>
      </c>
      <c r="AO13" s="565">
        <f xml:space="preserve"> -0.00299638554031647 + ((1 - 0)*0 + 0*0)</f>
        <v>-2.9963855403164698E-3</v>
      </c>
      <c r="AP13" s="566">
        <f xml:space="preserve"> -0.00315666592492466 + ((1 - 0.1)*0 + 0.1*0)</f>
        <v>-3.1566659249246602E-3</v>
      </c>
      <c r="AQ13" s="566">
        <f xml:space="preserve"> -0.00316653726242826 + ((1 - 0.2)*0 + 0.2*0)</f>
        <v>-3.1665372624282602E-3</v>
      </c>
      <c r="AR13" s="566">
        <f xml:space="preserve"> -0.00304235055910038 + ((1 - 0.3)*0 + 0.3*0)</f>
        <v>-3.0423505591003798E-3</v>
      </c>
      <c r="AS13" s="566">
        <f xml:space="preserve"> -0.00280045682121415 + ((1 - 0.4)*0 + 0.4*0)</f>
        <v>-2.8004568212141498E-3</v>
      </c>
      <c r="AT13" s="566">
        <f xml:space="preserve"> -0.00245720705504266 + ((1 - 0.5)*0 + 0.5*0)</f>
        <v>-2.45720705504266E-3</v>
      </c>
      <c r="AU13" s="566">
        <f xml:space="preserve"> -0.00202895226685905 + ((1 - 0.6)*0 + 0.6*0)</f>
        <v>-2.0289522668590501E-3</v>
      </c>
      <c r="AV13" s="566">
        <f xml:space="preserve"> -0.00153204346293641 + ((1 - 0.7)*0 + 0.7*0)</f>
        <v>-1.53204346293641E-3</v>
      </c>
      <c r="AW13" s="566">
        <f xml:space="preserve"> -0.000982831649547871 + ((1 - 0.8000001)*0 + 0.8000001*0)</f>
        <v>-9.8283164954787098E-4</v>
      </c>
      <c r="AX13" s="566">
        <f xml:space="preserve"> -0.000397667832966535 + ((1 - 0.9000001)*0 + 0.9000001*0)</f>
        <v>-3.9766783296653498E-4</v>
      </c>
      <c r="AY13" s="567">
        <f xml:space="preserve"> 0.000207096980534483 + ((1 - 1)*0 + 1*0)</f>
        <v>2.0709698053448299E-4</v>
      </c>
      <c r="BA13" s="569">
        <v>10</v>
      </c>
      <c r="BB13" s="565">
        <f>IF(ISNUMBER(System!$C13),PlotData!B13+ $BF$1*AB13,$CB$3)</f>
        <v>3.3533234485878256</v>
      </c>
      <c r="BC13" s="566">
        <f>IF(ISNUMBER(System!$C13),PlotData!C13+ $BF$1*AC13,$CB$3)</f>
        <v>3.403161302749965</v>
      </c>
      <c r="BD13" s="566">
        <f>IF(ISNUMBER(System!$C13),PlotData!D13+ $BF$1*AD13,$CB$3)</f>
        <v>3.4544979378399585</v>
      </c>
      <c r="BE13" s="566">
        <f>IF(ISNUMBER(System!$C13),PlotData!E13+ $BF$1*AE13,$CB$3)</f>
        <v>3.5071704209968844</v>
      </c>
      <c r="BF13" s="566">
        <f>IF(ISNUMBER(System!$C13),PlotData!F13+ $BF$1*AF13,$CB$3)</f>
        <v>3.5610158193598194</v>
      </c>
      <c r="BG13" s="566">
        <f>IF(ISNUMBER(System!$C13),PlotData!G13+ $BF$1*AG13,$CB$3)</f>
        <v>3.6158712000678421</v>
      </c>
      <c r="BH13" s="566">
        <f>IF(ISNUMBER(System!$C13),PlotData!H13+ $BF$1*AH13,$CB$3)</f>
        <v>3.671573630260029</v>
      </c>
      <c r="BI13" s="566">
        <f>IF(ISNUMBER(System!$C13),PlotData!I13+ $BF$1*AI13,$CB$3)</f>
        <v>3.7279601770754582</v>
      </c>
      <c r="BJ13" s="566">
        <f>IF(ISNUMBER(System!$C13),PlotData!J13+ $BF$1*AJ13,$CB$3)</f>
        <v>3.784867907653207</v>
      </c>
      <c r="BK13" s="566">
        <f>IF(ISNUMBER(System!$C13),PlotData!K13+ $BF$1*AK13,$CB$3)</f>
        <v>3.8421338891323535</v>
      </c>
      <c r="BL13" s="567">
        <f>IF(ISNUMBER(System!$C13),PlotData!L13+ $BF$1*AL13,$CB$3)</f>
        <v>3.8995951886519746</v>
      </c>
      <c r="BN13" s="569">
        <v>10</v>
      </c>
      <c r="BO13" s="565">
        <f>IF(ISNUMBER(System!$C13),O13+ $BF$1*AO13,$CB$4)</f>
        <v>2.726150952096086</v>
      </c>
      <c r="BP13" s="566">
        <f>IF(ISNUMBER(System!$C13),P13+ $BF$1*AP13,$CB$4)</f>
        <v>2.2430477473835069</v>
      </c>
      <c r="BQ13" s="566">
        <f>IF(ISNUMBER(System!$C13),Q13+ $BF$1*AQ13,$CB$4)</f>
        <v>1.7601041709859557</v>
      </c>
      <c r="BR13" s="566">
        <f>IF(ISNUMBER(System!$C13),R13+ $BF$1*AR13,$CB$4)</f>
        <v>1.2773028696681672</v>
      </c>
      <c r="BS13" s="566">
        <f>IF(ISNUMBER(System!$C13),S13+ $BF$1*AS13,$CB$4)</f>
        <v>0.79462649019487674</v>
      </c>
      <c r="BT13" s="566">
        <f>IF(ISNUMBER(System!$C13),T13+ $BF$1*AT13,$CB$4)</f>
        <v>0.31205767933081924</v>
      </c>
      <c r="BU13" s="566">
        <f>IF(ISNUMBER(System!$C13),U13+ $BF$1*AU13,$CB$4)</f>
        <v>-0.17042091615927032</v>
      </c>
      <c r="BV13" s="566">
        <f>IF(ISNUMBER(System!$C13),V13+ $BF$1*AV13,$CB$4)</f>
        <v>-0.65282664951065683</v>
      </c>
      <c r="BW13" s="566">
        <f>IF(ISNUMBER(System!$C13),W13+ $BF$1*AW13,$CB$4)</f>
        <v>-1.1351768739586054</v>
      </c>
      <c r="BX13" s="566">
        <f>IF(ISNUMBER(System!$C13),X13+ $BF$1*AX13,$CB$4)</f>
        <v>-1.617488942738381</v>
      </c>
      <c r="BY13" s="567">
        <f>IF(ISNUMBER(System!$C13),Y13+ $BF$1*AY13,$CB$4)</f>
        <v>-2.0997802090852487</v>
      </c>
    </row>
    <row r="14" spans="1:85" x14ac:dyDescent="0.35">
      <c r="A14" s="564">
        <v>11</v>
      </c>
      <c r="B14" s="565">
        <v>4.4060030000000001</v>
      </c>
      <c r="C14" s="566">
        <v>4.3554027</v>
      </c>
      <c r="D14" s="566">
        <v>4.3048023999999998</v>
      </c>
      <c r="E14" s="566">
        <v>4.2542020999999997</v>
      </c>
      <c r="F14" s="566">
        <v>4.2036017999999995</v>
      </c>
      <c r="G14" s="566">
        <v>4.1530014999999993</v>
      </c>
      <c r="H14" s="566">
        <v>4.1024011999999992</v>
      </c>
      <c r="I14" s="566">
        <v>4.051800899999999</v>
      </c>
      <c r="J14" s="566">
        <v>4.0012005999999989</v>
      </c>
      <c r="K14" s="566">
        <v>3.9506002999999987</v>
      </c>
      <c r="L14" s="567">
        <v>3.8999999999999986</v>
      </c>
      <c r="N14" s="564">
        <v>11</v>
      </c>
      <c r="O14" s="565">
        <v>2.7448269999999999</v>
      </c>
      <c r="P14" s="566">
        <v>2.2603442999999999</v>
      </c>
      <c r="Q14" s="566">
        <v>1.7758615999999998</v>
      </c>
      <c r="R14" s="566">
        <v>1.2913788999999998</v>
      </c>
      <c r="S14" s="566">
        <v>0.80689619999999973</v>
      </c>
      <c r="T14" s="566">
        <v>0.32241349999999969</v>
      </c>
      <c r="U14" s="566">
        <v>-0.16206920000000036</v>
      </c>
      <c r="V14" s="566">
        <v>-0.6465519000000004</v>
      </c>
      <c r="W14" s="566">
        <v>-1.1310346000000004</v>
      </c>
      <c r="X14" s="566">
        <v>-1.6155173000000005</v>
      </c>
      <c r="Y14" s="567">
        <v>-2.1000000000000005</v>
      </c>
      <c r="AA14" s="568">
        <v>11</v>
      </c>
      <c r="AB14" s="565">
        <f xml:space="preserve"> -0.0305560571055883 + ((1 - 0)*0 + 0*0)</f>
        <v>-3.05560571055883E-2</v>
      </c>
      <c r="AC14" s="566">
        <f xml:space="preserve"> -0.0323141231879071 + ((1 - 0.1)*0 + 0.1*0)</f>
        <v>-3.23141231879071E-2</v>
      </c>
      <c r="AD14" s="566">
        <f xml:space="preserve"> -0.032551199463777 + ((1 - 0.2)*0 + 0.2*0)</f>
        <v>-3.2551199463776999E-2</v>
      </c>
      <c r="AE14" s="566">
        <f xml:space="preserve"> -0.0314396963914975 + ((1 - 0.3)*0 + 0.3*0)</f>
        <v>-3.1439696391497497E-2</v>
      </c>
      <c r="AF14" s="566">
        <f xml:space="preserve"> -0.0291520244293678 + ((1 - 0.4)*0 + 0.4*0)</f>
        <v>-2.91520244293678E-2</v>
      </c>
      <c r="AG14" s="566">
        <f xml:space="preserve"> -0.0258605940356874 + ((1 - 0.5)*0 + 0.5*0)</f>
        <v>-2.5860594035687402E-2</v>
      </c>
      <c r="AH14" s="566">
        <f xml:space="preserve"> -0.0217378156687556 + ((1 - 0.6)*0 + 0.6*0)</f>
        <v>-2.17378156687556E-2</v>
      </c>
      <c r="AI14" s="566">
        <f xml:space="preserve"> -0.0169560997868718 + ((1 - 0.7)*0 + 0.7*0)</f>
        <v>-1.6956099786871799E-2</v>
      </c>
      <c r="AJ14" s="566">
        <f xml:space="preserve"> -0.0116878568483352 + ((1 - 0.8000001)*0 + 0.8000001*0)</f>
        <v>-1.1687856848335201E-2</v>
      </c>
      <c r="AK14" s="566">
        <f xml:space="preserve"> -0.00610549731144538 + ((1 - 0.9000001)*0 + 0.9000001*0)</f>
        <v>-6.1054973114453804E-3</v>
      </c>
      <c r="AL14" s="567">
        <f xml:space="preserve"> -0.000381431634501562 + ((1 - 1)*0 + 1*0)</f>
        <v>-3.8143163450156202E-4</v>
      </c>
      <c r="AN14" s="568">
        <v>11</v>
      </c>
      <c r="AO14" s="565">
        <f xml:space="preserve"> 0.0033585925885805 + ((1 - 0)*0 + 0*0)</f>
        <v>3.3585925885805E-3</v>
      </c>
      <c r="AP14" s="566">
        <f xml:space="preserve"> 0.003542208373386 + ((1 - 0.1)*0 + 0.1*0)</f>
        <v>3.5422083733859999E-3</v>
      </c>
      <c r="AQ14" s="566">
        <f xml:space="preserve"> 0.00356696907316318 + ((1 - 0.2)*0 + 0.2*0)</f>
        <v>3.5669690731631801E-3</v>
      </c>
      <c r="AR14" s="566">
        <f xml:space="preserve"> 0.00345088156599681 + ((1 - 0.3)*0 + 0.3*0)</f>
        <v>3.45088156599681E-3</v>
      </c>
      <c r="AS14" s="566">
        <f xml:space="preserve"> 0.00321195272997168 + ((1 - 0.4)*0 + 0.4*0)</f>
        <v>3.21195272997168E-3</v>
      </c>
      <c r="AT14" s="566">
        <f xml:space="preserve"> 0.00286818944317256 + ((1 - 0.5)*0 + 0.5*0)</f>
        <v>2.86818944317256E-3</v>
      </c>
      <c r="AU14" s="566">
        <f xml:space="preserve"> 0.00243759858368424 + ((1 - 0.6)*0 + 0.6*0)</f>
        <v>2.4375985836842399E-3</v>
      </c>
      <c r="AV14" s="566">
        <f xml:space="preserve"> 0.00193818702959149 + ((1 - 0.7)*0 + 0.7*0)</f>
        <v>1.9381870295914899E-3</v>
      </c>
      <c r="AW14" s="566">
        <f xml:space="preserve"> 0.00138796165897909 + ((1 - 0.8000001)*0 + 0.8000001*0)</f>
        <v>1.3879616589790901E-3</v>
      </c>
      <c r="AX14" s="566">
        <f xml:space="preserve"> 0.000804929349931832 + ((1 - 0.9000001)*0 + 0.9000001*0)</f>
        <v>8.0492934993183201E-4</v>
      </c>
      <c r="AY14" s="567">
        <f xml:space="preserve"> 0.000207096980534484 + ((1 - 1)*0 + 1*0)</f>
        <v>2.0709698053448399E-4</v>
      </c>
      <c r="BA14" s="569">
        <v>11</v>
      </c>
      <c r="BB14" s="565">
        <f>IF(ISNUMBER(System!$C14),PlotData!B14+ $BF$1*AB14,$CB$3)</f>
        <v>4.3735740204701354</v>
      </c>
      <c r="BC14" s="566">
        <f>IF(ISNUMBER(System!$C14),PlotData!C14+ $BF$1*AC14,$CB$3)</f>
        <v>4.321107894365718</v>
      </c>
      <c r="BD14" s="566">
        <f>IF(ISNUMBER(System!$C14),PlotData!D14+ $BF$1*AD14,$CB$3)</f>
        <v>4.2702559865856093</v>
      </c>
      <c r="BE14" s="566">
        <f>IF(ISNUMBER(System!$C14),PlotData!E14+ $BF$1*AE14,$CB$3)</f>
        <v>4.2208353188350776</v>
      </c>
      <c r="BF14" s="566">
        <f>IF(ISNUMBER(System!$C14),PlotData!F14+ $BF$1*AF14,$CB$3)</f>
        <v>4.1726629128193888</v>
      </c>
      <c r="BG14" s="566">
        <f>IF(ISNUMBER(System!$C14),PlotData!G14+ $BF$1*AG14,$CB$3)</f>
        <v>4.1255557902438129</v>
      </c>
      <c r="BH14" s="566">
        <f>IF(ISNUMBER(System!$C14),PlotData!H14+ $BF$1*AH14,$CB$3)</f>
        <v>4.0793309728136151</v>
      </c>
      <c r="BI14" s="566">
        <f>IF(ISNUMBER(System!$C14),PlotData!I14+ $BF$1*AI14,$CB$3)</f>
        <v>4.0338054822340643</v>
      </c>
      <c r="BJ14" s="566">
        <f>IF(ISNUMBER(System!$C14),PlotData!J14+ $BF$1*AJ14,$CB$3)</f>
        <v>3.9887963402104289</v>
      </c>
      <c r="BK14" s="566">
        <f>IF(ISNUMBER(System!$C14),PlotData!K14+ $BF$1*AK14,$CB$3)</f>
        <v>3.9441205684479756</v>
      </c>
      <c r="BL14" s="567">
        <f>IF(ISNUMBER(System!$C14),PlotData!L14+ $BF$1*AL14,$CB$3)</f>
        <v>3.899595188651972</v>
      </c>
      <c r="BN14" s="569">
        <v>11</v>
      </c>
      <c r="BO14" s="565">
        <f>IF(ISNUMBER(System!$C14),O14+ $BF$1*AO14,$CB$4)</f>
        <v>2.7483914563016709</v>
      </c>
      <c r="BP14" s="566">
        <f>IF(ISNUMBER(System!$C14),P14+ $BF$1*AP14,$CB$4)</f>
        <v>2.2641036267493284</v>
      </c>
      <c r="BQ14" s="566">
        <f>IF(ISNUMBER(System!$C14),Q14+ $BF$1*AQ14,$CB$4)</f>
        <v>1.779647205147207</v>
      </c>
      <c r="BR14" s="566">
        <f>IF(ISNUMBER(System!$C14),R14+ $BF$1*AR14,$CB$4)</f>
        <v>1.2950413020984444</v>
      </c>
      <c r="BS14" s="566">
        <f>IF(ISNUMBER(System!$C14),S14+ $BF$1*AS14,$CB$4)</f>
        <v>0.81030502820617867</v>
      </c>
      <c r="BT14" s="566">
        <f>IF(ISNUMBER(System!$C14),T14+ $BF$1*AT14,$CB$4)</f>
        <v>0.32545749407354807</v>
      </c>
      <c r="BU14" s="566">
        <f>IF(ISNUMBER(System!$C14),U14+ $BF$1*AU14,$CB$4)</f>
        <v>-0.15948218969630951</v>
      </c>
      <c r="BV14" s="566">
        <f>IF(ISNUMBER(System!$C14),V14+ $BF$1*AV14,$CB$4)</f>
        <v>-0.64449491250025603</v>
      </c>
      <c r="BW14" s="566">
        <f>IF(ISNUMBER(System!$C14),W14+ $BF$1*AW14,$CB$4)</f>
        <v>-1.1295615637351533</v>
      </c>
      <c r="BX14" s="566">
        <f>IF(ISNUMBER(System!$C14),X14+ $BF$1*AX14,$CB$4)</f>
        <v>-1.6146630327978635</v>
      </c>
      <c r="BY14" s="567">
        <f>IF(ISNUMBER(System!$C14),Y14+ $BF$1*AY14,$CB$4)</f>
        <v>-2.0997802090852487</v>
      </c>
    </row>
    <row r="15" spans="1:85" x14ac:dyDescent="0.35">
      <c r="A15" s="564">
        <v>12</v>
      </c>
      <c r="B15" s="565">
        <v>3.38565</v>
      </c>
      <c r="C15" s="566">
        <v>3.3021666999999999</v>
      </c>
      <c r="D15" s="566">
        <v>3.2186833999999998</v>
      </c>
      <c r="E15" s="566">
        <v>3.1352000999999996</v>
      </c>
      <c r="F15" s="566">
        <v>3.0517167999999995</v>
      </c>
      <c r="G15" s="566">
        <v>2.9682334999999993</v>
      </c>
      <c r="H15" s="566">
        <v>2.8847501999999992</v>
      </c>
      <c r="I15" s="566">
        <v>2.801266899999999</v>
      </c>
      <c r="J15" s="566">
        <v>2.7177835999999989</v>
      </c>
      <c r="K15" s="566">
        <v>2.6343002999999987</v>
      </c>
      <c r="L15" s="567">
        <v>2.5508169999999986</v>
      </c>
      <c r="N15" s="564">
        <v>12</v>
      </c>
      <c r="O15" s="565">
        <v>2.7293310000000002</v>
      </c>
      <c r="P15" s="566">
        <v>2.5463815000000003</v>
      </c>
      <c r="Q15" s="566">
        <v>2.3634320000000004</v>
      </c>
      <c r="R15" s="566">
        <v>2.1804825000000005</v>
      </c>
      <c r="S15" s="566">
        <v>1.9975330000000004</v>
      </c>
      <c r="T15" s="566">
        <v>1.8145835000000003</v>
      </c>
      <c r="U15" s="566">
        <v>1.6316340000000003</v>
      </c>
      <c r="V15" s="566">
        <v>1.4486845000000002</v>
      </c>
      <c r="W15" s="566">
        <v>1.2657350000000001</v>
      </c>
      <c r="X15" s="566">
        <v>1.0827855</v>
      </c>
      <c r="Y15" s="567">
        <v>0.89983599999999986</v>
      </c>
      <c r="AA15" s="568">
        <v>12</v>
      </c>
      <c r="AB15" s="565">
        <f xml:space="preserve"> -0.0304595446818631 + ((1 - 0)*0 + 0*0)</f>
        <v>-3.0459544681863099E-2</v>
      </c>
      <c r="AC15" s="566">
        <f xml:space="preserve"> -0.0303009271562886 + ((1 - 0.1)*0 + 0.1*0)</f>
        <v>-3.0300927156288598E-2</v>
      </c>
      <c r="AD15" s="566">
        <f xml:space="preserve"> -0.0283890354690841 + ((1 - 0.2)*0 + 0.2*0)</f>
        <v>-2.8389035469084101E-2</v>
      </c>
      <c r="AE15" s="566">
        <f xml:space="preserve"> -0.0251407635556477 + ((1 - 0.3)*0 + 0.3*0)</f>
        <v>-2.5140763555647701E-2</v>
      </c>
      <c r="AF15" s="566">
        <f xml:space="preserve"> -0.0209730053513776 + ((1 - 0.4)*0 + 0.4*0)</f>
        <v>-2.09730053513776E-2</v>
      </c>
      <c r="AG15" s="566">
        <f xml:space="preserve"> -0.0163026547916719 + ((1 - 0.5)*0 + 0.5*0)</f>
        <v>-1.6302654791671901E-2</v>
      </c>
      <c r="AH15" s="566">
        <f xml:space="preserve"> -0.011546605811929 + ((1 - 0.6)*0 + 0.6*0)</f>
        <v>-1.1546605811928999E-2</v>
      </c>
      <c r="AI15" s="566">
        <f xml:space="preserve"> -0.00712175234754684 + ((1 - 0.7)*0 + 0.7*0)</f>
        <v>-7.1217523475468397E-3</v>
      </c>
      <c r="AJ15" s="566">
        <f xml:space="preserve"> -0.00344498833392377 + ((1 - 0.8000001)*0 + 0.8000001*0)</f>
        <v>-3.4449883339237701E-3</v>
      </c>
      <c r="AK15" s="566">
        <f xml:space="preserve"> -0.000933207706457925 + ((1 - 0.9000001)*0 + 0.9000001*0)</f>
        <v>-9.3320770645792495E-4</v>
      </c>
      <c r="AL15" s="567">
        <f xml:space="preserve"> -3.30440054750118E-06 + ((1 - 1)*0 + 1*0)</f>
        <v>-3.3044005475011801E-6</v>
      </c>
      <c r="AN15" s="568">
        <v>12</v>
      </c>
      <c r="AO15" s="565">
        <f xml:space="preserve"> -0.00299638554031647 + ((1 - 0)*0 + 0*0)</f>
        <v>-2.9963855403164698E-3</v>
      </c>
      <c r="AP15" s="566">
        <f xml:space="preserve"> -0.003068765702453 + ((1 - 0.1)*0 + 0.1*0)</f>
        <v>-3.0687657024530001E-3</v>
      </c>
      <c r="AQ15" s="566">
        <f xml:space="preserve"> -0.00394119786154831 + ((1 - 0.2)*0 + 0.2*0)</f>
        <v>-3.9411978615483097E-3</v>
      </c>
      <c r="AR15" s="566">
        <f xml:space="preserve"> -0.00542344546884428 + ((1 - 0.3)*0 + 0.3*0)</f>
        <v>-5.4234454688442801E-3</v>
      </c>
      <c r="AS15" s="566">
        <f xml:space="preserve"> -0.00732527197558276 + ((1 - 0.4)*0 + 0.4*0)</f>
        <v>-7.3252719755827599E-3</v>
      </c>
      <c r="AT15" s="566">
        <f xml:space="preserve"> -0.0094564408330056 + ((1 - 0.5)*0 + 0.5*0)</f>
        <v>-9.4564408330056002E-3</v>
      </c>
      <c r="AU15" s="566">
        <f xml:space="preserve"> -0.0116267154923547 + ((1 - 0.6)*0 + 0.6*0)</f>
        <v>-1.16267154923547E-2</v>
      </c>
      <c r="AV15" s="566">
        <f xml:space="preserve"> -0.0136458594048718 + ((1 - 0.7)*0 + 0.7*0)</f>
        <v>-1.3645859404871801E-2</v>
      </c>
      <c r="AW15" s="566">
        <f xml:space="preserve"> -0.0153236360217989 + ((1 - 0.8000001)*0 + 0.8000001*0)</f>
        <v>-1.5323636021798899E-2</v>
      </c>
      <c r="AX15" s="566">
        <f xml:space="preserve"> -0.0164698087943779 + ((1 - 0.9000001)*0 + 0.9000001*0)</f>
        <v>-1.6469808794377899E-2</v>
      </c>
      <c r="AY15" s="567">
        <f xml:space="preserve"> -0.0168941411738504 + ((1 - 1)*0 + 1*0)</f>
        <v>-1.6894141173850401E-2</v>
      </c>
      <c r="BA15" s="569">
        <v>12</v>
      </c>
      <c r="BB15" s="565">
        <f>IF(ISNUMBER(System!$C15),PlotData!B15+ $BF$1*AB15,$CB$3)</f>
        <v>3.3533234485878256</v>
      </c>
      <c r="BC15" s="566">
        <f>IF(ISNUMBER(System!$C15),PlotData!C15+ $BF$1*AC15,$CB$3)</f>
        <v>3.2700084885170302</v>
      </c>
      <c r="BD15" s="566">
        <f>IF(ISNUMBER(System!$C15),PlotData!D15+ $BF$1*AD15,$CB$3)</f>
        <v>3.188554268910925</v>
      </c>
      <c r="BE15" s="566">
        <f>IF(ISNUMBER(System!$C15),PlotData!E15+ $BF$1*AE15,$CB$3)</f>
        <v>3.1085183424717302</v>
      </c>
      <c r="BF15" s="566">
        <f>IF(ISNUMBER(System!$C15),PlotData!F15+ $BF$1*AF15,$CB$3)</f>
        <v>3.0294582619016666</v>
      </c>
      <c r="BG15" s="566">
        <f>IF(ISNUMBER(System!$C15),PlotData!G15+ $BF$1*AG15,$CB$3)</f>
        <v>2.9509315799029561</v>
      </c>
      <c r="BH15" s="566">
        <f>IF(ISNUMBER(System!$C15),PlotData!H15+ $BF$1*AH15,$CB$3)</f>
        <v>2.8724958491778185</v>
      </c>
      <c r="BI15" s="566">
        <f>IF(ISNUMBER(System!$C15),PlotData!I15+ $BF$1*AI15,$CB$3)</f>
        <v>2.7937086224284755</v>
      </c>
      <c r="BJ15" s="566">
        <f>IF(ISNUMBER(System!$C15),PlotData!J15+ $BF$1*AJ15,$CB$3)</f>
        <v>2.7141274523571473</v>
      </c>
      <c r="BK15" s="566">
        <f>IF(ISNUMBER(System!$C15),PlotData!K15+ $BF$1*AK15,$CB$3)</f>
        <v>2.6333098916660549</v>
      </c>
      <c r="BL15" s="567">
        <f>IF(ISNUMBER(System!$C15),PlotData!L15+ $BF$1*AL15,$CB$3)</f>
        <v>2.5508134930574196</v>
      </c>
      <c r="BN15" s="569">
        <v>12</v>
      </c>
      <c r="BO15" s="565">
        <f>IF(ISNUMBER(System!$C15),O15+ $BF$1*AO15,$CB$4)</f>
        <v>2.726150952096086</v>
      </c>
      <c r="BP15" s="566">
        <f>IF(ISNUMBER(System!$C15),P15+ $BF$1*AP15,$CB$4)</f>
        <v>2.5431246354181956</v>
      </c>
      <c r="BQ15" s="566">
        <f>IF(ISNUMBER(System!$C15),Q15+ $BF$1*AQ15,$CB$4)</f>
        <v>2.3592492278467203</v>
      </c>
      <c r="BR15" s="566">
        <f>IF(ISNUMBER(System!$C15),R15+ $BF$1*AR15,$CB$4)</f>
        <v>2.1747266264105929</v>
      </c>
      <c r="BS15" s="566">
        <f>IF(ISNUMBER(System!$C15),S15+ $BF$1*AS15,$CB$4)</f>
        <v>1.9897587281387459</v>
      </c>
      <c r="BT15" s="566">
        <f>IF(ISNUMBER(System!$C15),T15+ $BF$1*AT15,$CB$4)</f>
        <v>1.8045474300601116</v>
      </c>
      <c r="BU15" s="566">
        <f>IF(ISNUMBER(System!$C15),U15+ $BF$1*AU15,$CB$4)</f>
        <v>1.619294629203623</v>
      </c>
      <c r="BV15" s="566">
        <f>IF(ISNUMBER(System!$C15),V15+ $BF$1*AV15,$CB$4)</f>
        <v>1.4342022225982123</v>
      </c>
      <c r="BW15" s="566">
        <f>IF(ISNUMBER(System!$C15),W15+ $BF$1*AW15,$CB$4)</f>
        <v>1.2494721072728121</v>
      </c>
      <c r="BX15" s="566">
        <f>IF(ISNUMBER(System!$C15),X15+ $BF$1*AX15,$CB$4)</f>
        <v>1.0653061802563546</v>
      </c>
      <c r="BY15" s="567">
        <f>IF(ISNUMBER(System!$C15),Y15+ $BF$1*AY15,$CB$4)</f>
        <v>0.88190633857777267</v>
      </c>
    </row>
    <row r="16" spans="1:85" x14ac:dyDescent="0.35">
      <c r="A16" s="564">
        <v>13</v>
      </c>
      <c r="B16" s="565">
        <v>4.4060030000000001</v>
      </c>
      <c r="C16" s="566">
        <v>4.4925782999999999</v>
      </c>
      <c r="D16" s="566">
        <v>4.5791535999999997</v>
      </c>
      <c r="E16" s="566">
        <v>4.6657288999999995</v>
      </c>
      <c r="F16" s="566">
        <v>4.7523041999999993</v>
      </c>
      <c r="G16" s="566">
        <v>4.8388794999999991</v>
      </c>
      <c r="H16" s="566">
        <v>4.9254547999999989</v>
      </c>
      <c r="I16" s="566">
        <v>5.0120300999999987</v>
      </c>
      <c r="J16" s="566">
        <v>5.0986053999999985</v>
      </c>
      <c r="K16" s="566">
        <v>5.1851806999999983</v>
      </c>
      <c r="L16" s="567">
        <v>5.2717559999999981</v>
      </c>
      <c r="N16" s="564">
        <v>13</v>
      </c>
      <c r="O16" s="565">
        <v>2.7448269999999999</v>
      </c>
      <c r="P16" s="566">
        <v>2.5603278999999999</v>
      </c>
      <c r="Q16" s="566">
        <v>2.3758287999999999</v>
      </c>
      <c r="R16" s="566">
        <v>2.1913296999999998</v>
      </c>
      <c r="S16" s="566">
        <v>2.0068305999999998</v>
      </c>
      <c r="T16" s="566">
        <v>1.8223314999999998</v>
      </c>
      <c r="U16" s="566">
        <v>1.6378323999999997</v>
      </c>
      <c r="V16" s="566">
        <v>1.4533332999999997</v>
      </c>
      <c r="W16" s="566">
        <v>1.2688341999999997</v>
      </c>
      <c r="X16" s="566">
        <v>1.0843350999999997</v>
      </c>
      <c r="Y16" s="567">
        <v>0.89983599999999964</v>
      </c>
      <c r="AA16" s="568">
        <v>13</v>
      </c>
      <c r="AB16" s="565">
        <f xml:space="preserve"> -0.0305560571055883 + ((1 - 0)*0 + 0*0)</f>
        <v>-3.05560571055883E-2</v>
      </c>
      <c r="AC16" s="566">
        <f xml:space="preserve"> -0.0304939887575656 + ((1 - 0.1)*0 + 0.1*0)</f>
        <v>-3.04939887575656E-2</v>
      </c>
      <c r="AD16" s="566">
        <f xml:space="preserve"> -0.0286297964558452 + ((1 - 0.2)*0 + 0.2*0)</f>
        <v>-2.8629796455845201E-2</v>
      </c>
      <c r="AE16" s="566">
        <f xml:space="preserve"> -0.0253894862973233 + ((1 - 0.3)*0 + 0.3*0)</f>
        <v>-2.5389486297323301E-2</v>
      </c>
      <c r="AF16" s="566">
        <f xml:space="preserve"> -0.0211990643788962 + ((1 - 0.4)*0 + 0.4*0)</f>
        <v>-2.1199064378896199E-2</v>
      </c>
      <c r="AG16" s="566">
        <f xml:space="preserve"> -0.0164845367974604 + ((1 - 0.5)*0 + 0.5*0)</f>
        <v>-1.6484536797460401E-2</v>
      </c>
      <c r="AH16" s="566">
        <f xml:space="preserve"> -0.011671909649912 + ((1 - 0.6)*0 + 0.6*0)</f>
        <v>-1.1671909649912E-2</v>
      </c>
      <c r="AI16" s="566">
        <f xml:space="preserve"> -0.00718718903314752 + ((1 - 0.7)*0 + 0.7*0)</f>
        <v>-7.1871890331475204E-3</v>
      </c>
      <c r="AJ16" s="566">
        <f xml:space="preserve"> -0.00345638104406314 + ((1 - 0.8000001)*0 + 0.8000001*0)</f>
        <v>-3.45638104406314E-3</v>
      </c>
      <c r="AK16" s="566">
        <f xml:space="preserve"> -0.000905491779555221 + ((1 - 0.9000001)*0 + 0.9000001*0)</f>
        <v>-9.0549177955522096E-4</v>
      </c>
      <c r="AL16" s="567">
        <f xml:space="preserve"> 0.0000394726634799229 + ((1 - 1)*0 + 1*0)</f>
        <v>3.9472663479922903E-5</v>
      </c>
      <c r="AN16" s="568">
        <v>13</v>
      </c>
      <c r="AO16" s="565">
        <f xml:space="preserve"> 0.00335859258858049 + ((1 - 0)*0 + 0*0)</f>
        <v>3.35859258858049E-3</v>
      </c>
      <c r="AP16" s="566">
        <f xml:space="preserve"> 0.00338771785721637 + ((1 - 0.1)*0 + 0.1*0)</f>
        <v>3.3877178572163701E-3</v>
      </c>
      <c r="AQ16" s="566">
        <f xml:space="preserve"> 0.00426248097410501 + ((1 - 0.2)*0 + 0.2*0)</f>
        <v>4.2624809741050101E-3</v>
      </c>
      <c r="AR16" s="566">
        <f xml:space="preserve"> 0.00578298066254301 + ((1 - 0.3)*0 + 0.3*0)</f>
        <v>5.7829806625430101E-3</v>
      </c>
      <c r="AS16" s="566">
        <f xml:space="preserve"> 0.00774931564582697 + ((1 - 0.4)*0 + 0.4*0)</f>
        <v>7.7493156458269697E-3</v>
      </c>
      <c r="AT16" s="566">
        <f xml:space="preserve"> 0.0099615846472535 + ((1 - 0.5)*0 + 0.5*0)</f>
        <v>9.9615846472534998E-3</v>
      </c>
      <c r="AU16" s="566">
        <f xml:space="preserve"> 0.0122198863901192 + ((1 - 0.6)*0 + 0.6*0)</f>
        <v>1.22198863901192E-2</v>
      </c>
      <c r="AV16" s="566">
        <f xml:space="preserve"> 0.0143243195977207 + ((1 - 0.7)*0 + 0.7*0)</f>
        <v>1.43243195977207E-2</v>
      </c>
      <c r="AW16" s="566">
        <f xml:space="preserve"> 0.0160749829933545 + ((1 - 0.8000001)*0 + 0.8000001*0)</f>
        <v>1.6074982993354501E-2</v>
      </c>
      <c r="AX16" s="566">
        <f xml:space="preserve"> 0.0172719753003173 + ((1 - 0.9000001)*0 + 0.9000001*0)</f>
        <v>1.7271975300317301E-2</v>
      </c>
      <c r="AY16" s="567">
        <f xml:space="preserve"> 0.0177153952419057 + ((1 - 1)*0 + 1*0)</f>
        <v>1.7715395241905699E-2</v>
      </c>
      <c r="BA16" s="569">
        <v>13</v>
      </c>
      <c r="BB16" s="565">
        <f>IF(ISNUMBER(System!$C16),PlotData!B16+ $BF$1*AB16,$CB$3)</f>
        <v>4.3735740204701354</v>
      </c>
      <c r="BC16" s="566">
        <f>IF(ISNUMBER(System!$C16),PlotData!C16+ $BF$1*AC16,$CB$3)</f>
        <v>4.4602151932750109</v>
      </c>
      <c r="BD16" s="566">
        <f>IF(ISNUMBER(System!$C16),PlotData!D16+ $BF$1*AD16,$CB$3)</f>
        <v>4.5487689505669096</v>
      </c>
      <c r="BE16" s="566">
        <f>IF(ISNUMBER(System!$C16),PlotData!E16+ $BF$1*AE16,$CB$3)</f>
        <v>4.6387831743599239</v>
      </c>
      <c r="BF16" s="566">
        <f>IF(ISNUMBER(System!$C16),PlotData!F16+ $BF$1*AF16,$CB$3)</f>
        <v>4.7298057466681467</v>
      </c>
      <c r="BG16" s="566">
        <f>IF(ISNUMBER(System!$C16),PlotData!G16+ $BF$1*AG16,$CB$3)</f>
        <v>4.8213845495056704</v>
      </c>
      <c r="BH16" s="566">
        <f>IF(ISNUMBER(System!$C16),PlotData!H16+ $BF$1*AH16,$CB$3)</f>
        <v>4.9130674648865886</v>
      </c>
      <c r="BI16" s="566">
        <f>IF(ISNUMBER(System!$C16),PlotData!I16+ $BF$1*AI16,$CB$3)</f>
        <v>5.0044023748249931</v>
      </c>
      <c r="BJ16" s="566">
        <f>IF(ISNUMBER(System!$C16),PlotData!J16+ $BF$1*AJ16,$CB$3)</f>
        <v>5.0949371613349763</v>
      </c>
      <c r="BK16" s="566">
        <f>IF(ISNUMBER(System!$C16),PlotData!K16+ $BF$1*AK16,$CB$3)</f>
        <v>5.1842197064306319</v>
      </c>
      <c r="BL16" s="567">
        <f>IF(ISNUMBER(System!$C16),PlotData!L16+ $BF$1*AL16,$CB$3)</f>
        <v>5.2717978921260524</v>
      </c>
      <c r="BN16" s="569">
        <v>13</v>
      </c>
      <c r="BO16" s="565">
        <f>IF(ISNUMBER(System!$C16),O16+ $BF$1*AO16,$CB$4)</f>
        <v>2.7483914563016709</v>
      </c>
      <c r="BP16" s="566">
        <f>IF(ISNUMBER(System!$C16),P16+ $BF$1*AP16,$CB$4)</f>
        <v>2.5639232667930711</v>
      </c>
      <c r="BQ16" s="566">
        <f>IF(ISNUMBER(System!$C16),Q16+ $BF$1*AQ16,$CB$4)</f>
        <v>2.3803525481975516</v>
      </c>
      <c r="BR16" s="566">
        <f>IF(ISNUMBER(System!$C16),R16+ $BF$1*AR16,$CB$4)</f>
        <v>2.1974671463622437</v>
      </c>
      <c r="BS16" s="566">
        <f>IF(ISNUMBER(System!$C16),S16+ $BF$1*AS16,$CB$4)</f>
        <v>2.0150549071342807</v>
      </c>
      <c r="BT16" s="566">
        <f>IF(ISNUMBER(System!$C16),T16+ $BF$1*AT16,$CB$4)</f>
        <v>1.8329036763607947</v>
      </c>
      <c r="BU16" s="566">
        <f>IF(ISNUMBER(System!$C16),U16+ $BF$1*AU16,$CB$4)</f>
        <v>1.6508012998889181</v>
      </c>
      <c r="BV16" s="566">
        <f>IF(ISNUMBER(System!$C16),V16+ $BF$1*AV16,$CB$4)</f>
        <v>1.4685356235657836</v>
      </c>
      <c r="BW16" s="566">
        <f>IF(ISNUMBER(System!$C16),W16+ $BF$1*AW16,$CB$4)</f>
        <v>1.2858944932385235</v>
      </c>
      <c r="BX16" s="566">
        <f>IF(ISNUMBER(System!$C16),X16+ $BF$1*AX16,$CB$4)</f>
        <v>1.1026657547542704</v>
      </c>
      <c r="BY16" s="567">
        <f>IF(ISNUMBER(System!$C16),Y16+ $BF$1*AY16,$CB$4)</f>
        <v>0.9186372539601565</v>
      </c>
    </row>
    <row r="17" spans="1:78" x14ac:dyDescent="0.35">
      <c r="A17" s="564">
        <v>14</v>
      </c>
      <c r="B17" s="565">
        <v>-6.45</v>
      </c>
      <c r="C17" s="566">
        <v>-6.3900000000000006</v>
      </c>
      <c r="D17" s="566">
        <v>-6.33</v>
      </c>
      <c r="E17" s="566">
        <v>-6.27</v>
      </c>
      <c r="F17" s="566">
        <v>-6.2099999999999991</v>
      </c>
      <c r="G17" s="566">
        <v>-6.1499999999999986</v>
      </c>
      <c r="H17" s="566">
        <v>-6.0899999999999981</v>
      </c>
      <c r="I17" s="566">
        <v>-6.0299999999999976</v>
      </c>
      <c r="J17" s="566">
        <v>-5.9699999999999971</v>
      </c>
      <c r="K17" s="566">
        <v>-5.9099999999999966</v>
      </c>
      <c r="L17" s="567">
        <v>-5.8499999999999961</v>
      </c>
      <c r="N17" s="564">
        <v>14</v>
      </c>
      <c r="O17" s="565">
        <v>0.9</v>
      </c>
      <c r="P17" s="566">
        <v>0.9</v>
      </c>
      <c r="Q17" s="566">
        <v>0.9</v>
      </c>
      <c r="R17" s="566">
        <v>0.9</v>
      </c>
      <c r="S17" s="566">
        <v>0.9</v>
      </c>
      <c r="T17" s="566">
        <v>0.9</v>
      </c>
      <c r="U17" s="566">
        <v>0.9</v>
      </c>
      <c r="V17" s="566">
        <v>0.9</v>
      </c>
      <c r="W17" s="566">
        <v>0.9</v>
      </c>
      <c r="X17" s="566">
        <v>0.9</v>
      </c>
      <c r="Y17" s="567">
        <v>0.9</v>
      </c>
      <c r="AA17" s="568">
        <v>14</v>
      </c>
      <c r="AB17" s="565">
        <f xml:space="preserve"> 0 + ((1 - 0)*0 + 0*0)</f>
        <v>0</v>
      </c>
      <c r="AC17" s="566">
        <f xml:space="preserve"> 0 + ((1 - 0.1)*0 + 0.1*0)</f>
        <v>0</v>
      </c>
      <c r="AD17" s="566">
        <f xml:space="preserve"> 0 + ((1 - 0.2)*0 + 0.2*0)</f>
        <v>0</v>
      </c>
      <c r="AE17" s="566">
        <f xml:space="preserve"> 0 + ((1 - 0.3)*0 + 0.3*0)</f>
        <v>0</v>
      </c>
      <c r="AF17" s="566">
        <f xml:space="preserve"> 0 + ((1 - 0.4)*0 + 0.4*0)</f>
        <v>0</v>
      </c>
      <c r="AG17" s="566">
        <f xml:space="preserve"> 0 + ((1 - 0.5)*0 + 0.5*0)</f>
        <v>0</v>
      </c>
      <c r="AH17" s="566">
        <f xml:space="preserve"> 0 + ((1 - 0.6)*0 + 0.6*0)</f>
        <v>0</v>
      </c>
      <c r="AI17" s="566">
        <f xml:space="preserve"> 0 + ((1 - 0.7)*0 + 0.7*0)</f>
        <v>0</v>
      </c>
      <c r="AJ17" s="566">
        <f xml:space="preserve"> 0 + ((1 - 0.8000001)*0 + 0.8000001*0)</f>
        <v>0</v>
      </c>
      <c r="AK17" s="566">
        <f xml:space="preserve"> 0 + ((1 - 0.9000001)*0 + 0.9000001*0)</f>
        <v>0</v>
      </c>
      <c r="AL17" s="567">
        <f xml:space="preserve"> 0 + ((1 - 1)*0 + 1*0)</f>
        <v>0</v>
      </c>
      <c r="AN17" s="568">
        <v>14</v>
      </c>
      <c r="AO17" s="565">
        <f xml:space="preserve"> 0 + ((1 - 0)*0 + 0*0)</f>
        <v>0</v>
      </c>
      <c r="AP17" s="566">
        <f xml:space="preserve"> 0 + ((1 - 0.1)*0 + 0.1*0)</f>
        <v>0</v>
      </c>
      <c r="AQ17" s="566">
        <f xml:space="preserve"> 0 + ((1 - 0.2)*0 + 0.2*0)</f>
        <v>0</v>
      </c>
      <c r="AR17" s="566">
        <f xml:space="preserve"> 0 + ((1 - 0.3)*0 + 0.3*0)</f>
        <v>0</v>
      </c>
      <c r="AS17" s="566">
        <f xml:space="preserve"> 0 + ((1 - 0.4)*0 + 0.4*0)</f>
        <v>0</v>
      </c>
      <c r="AT17" s="566">
        <f xml:space="preserve"> 0 + ((1 - 0.5)*0 + 0.5*0)</f>
        <v>0</v>
      </c>
      <c r="AU17" s="566">
        <f xml:space="preserve"> 0 + ((1 - 0.6)*0 + 0.6*0)</f>
        <v>0</v>
      </c>
      <c r="AV17" s="566">
        <f xml:space="preserve"> 0 + ((1 - 0.7)*0 + 0.7*0)</f>
        <v>0</v>
      </c>
      <c r="AW17" s="566">
        <f xml:space="preserve"> 0 + ((1 - 0.8000001)*0 + 0.8000001*0)</f>
        <v>0</v>
      </c>
      <c r="AX17" s="566">
        <f xml:space="preserve"> 0 + ((1 - 0.9000001)*0 + 0.9000001*0)</f>
        <v>0</v>
      </c>
      <c r="AY17" s="567">
        <f xml:space="preserve"> 0 + ((1 - 1)*0 + 1*0)</f>
        <v>0</v>
      </c>
      <c r="BA17" s="569">
        <v>14</v>
      </c>
      <c r="BB17" s="565">
        <f>IF(ISNUMBER(System!$C17),PlotData!B17+ $BF$1*AB17,$CB$3)</f>
        <v>-6.45</v>
      </c>
      <c r="BC17" s="566">
        <f>IF(ISNUMBER(System!$C17),PlotData!C17+ $BF$1*AC17,$CB$3)</f>
        <v>-6.3900000000000006</v>
      </c>
      <c r="BD17" s="566">
        <f>IF(ISNUMBER(System!$C17),PlotData!D17+ $BF$1*AD17,$CB$3)</f>
        <v>-6.33</v>
      </c>
      <c r="BE17" s="566">
        <f>IF(ISNUMBER(System!$C17),PlotData!E17+ $BF$1*AE17,$CB$3)</f>
        <v>-6.27</v>
      </c>
      <c r="BF17" s="566">
        <f>IF(ISNUMBER(System!$C17),PlotData!F17+ $BF$1*AF17,$CB$3)</f>
        <v>-6.2099999999999991</v>
      </c>
      <c r="BG17" s="566">
        <f>IF(ISNUMBER(System!$C17),PlotData!G17+ $BF$1*AG17,$CB$3)</f>
        <v>-6.1499999999999986</v>
      </c>
      <c r="BH17" s="566">
        <f>IF(ISNUMBER(System!$C17),PlotData!H17+ $BF$1*AH17,$CB$3)</f>
        <v>-6.0899999999999981</v>
      </c>
      <c r="BI17" s="566">
        <f>IF(ISNUMBER(System!$C17),PlotData!I17+ $BF$1*AI17,$CB$3)</f>
        <v>-6.0299999999999976</v>
      </c>
      <c r="BJ17" s="566">
        <f>IF(ISNUMBER(System!$C17),PlotData!J17+ $BF$1*AJ17,$CB$3)</f>
        <v>-5.9699999999999971</v>
      </c>
      <c r="BK17" s="566">
        <f>IF(ISNUMBER(System!$C17),PlotData!K17+ $BF$1*AK17,$CB$3)</f>
        <v>-5.9099999999999966</v>
      </c>
      <c r="BL17" s="567">
        <f>IF(ISNUMBER(System!$C17),PlotData!L17+ $BF$1*AL17,$CB$3)</f>
        <v>-5.8499999999999961</v>
      </c>
      <c r="BN17" s="569">
        <v>14</v>
      </c>
      <c r="BO17" s="565">
        <f>IF(ISNUMBER(System!$C17),O17+ $BF$1*AO17,$CB$4)</f>
        <v>0.9</v>
      </c>
      <c r="BP17" s="566">
        <f>IF(ISNUMBER(System!$C17),P17+ $BF$1*AP17,$CB$4)</f>
        <v>0.9</v>
      </c>
      <c r="BQ17" s="566">
        <f>IF(ISNUMBER(System!$C17),Q17+ $BF$1*AQ17,$CB$4)</f>
        <v>0.9</v>
      </c>
      <c r="BR17" s="566">
        <f>IF(ISNUMBER(System!$C17),R17+ $BF$1*AR17,$CB$4)</f>
        <v>0.9</v>
      </c>
      <c r="BS17" s="566">
        <f>IF(ISNUMBER(System!$C17),S17+ $BF$1*AS17,$CB$4)</f>
        <v>0.9</v>
      </c>
      <c r="BT17" s="566">
        <f>IF(ISNUMBER(System!$C17),T17+ $BF$1*AT17,$CB$4)</f>
        <v>0.9</v>
      </c>
      <c r="BU17" s="566">
        <f>IF(ISNUMBER(System!$C17),U17+ $BF$1*AU17,$CB$4)</f>
        <v>0.9</v>
      </c>
      <c r="BV17" s="566">
        <f>IF(ISNUMBER(System!$C17),V17+ $BF$1*AV17,$CB$4)</f>
        <v>0.9</v>
      </c>
      <c r="BW17" s="566">
        <f>IF(ISNUMBER(System!$C17),W17+ $BF$1*AW17,$CB$4)</f>
        <v>0.9</v>
      </c>
      <c r="BX17" s="566">
        <f>IF(ISNUMBER(System!$C17),X17+ $BF$1*AX17,$CB$4)</f>
        <v>0.9</v>
      </c>
      <c r="BY17" s="567">
        <f>IF(ISNUMBER(System!$C17),Y17+ $BF$1*AY17,$CB$4)</f>
        <v>0.9</v>
      </c>
    </row>
    <row r="18" spans="1:78" x14ac:dyDescent="0.35">
      <c r="A18" s="564">
        <v>15</v>
      </c>
      <c r="B18" s="565">
        <v>-5.85</v>
      </c>
      <c r="C18" s="566">
        <v>-5.6999999999999993</v>
      </c>
      <c r="D18" s="566">
        <v>-5.5499999999999989</v>
      </c>
      <c r="E18" s="566">
        <v>-5.3999999999999986</v>
      </c>
      <c r="F18" s="566">
        <v>-5.2499999999999982</v>
      </c>
      <c r="G18" s="566">
        <v>-5.0999999999999979</v>
      </c>
      <c r="H18" s="566">
        <v>-4.9499999999999975</v>
      </c>
      <c r="I18" s="566">
        <v>-4.7999999999999972</v>
      </c>
      <c r="J18" s="566">
        <v>-4.6499999999999968</v>
      </c>
      <c r="K18" s="566">
        <v>-4.4999999999999964</v>
      </c>
      <c r="L18" s="567">
        <v>-4.3499999999999961</v>
      </c>
      <c r="N18" s="564">
        <v>15</v>
      </c>
      <c r="O18" s="565">
        <v>0.9</v>
      </c>
      <c r="P18" s="566">
        <v>0.9</v>
      </c>
      <c r="Q18" s="566">
        <v>0.9</v>
      </c>
      <c r="R18" s="566">
        <v>0.9</v>
      </c>
      <c r="S18" s="566">
        <v>0.9</v>
      </c>
      <c r="T18" s="566">
        <v>0.9</v>
      </c>
      <c r="U18" s="566">
        <v>0.9</v>
      </c>
      <c r="V18" s="566">
        <v>0.9</v>
      </c>
      <c r="W18" s="566">
        <v>0.9</v>
      </c>
      <c r="X18" s="566">
        <v>0.9</v>
      </c>
      <c r="Y18" s="567">
        <v>0.9</v>
      </c>
      <c r="AA18" s="568">
        <v>15</v>
      </c>
      <c r="AB18" s="565">
        <f xml:space="preserve"> 0 + ((1 - 0)*0 + 0*0)</f>
        <v>0</v>
      </c>
      <c r="AC18" s="566">
        <f xml:space="preserve"> 0 + ((1 - 0.1)*0 + 0.1*0)</f>
        <v>0</v>
      </c>
      <c r="AD18" s="566">
        <f xml:space="preserve"> 0 + ((1 - 0.2)*0 + 0.2*0)</f>
        <v>0</v>
      </c>
      <c r="AE18" s="566">
        <f xml:space="preserve"> 0 + ((1 - 0.3)*0 + 0.3*0)</f>
        <v>0</v>
      </c>
      <c r="AF18" s="566">
        <f xml:space="preserve"> 0 + ((1 - 0.4)*0 + 0.4*0)</f>
        <v>0</v>
      </c>
      <c r="AG18" s="566">
        <f xml:space="preserve"> 0 + ((1 - 0.5)*0 + 0.5*0)</f>
        <v>0</v>
      </c>
      <c r="AH18" s="566">
        <f xml:space="preserve"> 0 + ((1 - 0.6)*0 + 0.6*0)</f>
        <v>0</v>
      </c>
      <c r="AI18" s="566">
        <f xml:space="preserve"> 0 + ((1 - 0.7)*0 + 0.7*0)</f>
        <v>0</v>
      </c>
      <c r="AJ18" s="566">
        <f xml:space="preserve"> 0 + ((1 - 0.8000001)*0 + 0.8000001*0)</f>
        <v>0</v>
      </c>
      <c r="AK18" s="566">
        <f xml:space="preserve"> 0 + ((1 - 0.9000001)*0 + 0.9000001*0)</f>
        <v>0</v>
      </c>
      <c r="AL18" s="567">
        <f xml:space="preserve"> 0 + ((1 - 1)*0 + 1*0)</f>
        <v>0</v>
      </c>
      <c r="AN18" s="568">
        <v>15</v>
      </c>
      <c r="AO18" s="565">
        <f xml:space="preserve"> 0 + ((1 - 0)*0 + 0*0)</f>
        <v>0</v>
      </c>
      <c r="AP18" s="566">
        <f xml:space="preserve"> 0 + ((1 - 0.1)*0 + 0.1*0)</f>
        <v>0</v>
      </c>
      <c r="AQ18" s="566">
        <f xml:space="preserve"> 0 + ((1 - 0.2)*0 + 0.2*0)</f>
        <v>0</v>
      </c>
      <c r="AR18" s="566">
        <f xml:space="preserve"> 0 + ((1 - 0.3)*0 + 0.3*0)</f>
        <v>0</v>
      </c>
      <c r="AS18" s="566">
        <f xml:space="preserve"> 0 + ((1 - 0.4)*0 + 0.4*0)</f>
        <v>0</v>
      </c>
      <c r="AT18" s="566">
        <f xml:space="preserve"> 0 + ((1 - 0.5)*0 + 0.5*0)</f>
        <v>0</v>
      </c>
      <c r="AU18" s="566">
        <f xml:space="preserve"> 0 + ((1 - 0.6)*0 + 0.6*0)</f>
        <v>0</v>
      </c>
      <c r="AV18" s="566">
        <f xml:space="preserve"> 0 + ((1 - 0.7)*0 + 0.7*0)</f>
        <v>0</v>
      </c>
      <c r="AW18" s="566">
        <f xml:space="preserve"> 0 + ((1 - 0.8000001)*0 + 0.8000001*0)</f>
        <v>0</v>
      </c>
      <c r="AX18" s="566">
        <f xml:space="preserve"> 0 + ((1 - 0.9000001)*0 + 0.9000001*0)</f>
        <v>0</v>
      </c>
      <c r="AY18" s="567">
        <f xml:space="preserve"> 0 + ((1 - 1)*0 + 1*0)</f>
        <v>0</v>
      </c>
      <c r="BA18" s="569">
        <v>15</v>
      </c>
      <c r="BB18" s="565">
        <f>IF(ISNUMBER(System!$C18),PlotData!B18+ $BF$1*AB18,$CB$3)</f>
        <v>-5.85</v>
      </c>
      <c r="BC18" s="566">
        <f>IF(ISNUMBER(System!$C18),PlotData!C18+ $BF$1*AC18,$CB$3)</f>
        <v>-5.6999999999999993</v>
      </c>
      <c r="BD18" s="566">
        <f>IF(ISNUMBER(System!$C18),PlotData!D18+ $BF$1*AD18,$CB$3)</f>
        <v>-5.5499999999999989</v>
      </c>
      <c r="BE18" s="566">
        <f>IF(ISNUMBER(System!$C18),PlotData!E18+ $BF$1*AE18,$CB$3)</f>
        <v>-5.3999999999999986</v>
      </c>
      <c r="BF18" s="566">
        <f>IF(ISNUMBER(System!$C18),PlotData!F18+ $BF$1*AF18,$CB$3)</f>
        <v>-5.2499999999999982</v>
      </c>
      <c r="BG18" s="566">
        <f>IF(ISNUMBER(System!$C18),PlotData!G18+ $BF$1*AG18,$CB$3)</f>
        <v>-5.0999999999999979</v>
      </c>
      <c r="BH18" s="566">
        <f>IF(ISNUMBER(System!$C18),PlotData!H18+ $BF$1*AH18,$CB$3)</f>
        <v>-4.9499999999999975</v>
      </c>
      <c r="BI18" s="566">
        <f>IF(ISNUMBER(System!$C18),PlotData!I18+ $BF$1*AI18,$CB$3)</f>
        <v>-4.7999999999999972</v>
      </c>
      <c r="BJ18" s="566">
        <f>IF(ISNUMBER(System!$C18),PlotData!J18+ $BF$1*AJ18,$CB$3)</f>
        <v>-4.6499999999999968</v>
      </c>
      <c r="BK18" s="566">
        <f>IF(ISNUMBER(System!$C18),PlotData!K18+ $BF$1*AK18,$CB$3)</f>
        <v>-4.4999999999999964</v>
      </c>
      <c r="BL18" s="567">
        <f>IF(ISNUMBER(System!$C18),PlotData!L18+ $BF$1*AL18,$CB$3)</f>
        <v>-4.3499999999999961</v>
      </c>
      <c r="BN18" s="569">
        <v>15</v>
      </c>
      <c r="BO18" s="565">
        <f>IF(ISNUMBER(System!$C18),O18+ $BF$1*AO18,$CB$4)</f>
        <v>0.9</v>
      </c>
      <c r="BP18" s="566">
        <f>IF(ISNUMBER(System!$C18),P18+ $BF$1*AP18,$CB$4)</f>
        <v>0.9</v>
      </c>
      <c r="BQ18" s="566">
        <f>IF(ISNUMBER(System!$C18),Q18+ $BF$1*AQ18,$CB$4)</f>
        <v>0.9</v>
      </c>
      <c r="BR18" s="566">
        <f>IF(ISNUMBER(System!$C18),R18+ $BF$1*AR18,$CB$4)</f>
        <v>0.9</v>
      </c>
      <c r="BS18" s="566">
        <f>IF(ISNUMBER(System!$C18),S18+ $BF$1*AS18,$CB$4)</f>
        <v>0.9</v>
      </c>
      <c r="BT18" s="566">
        <f>IF(ISNUMBER(System!$C18),T18+ $BF$1*AT18,$CB$4)</f>
        <v>0.9</v>
      </c>
      <c r="BU18" s="566">
        <f>IF(ISNUMBER(System!$C18),U18+ $BF$1*AU18,$CB$4)</f>
        <v>0.9</v>
      </c>
      <c r="BV18" s="566">
        <f>IF(ISNUMBER(System!$C18),V18+ $BF$1*AV18,$CB$4)</f>
        <v>0.9</v>
      </c>
      <c r="BW18" s="566">
        <f>IF(ISNUMBER(System!$C18),W18+ $BF$1*AW18,$CB$4)</f>
        <v>0.9</v>
      </c>
      <c r="BX18" s="566">
        <f>IF(ISNUMBER(System!$C18),X18+ $BF$1*AX18,$CB$4)</f>
        <v>0.9</v>
      </c>
      <c r="BY18" s="567">
        <f>IF(ISNUMBER(System!$C18),Y18+ $BF$1*AY18,$CB$4)</f>
        <v>0.9</v>
      </c>
    </row>
    <row r="19" spans="1:78" x14ac:dyDescent="0.35">
      <c r="A19" s="564">
        <v>16</v>
      </c>
      <c r="B19" s="565">
        <v>-4.3499999999999996</v>
      </c>
      <c r="C19" s="566">
        <v>-4.29</v>
      </c>
      <c r="D19" s="566">
        <v>-4.2300000000000004</v>
      </c>
      <c r="E19" s="566">
        <v>-4.1700000000000008</v>
      </c>
      <c r="F19" s="566">
        <v>-4.1100000000000012</v>
      </c>
      <c r="G19" s="566">
        <v>-4.0500000000000016</v>
      </c>
      <c r="H19" s="566">
        <v>-3.9900000000000015</v>
      </c>
      <c r="I19" s="566">
        <v>-3.9300000000000015</v>
      </c>
      <c r="J19" s="566">
        <v>-3.8700000000000014</v>
      </c>
      <c r="K19" s="566">
        <v>-3.8100000000000014</v>
      </c>
      <c r="L19" s="567">
        <v>-3.7500000000000013</v>
      </c>
      <c r="N19" s="564">
        <v>16</v>
      </c>
      <c r="O19" s="565">
        <v>0.9</v>
      </c>
      <c r="P19" s="566">
        <v>0.9</v>
      </c>
      <c r="Q19" s="566">
        <v>0.9</v>
      </c>
      <c r="R19" s="566">
        <v>0.9</v>
      </c>
      <c r="S19" s="566">
        <v>0.9</v>
      </c>
      <c r="T19" s="566">
        <v>0.9</v>
      </c>
      <c r="U19" s="566">
        <v>0.9</v>
      </c>
      <c r="V19" s="566">
        <v>0.9</v>
      </c>
      <c r="W19" s="566">
        <v>0.9</v>
      </c>
      <c r="X19" s="566">
        <v>0.9</v>
      </c>
      <c r="Y19" s="567">
        <v>0.9</v>
      </c>
      <c r="AA19" s="568">
        <v>16</v>
      </c>
      <c r="AB19" s="565">
        <f xml:space="preserve"> 0 + ((1 - 0)*0 + 0*0)</f>
        <v>0</v>
      </c>
      <c r="AC19" s="566">
        <f xml:space="preserve"> 0 + ((1 - 0.1)*0 + 0.1*0)</f>
        <v>0</v>
      </c>
      <c r="AD19" s="566">
        <f xml:space="preserve"> 0 + ((1 - 0.2)*0 + 0.2*0)</f>
        <v>0</v>
      </c>
      <c r="AE19" s="566">
        <f xml:space="preserve"> 0 + ((1 - 0.3)*0 + 0.3*0)</f>
        <v>0</v>
      </c>
      <c r="AF19" s="566">
        <f xml:space="preserve"> 0 + ((1 - 0.4)*0 + 0.4*0)</f>
        <v>0</v>
      </c>
      <c r="AG19" s="566">
        <f xml:space="preserve"> 0 + ((1 - 0.5)*0 + 0.5*0)</f>
        <v>0</v>
      </c>
      <c r="AH19" s="566">
        <f xml:space="preserve"> 0 + ((1 - 0.6)*0 + 0.6*0)</f>
        <v>0</v>
      </c>
      <c r="AI19" s="566">
        <f xml:space="preserve"> 0 + ((1 - 0.7)*0 + 0.7*0)</f>
        <v>0</v>
      </c>
      <c r="AJ19" s="566">
        <f xml:space="preserve"> 0 + ((1 - 0.8000001)*0 + 0.8000001*0)</f>
        <v>0</v>
      </c>
      <c r="AK19" s="566">
        <f xml:space="preserve"> 0 + ((1 - 0.9000001)*0 + 0.9000001*0)</f>
        <v>0</v>
      </c>
      <c r="AL19" s="567">
        <f xml:space="preserve"> 0 + ((1 - 1)*0 + 1*0)</f>
        <v>0</v>
      </c>
      <c r="AN19" s="568">
        <v>16</v>
      </c>
      <c r="AO19" s="565">
        <f xml:space="preserve"> 0 + ((1 - 0)*0 + 0*0)</f>
        <v>0</v>
      </c>
      <c r="AP19" s="566">
        <f xml:space="preserve"> 0 + ((1 - 0.1)*0 + 0.1*0)</f>
        <v>0</v>
      </c>
      <c r="AQ19" s="566">
        <f xml:space="preserve"> 0 + ((1 - 0.2)*0 + 0.2*0)</f>
        <v>0</v>
      </c>
      <c r="AR19" s="566">
        <f xml:space="preserve"> 0 + ((1 - 0.3)*0 + 0.3*0)</f>
        <v>0</v>
      </c>
      <c r="AS19" s="566">
        <f xml:space="preserve"> 0 + ((1 - 0.4)*0 + 0.4*0)</f>
        <v>0</v>
      </c>
      <c r="AT19" s="566">
        <f xml:space="preserve"> 0 + ((1 - 0.5)*0 + 0.5*0)</f>
        <v>0</v>
      </c>
      <c r="AU19" s="566">
        <f xml:space="preserve"> 0 + ((1 - 0.6)*0 + 0.6*0)</f>
        <v>0</v>
      </c>
      <c r="AV19" s="566">
        <f xml:space="preserve"> 0 + ((1 - 0.7)*0 + 0.7*0)</f>
        <v>0</v>
      </c>
      <c r="AW19" s="566">
        <f xml:space="preserve"> 0 + ((1 - 0.8000001)*0 + 0.8000001*0)</f>
        <v>0</v>
      </c>
      <c r="AX19" s="566">
        <f xml:space="preserve"> 0 + ((1 - 0.9000001)*0 + 0.9000001*0)</f>
        <v>0</v>
      </c>
      <c r="AY19" s="567">
        <f xml:space="preserve"> 0 + ((1 - 1)*0 + 1*0)</f>
        <v>0</v>
      </c>
      <c r="BA19" s="569">
        <v>16</v>
      </c>
      <c r="BB19" s="565">
        <f>IF(ISNUMBER(System!$C19),PlotData!B19+ $BF$1*AB19,$CB$3)</f>
        <v>-4.3499999999999996</v>
      </c>
      <c r="BC19" s="566">
        <f>IF(ISNUMBER(System!$C19),PlotData!C19+ $BF$1*AC19,$CB$3)</f>
        <v>-4.29</v>
      </c>
      <c r="BD19" s="566">
        <f>IF(ISNUMBER(System!$C19),PlotData!D19+ $BF$1*AD19,$CB$3)</f>
        <v>-4.2300000000000004</v>
      </c>
      <c r="BE19" s="566">
        <f>IF(ISNUMBER(System!$C19),PlotData!E19+ $BF$1*AE19,$CB$3)</f>
        <v>-4.1700000000000008</v>
      </c>
      <c r="BF19" s="566">
        <f>IF(ISNUMBER(System!$C19),PlotData!F19+ $BF$1*AF19,$CB$3)</f>
        <v>-4.1100000000000012</v>
      </c>
      <c r="BG19" s="566">
        <f>IF(ISNUMBER(System!$C19),PlotData!G19+ $BF$1*AG19,$CB$3)</f>
        <v>-4.0500000000000016</v>
      </c>
      <c r="BH19" s="566">
        <f>IF(ISNUMBER(System!$C19),PlotData!H19+ $BF$1*AH19,$CB$3)</f>
        <v>-3.9900000000000015</v>
      </c>
      <c r="BI19" s="566">
        <f>IF(ISNUMBER(System!$C19),PlotData!I19+ $BF$1*AI19,$CB$3)</f>
        <v>-3.9300000000000015</v>
      </c>
      <c r="BJ19" s="566">
        <f>IF(ISNUMBER(System!$C19),PlotData!J19+ $BF$1*AJ19,$CB$3)</f>
        <v>-3.8700000000000014</v>
      </c>
      <c r="BK19" s="566">
        <f>IF(ISNUMBER(System!$C19),PlotData!K19+ $BF$1*AK19,$CB$3)</f>
        <v>-3.8100000000000014</v>
      </c>
      <c r="BL19" s="567">
        <f>IF(ISNUMBER(System!$C19),PlotData!L19+ $BF$1*AL19,$CB$3)</f>
        <v>-3.7500000000000013</v>
      </c>
      <c r="BN19" s="569">
        <v>16</v>
      </c>
      <c r="BO19" s="565">
        <f>IF(ISNUMBER(System!$C19),O19+ $BF$1*AO19,$CB$4)</f>
        <v>0.9</v>
      </c>
      <c r="BP19" s="566">
        <f>IF(ISNUMBER(System!$C19),P19+ $BF$1*AP19,$CB$4)</f>
        <v>0.9</v>
      </c>
      <c r="BQ19" s="566">
        <f>IF(ISNUMBER(System!$C19),Q19+ $BF$1*AQ19,$CB$4)</f>
        <v>0.9</v>
      </c>
      <c r="BR19" s="566">
        <f>IF(ISNUMBER(System!$C19),R19+ $BF$1*AR19,$CB$4)</f>
        <v>0.9</v>
      </c>
      <c r="BS19" s="566">
        <f>IF(ISNUMBER(System!$C19),S19+ $BF$1*AS19,$CB$4)</f>
        <v>0.9</v>
      </c>
      <c r="BT19" s="566">
        <f>IF(ISNUMBER(System!$C19),T19+ $BF$1*AT19,$CB$4)</f>
        <v>0.9</v>
      </c>
      <c r="BU19" s="566">
        <f>IF(ISNUMBER(System!$C19),U19+ $BF$1*AU19,$CB$4)</f>
        <v>0.9</v>
      </c>
      <c r="BV19" s="566">
        <f>IF(ISNUMBER(System!$C19),V19+ $BF$1*AV19,$CB$4)</f>
        <v>0.9</v>
      </c>
      <c r="BW19" s="566">
        <f>IF(ISNUMBER(System!$C19),W19+ $BF$1*AW19,$CB$4)</f>
        <v>0.9</v>
      </c>
      <c r="BX19" s="566">
        <f>IF(ISNUMBER(System!$C19),X19+ $BF$1*AX19,$CB$4)</f>
        <v>0.9</v>
      </c>
      <c r="BY19" s="567">
        <f>IF(ISNUMBER(System!$C19),Y19+ $BF$1*AY19,$CB$4)</f>
        <v>0.9</v>
      </c>
    </row>
    <row r="20" spans="1:78" x14ac:dyDescent="0.35">
      <c r="A20" s="564">
        <v>17</v>
      </c>
      <c r="B20" s="565">
        <v>-5.55</v>
      </c>
      <c r="C20" s="566">
        <v>-5.58</v>
      </c>
      <c r="D20" s="566">
        <v>-5.61</v>
      </c>
      <c r="E20" s="566">
        <v>-5.6400000000000006</v>
      </c>
      <c r="F20" s="566">
        <v>-5.6700000000000008</v>
      </c>
      <c r="G20" s="566">
        <v>-5.7000000000000011</v>
      </c>
      <c r="H20" s="566">
        <v>-5.7300000000000013</v>
      </c>
      <c r="I20" s="566">
        <v>-5.7600000000000016</v>
      </c>
      <c r="J20" s="566">
        <v>-5.7900000000000018</v>
      </c>
      <c r="K20" s="566">
        <v>-5.8200000000000021</v>
      </c>
      <c r="L20" s="567">
        <v>-5.8500000000000023</v>
      </c>
      <c r="N20" s="564">
        <v>17</v>
      </c>
      <c r="O20" s="565">
        <v>2.85</v>
      </c>
      <c r="P20" s="566">
        <v>2.6550000000000002</v>
      </c>
      <c r="Q20" s="566">
        <v>2.4600000000000004</v>
      </c>
      <c r="R20" s="566">
        <v>2.2650000000000006</v>
      </c>
      <c r="S20" s="566">
        <v>2.0700000000000007</v>
      </c>
      <c r="T20" s="566">
        <v>1.8750000000000007</v>
      </c>
      <c r="U20" s="566">
        <v>1.6800000000000006</v>
      </c>
      <c r="V20" s="566">
        <v>1.4850000000000005</v>
      </c>
      <c r="W20" s="566">
        <v>1.2900000000000005</v>
      </c>
      <c r="X20" s="566">
        <v>1.0950000000000004</v>
      </c>
      <c r="Y20" s="567">
        <v>0.90000000000000036</v>
      </c>
      <c r="AA20" s="568">
        <v>17</v>
      </c>
      <c r="AB20" s="565">
        <f xml:space="preserve"> 0 + ((1 - 0)*0 + 0*0)</f>
        <v>0</v>
      </c>
      <c r="AC20" s="566">
        <f xml:space="preserve"> 0 + ((1 - 0.1)*0 + 0.1*0)</f>
        <v>0</v>
      </c>
      <c r="AD20" s="566">
        <f xml:space="preserve"> 0 + ((1 - 0.2)*0 + 0.2*0)</f>
        <v>0</v>
      </c>
      <c r="AE20" s="566">
        <f xml:space="preserve"> 0 + ((1 - 0.3)*0 + 0.3*0)</f>
        <v>0</v>
      </c>
      <c r="AF20" s="566">
        <f xml:space="preserve"> 0 + ((1 - 0.4)*0 + 0.4*0)</f>
        <v>0</v>
      </c>
      <c r="AG20" s="566">
        <f xml:space="preserve"> 0 + ((1 - 0.5)*0 + 0.5*0)</f>
        <v>0</v>
      </c>
      <c r="AH20" s="566">
        <f xml:space="preserve"> 0 + ((1 - 0.6)*0 + 0.6*0)</f>
        <v>0</v>
      </c>
      <c r="AI20" s="566">
        <f xml:space="preserve"> 0 + ((1 - 0.7)*0 + 0.7*0)</f>
        <v>0</v>
      </c>
      <c r="AJ20" s="566">
        <f xml:space="preserve"> 0 + ((1 - 0.8000001)*0 + 0.8000001*0)</f>
        <v>0</v>
      </c>
      <c r="AK20" s="566">
        <f xml:space="preserve"> 0 + ((1 - 0.9000001)*0 + 0.9000001*0)</f>
        <v>0</v>
      </c>
      <c r="AL20" s="567">
        <f xml:space="preserve"> 0 + ((1 - 1)*0 + 1*0)</f>
        <v>0</v>
      </c>
      <c r="AN20" s="568">
        <v>17</v>
      </c>
      <c r="AO20" s="565">
        <f xml:space="preserve"> 0 + ((1 - 0)*0 + 0*0)</f>
        <v>0</v>
      </c>
      <c r="AP20" s="566">
        <f xml:space="preserve"> 0 + ((1 - 0.1)*0 + 0.1*0)</f>
        <v>0</v>
      </c>
      <c r="AQ20" s="566">
        <f xml:space="preserve"> 0 + ((1 - 0.2)*0 + 0.2*0)</f>
        <v>0</v>
      </c>
      <c r="AR20" s="566">
        <f xml:space="preserve"> 0 + ((1 - 0.3)*0 + 0.3*0)</f>
        <v>0</v>
      </c>
      <c r="AS20" s="566">
        <f xml:space="preserve"> 0 + ((1 - 0.4)*0 + 0.4*0)</f>
        <v>0</v>
      </c>
      <c r="AT20" s="566">
        <f xml:space="preserve"> 0 + ((1 - 0.5)*0 + 0.5*0)</f>
        <v>0</v>
      </c>
      <c r="AU20" s="566">
        <f xml:space="preserve"> 0 + ((1 - 0.6)*0 + 0.6*0)</f>
        <v>0</v>
      </c>
      <c r="AV20" s="566">
        <f xml:space="preserve"> 0 + ((1 - 0.7)*0 + 0.7*0)</f>
        <v>0</v>
      </c>
      <c r="AW20" s="566">
        <f xml:space="preserve"> 0 + ((1 - 0.8000001)*0 + 0.8000001*0)</f>
        <v>0</v>
      </c>
      <c r="AX20" s="566">
        <f xml:space="preserve"> 0 + ((1 - 0.9000001)*0 + 0.9000001*0)</f>
        <v>0</v>
      </c>
      <c r="AY20" s="567">
        <f xml:space="preserve"> 0 + ((1 - 1)*0 + 1*0)</f>
        <v>0</v>
      </c>
      <c r="BA20" s="569">
        <v>17</v>
      </c>
      <c r="BB20" s="565">
        <f>IF(ISNUMBER(System!$C20),PlotData!B20+ $BF$1*AB20,$CB$3)</f>
        <v>-5.55</v>
      </c>
      <c r="BC20" s="566">
        <f>IF(ISNUMBER(System!$C20),PlotData!C20+ $BF$1*AC20,$CB$3)</f>
        <v>-5.58</v>
      </c>
      <c r="BD20" s="566">
        <f>IF(ISNUMBER(System!$C20),PlotData!D20+ $BF$1*AD20,$CB$3)</f>
        <v>-5.61</v>
      </c>
      <c r="BE20" s="566">
        <f>IF(ISNUMBER(System!$C20),PlotData!E20+ $BF$1*AE20,$CB$3)</f>
        <v>-5.6400000000000006</v>
      </c>
      <c r="BF20" s="566">
        <f>IF(ISNUMBER(System!$C20),PlotData!F20+ $BF$1*AF20,$CB$3)</f>
        <v>-5.6700000000000008</v>
      </c>
      <c r="BG20" s="566">
        <f>IF(ISNUMBER(System!$C20),PlotData!G20+ $BF$1*AG20,$CB$3)</f>
        <v>-5.7000000000000011</v>
      </c>
      <c r="BH20" s="566">
        <f>IF(ISNUMBER(System!$C20),PlotData!H20+ $BF$1*AH20,$CB$3)</f>
        <v>-5.7300000000000013</v>
      </c>
      <c r="BI20" s="566">
        <f>IF(ISNUMBER(System!$C20),PlotData!I20+ $BF$1*AI20,$CB$3)</f>
        <v>-5.7600000000000016</v>
      </c>
      <c r="BJ20" s="566">
        <f>IF(ISNUMBER(System!$C20),PlotData!J20+ $BF$1*AJ20,$CB$3)</f>
        <v>-5.7900000000000018</v>
      </c>
      <c r="BK20" s="566">
        <f>IF(ISNUMBER(System!$C20),PlotData!K20+ $BF$1*AK20,$CB$3)</f>
        <v>-5.8200000000000021</v>
      </c>
      <c r="BL20" s="567">
        <f>IF(ISNUMBER(System!$C20),PlotData!L20+ $BF$1*AL20,$CB$3)</f>
        <v>-5.8500000000000023</v>
      </c>
      <c r="BN20" s="569">
        <v>17</v>
      </c>
      <c r="BO20" s="565">
        <f>IF(ISNUMBER(System!$C20),O20+ $BF$1*AO20,$CB$4)</f>
        <v>2.85</v>
      </c>
      <c r="BP20" s="566">
        <f>IF(ISNUMBER(System!$C20),P20+ $BF$1*AP20,$CB$4)</f>
        <v>2.6550000000000002</v>
      </c>
      <c r="BQ20" s="566">
        <f>IF(ISNUMBER(System!$C20),Q20+ $BF$1*AQ20,$CB$4)</f>
        <v>2.4600000000000004</v>
      </c>
      <c r="BR20" s="566">
        <f>IF(ISNUMBER(System!$C20),R20+ $BF$1*AR20,$CB$4)</f>
        <v>2.2650000000000006</v>
      </c>
      <c r="BS20" s="566">
        <f>IF(ISNUMBER(System!$C20),S20+ $BF$1*AS20,$CB$4)</f>
        <v>2.0700000000000007</v>
      </c>
      <c r="BT20" s="566">
        <f>IF(ISNUMBER(System!$C20),T20+ $BF$1*AT20,$CB$4)</f>
        <v>1.8750000000000007</v>
      </c>
      <c r="BU20" s="566">
        <f>IF(ISNUMBER(System!$C20),U20+ $BF$1*AU20,$CB$4)</f>
        <v>1.6800000000000006</v>
      </c>
      <c r="BV20" s="566">
        <f>IF(ISNUMBER(System!$C20),V20+ $BF$1*AV20,$CB$4)</f>
        <v>1.4850000000000005</v>
      </c>
      <c r="BW20" s="566">
        <f>IF(ISNUMBER(System!$C20),W20+ $BF$1*AW20,$CB$4)</f>
        <v>1.2900000000000005</v>
      </c>
      <c r="BX20" s="566">
        <f>IF(ISNUMBER(System!$C20),X20+ $BF$1*AX20,$CB$4)</f>
        <v>1.0950000000000004</v>
      </c>
      <c r="BY20" s="567">
        <f>IF(ISNUMBER(System!$C20),Y20+ $BF$1*AY20,$CB$4)</f>
        <v>0.90000000000000036</v>
      </c>
    </row>
    <row r="21" spans="1:78" x14ac:dyDescent="0.35">
      <c r="A21" s="564">
        <v>18</v>
      </c>
      <c r="B21" s="565">
        <v>-4.6500000000000004</v>
      </c>
      <c r="C21" s="566">
        <v>-4.62</v>
      </c>
      <c r="D21" s="566">
        <v>-4.59</v>
      </c>
      <c r="E21" s="566">
        <v>-4.5599999999999996</v>
      </c>
      <c r="F21" s="566">
        <v>-4.5299999999999994</v>
      </c>
      <c r="G21" s="566">
        <v>-4.4999999999999991</v>
      </c>
      <c r="H21" s="566">
        <v>-4.4699999999999989</v>
      </c>
      <c r="I21" s="566">
        <v>-4.4399999999999986</v>
      </c>
      <c r="J21" s="566">
        <v>-4.4099999999999984</v>
      </c>
      <c r="K21" s="566">
        <v>-4.3799999999999981</v>
      </c>
      <c r="L21" s="567">
        <v>-4.3499999999999979</v>
      </c>
      <c r="N21" s="564">
        <v>18</v>
      </c>
      <c r="O21" s="565">
        <v>2.85</v>
      </c>
      <c r="P21" s="566">
        <v>2.6550000000000002</v>
      </c>
      <c r="Q21" s="566">
        <v>2.4600000000000004</v>
      </c>
      <c r="R21" s="566">
        <v>2.2650000000000006</v>
      </c>
      <c r="S21" s="566">
        <v>2.0700000000000007</v>
      </c>
      <c r="T21" s="566">
        <v>1.8750000000000007</v>
      </c>
      <c r="U21" s="566">
        <v>1.6800000000000006</v>
      </c>
      <c r="V21" s="566">
        <v>1.4850000000000005</v>
      </c>
      <c r="W21" s="566">
        <v>1.2900000000000005</v>
      </c>
      <c r="X21" s="566">
        <v>1.0950000000000004</v>
      </c>
      <c r="Y21" s="567">
        <v>0.90000000000000036</v>
      </c>
      <c r="AA21" s="568">
        <v>18</v>
      </c>
      <c r="AB21" s="565">
        <f xml:space="preserve"> 0 + ((1 - 0)*0 + 0*0)</f>
        <v>0</v>
      </c>
      <c r="AC21" s="566">
        <f xml:space="preserve"> 0 + ((1 - 0.1)*0 + 0.1*0)</f>
        <v>0</v>
      </c>
      <c r="AD21" s="566">
        <f xml:space="preserve"> 0 + ((1 - 0.2)*0 + 0.2*0)</f>
        <v>0</v>
      </c>
      <c r="AE21" s="566">
        <f xml:space="preserve"> 0 + ((1 - 0.3)*0 + 0.3*0)</f>
        <v>0</v>
      </c>
      <c r="AF21" s="566">
        <f xml:space="preserve"> 0 + ((1 - 0.4)*0 + 0.4*0)</f>
        <v>0</v>
      </c>
      <c r="AG21" s="566">
        <f xml:space="preserve"> 0 + ((1 - 0.5)*0 + 0.5*0)</f>
        <v>0</v>
      </c>
      <c r="AH21" s="566">
        <f xml:space="preserve"> 0 + ((1 - 0.6)*0 + 0.6*0)</f>
        <v>0</v>
      </c>
      <c r="AI21" s="566">
        <f xml:space="preserve"> 0 + ((1 - 0.7)*0 + 0.7*0)</f>
        <v>0</v>
      </c>
      <c r="AJ21" s="566">
        <f xml:space="preserve"> 0 + ((1 - 0.8000001)*0 + 0.8000001*0)</f>
        <v>0</v>
      </c>
      <c r="AK21" s="566">
        <f xml:space="preserve"> 0 + ((1 - 0.9000001)*0 + 0.9000001*0)</f>
        <v>0</v>
      </c>
      <c r="AL21" s="567">
        <f xml:space="preserve"> 0 + ((1 - 1)*0 + 1*0)</f>
        <v>0</v>
      </c>
      <c r="AN21" s="568">
        <v>18</v>
      </c>
      <c r="AO21" s="565">
        <f xml:space="preserve"> 0 + ((1 - 0)*0 + 0*0)</f>
        <v>0</v>
      </c>
      <c r="AP21" s="566">
        <f xml:space="preserve"> 0 + ((1 - 0.1)*0 + 0.1*0)</f>
        <v>0</v>
      </c>
      <c r="AQ21" s="566">
        <f xml:space="preserve"> 0 + ((1 - 0.2)*0 + 0.2*0)</f>
        <v>0</v>
      </c>
      <c r="AR21" s="566">
        <f xml:space="preserve"> 0 + ((1 - 0.3)*0 + 0.3*0)</f>
        <v>0</v>
      </c>
      <c r="AS21" s="566">
        <f xml:space="preserve"> 0 + ((1 - 0.4)*0 + 0.4*0)</f>
        <v>0</v>
      </c>
      <c r="AT21" s="566">
        <f xml:space="preserve"> 0 + ((1 - 0.5)*0 + 0.5*0)</f>
        <v>0</v>
      </c>
      <c r="AU21" s="566">
        <f xml:space="preserve"> 0 + ((1 - 0.6)*0 + 0.6*0)</f>
        <v>0</v>
      </c>
      <c r="AV21" s="566">
        <f xml:space="preserve"> 0 + ((1 - 0.7)*0 + 0.7*0)</f>
        <v>0</v>
      </c>
      <c r="AW21" s="566">
        <f xml:space="preserve"> 0 + ((1 - 0.8000001)*0 + 0.8000001*0)</f>
        <v>0</v>
      </c>
      <c r="AX21" s="566">
        <f xml:space="preserve"> 0 + ((1 - 0.9000001)*0 + 0.9000001*0)</f>
        <v>0</v>
      </c>
      <c r="AY21" s="567">
        <f xml:space="preserve"> 0 + ((1 - 1)*0 + 1*0)</f>
        <v>0</v>
      </c>
      <c r="BA21" s="569">
        <v>18</v>
      </c>
      <c r="BB21" s="565">
        <f>IF(ISNUMBER(System!$C21),PlotData!B21+ $BF$1*AB21,$CB$3)</f>
        <v>-4.6500000000000004</v>
      </c>
      <c r="BC21" s="566">
        <f>IF(ISNUMBER(System!$C21),PlotData!C21+ $BF$1*AC21,$CB$3)</f>
        <v>-4.62</v>
      </c>
      <c r="BD21" s="566">
        <f>IF(ISNUMBER(System!$C21),PlotData!D21+ $BF$1*AD21,$CB$3)</f>
        <v>-4.59</v>
      </c>
      <c r="BE21" s="566">
        <f>IF(ISNUMBER(System!$C21),PlotData!E21+ $BF$1*AE21,$CB$3)</f>
        <v>-4.5599999999999996</v>
      </c>
      <c r="BF21" s="566">
        <f>IF(ISNUMBER(System!$C21),PlotData!F21+ $BF$1*AF21,$CB$3)</f>
        <v>-4.5299999999999994</v>
      </c>
      <c r="BG21" s="566">
        <f>IF(ISNUMBER(System!$C21),PlotData!G21+ $BF$1*AG21,$CB$3)</f>
        <v>-4.4999999999999991</v>
      </c>
      <c r="BH21" s="566">
        <f>IF(ISNUMBER(System!$C21),PlotData!H21+ $BF$1*AH21,$CB$3)</f>
        <v>-4.4699999999999989</v>
      </c>
      <c r="BI21" s="566">
        <f>IF(ISNUMBER(System!$C21),PlotData!I21+ $BF$1*AI21,$CB$3)</f>
        <v>-4.4399999999999986</v>
      </c>
      <c r="BJ21" s="566">
        <f>IF(ISNUMBER(System!$C21),PlotData!J21+ $BF$1*AJ21,$CB$3)</f>
        <v>-4.4099999999999984</v>
      </c>
      <c r="BK21" s="566">
        <f>IF(ISNUMBER(System!$C21),PlotData!K21+ $BF$1*AK21,$CB$3)</f>
        <v>-4.3799999999999981</v>
      </c>
      <c r="BL21" s="567">
        <f>IF(ISNUMBER(System!$C21),PlotData!L21+ $BF$1*AL21,$CB$3)</f>
        <v>-4.3499999999999979</v>
      </c>
      <c r="BN21" s="569">
        <v>18</v>
      </c>
      <c r="BO21" s="565">
        <f>IF(ISNUMBER(System!$C21),O21+ $BF$1*AO21,$CB$4)</f>
        <v>2.85</v>
      </c>
      <c r="BP21" s="566">
        <f>IF(ISNUMBER(System!$C21),P21+ $BF$1*AP21,$CB$4)</f>
        <v>2.6550000000000002</v>
      </c>
      <c r="BQ21" s="566">
        <f>IF(ISNUMBER(System!$C21),Q21+ $BF$1*AQ21,$CB$4)</f>
        <v>2.4600000000000004</v>
      </c>
      <c r="BR21" s="566">
        <f>IF(ISNUMBER(System!$C21),R21+ $BF$1*AR21,$CB$4)</f>
        <v>2.2650000000000006</v>
      </c>
      <c r="BS21" s="566">
        <f>IF(ISNUMBER(System!$C21),S21+ $BF$1*AS21,$CB$4)</f>
        <v>2.0700000000000007</v>
      </c>
      <c r="BT21" s="566">
        <f>IF(ISNUMBER(System!$C21),T21+ $BF$1*AT21,$CB$4)</f>
        <v>1.8750000000000007</v>
      </c>
      <c r="BU21" s="566">
        <f>IF(ISNUMBER(System!$C21),U21+ $BF$1*AU21,$CB$4)</f>
        <v>1.6800000000000006</v>
      </c>
      <c r="BV21" s="566">
        <f>IF(ISNUMBER(System!$C21),V21+ $BF$1*AV21,$CB$4)</f>
        <v>1.4850000000000005</v>
      </c>
      <c r="BW21" s="566">
        <f>IF(ISNUMBER(System!$C21),W21+ $BF$1*AW21,$CB$4)</f>
        <v>1.2900000000000005</v>
      </c>
      <c r="BX21" s="566">
        <f>IF(ISNUMBER(System!$C21),X21+ $BF$1*AX21,$CB$4)</f>
        <v>1.0950000000000004</v>
      </c>
      <c r="BY21" s="567">
        <f>IF(ISNUMBER(System!$C21),Y21+ $BF$1*AY21,$CB$4)</f>
        <v>0.90000000000000036</v>
      </c>
    </row>
    <row r="22" spans="1:78" x14ac:dyDescent="0.35">
      <c r="A22" s="564">
        <v>19</v>
      </c>
      <c r="B22" s="565">
        <v>8.6999999999999993</v>
      </c>
      <c r="C22" s="566">
        <v>9.0449999999999999</v>
      </c>
      <c r="D22" s="566">
        <v>9.39</v>
      </c>
      <c r="E22" s="566">
        <v>9.7350000000000012</v>
      </c>
      <c r="F22" s="566">
        <v>10.080000000000002</v>
      </c>
      <c r="G22" s="566">
        <v>10.425000000000002</v>
      </c>
      <c r="H22" s="566">
        <v>10.770000000000003</v>
      </c>
      <c r="I22" s="566">
        <v>11.115000000000004</v>
      </c>
      <c r="J22" s="566">
        <v>11.460000000000004</v>
      </c>
      <c r="K22" s="566">
        <v>11.805000000000005</v>
      </c>
      <c r="L22" s="567">
        <v>12.150000000000006</v>
      </c>
      <c r="N22" s="564">
        <v>19</v>
      </c>
      <c r="O22" s="565">
        <v>0.9</v>
      </c>
      <c r="P22" s="566">
        <v>0.9</v>
      </c>
      <c r="Q22" s="566">
        <v>0.9</v>
      </c>
      <c r="R22" s="566">
        <v>0.9</v>
      </c>
      <c r="S22" s="566">
        <v>0.9</v>
      </c>
      <c r="T22" s="566">
        <v>0.9</v>
      </c>
      <c r="U22" s="566">
        <v>0.9</v>
      </c>
      <c r="V22" s="566">
        <v>0.9</v>
      </c>
      <c r="W22" s="566">
        <v>0.9</v>
      </c>
      <c r="X22" s="566">
        <v>0.9</v>
      </c>
      <c r="Y22" s="567">
        <v>0.9</v>
      </c>
      <c r="AA22" s="568">
        <v>19</v>
      </c>
      <c r="AB22" s="565">
        <f xml:space="preserve"> -0.000115298555381678 + ((1 - 0)*0 + 0*0)</f>
        <v>-1.15298555381678E-4</v>
      </c>
      <c r="AC22" s="566">
        <f xml:space="preserve"> -0.00011529855538166 + ((1 - 0.1)*0 + 0.1*0)</f>
        <v>-1.1529855538166001E-4</v>
      </c>
      <c r="AD22" s="566">
        <f xml:space="preserve"> -0.000115298555381642 + ((1 - 0.2)*0 + 0.2*0)</f>
        <v>-1.1529855538164199E-4</v>
      </c>
      <c r="AE22" s="566">
        <f xml:space="preserve"> -0.000115298555381624 + ((1 - 0.3)*0 + 0.3*0)</f>
        <v>-1.15298555381624E-4</v>
      </c>
      <c r="AF22" s="566">
        <f xml:space="preserve"> -0.000115298555381606 + ((1 - 0.4)*0 + 0.4*0)</f>
        <v>-1.15298555381606E-4</v>
      </c>
      <c r="AG22" s="566">
        <f xml:space="preserve"> -0.000115298555381588 + ((1 - 0.5)*0 + 0.5*0)</f>
        <v>-1.15298555381588E-4</v>
      </c>
      <c r="AH22" s="566">
        <f xml:space="preserve"> -0.00011529855538157 + ((1 - 0.6)*0 + 0.6*0)</f>
        <v>-1.1529855538157E-4</v>
      </c>
      <c r="AI22" s="566">
        <f xml:space="preserve"> -0.000115298555381552 + ((1 - 0.7)*0 + 0.7*0)</f>
        <v>-1.1529855538155201E-4</v>
      </c>
      <c r="AJ22" s="566">
        <f xml:space="preserve"> -0.000115298555381533 + ((1 - 0.8000001)*0 + 0.8000001*0)</f>
        <v>-1.1529855538153301E-4</v>
      </c>
      <c r="AK22" s="566">
        <f xml:space="preserve"> -0.000115298555381515 + ((1 - 0.9000001)*0 + 0.9000001*0)</f>
        <v>-1.1529855538151499E-4</v>
      </c>
      <c r="AL22" s="567">
        <f xml:space="preserve"> -0.000115298555381497 + ((1 - 1)*0 + 1*0)</f>
        <v>-1.15298555381497E-4</v>
      </c>
      <c r="AN22" s="568">
        <v>19</v>
      </c>
      <c r="AO22" s="565">
        <f xml:space="preserve"> 3.25304162960531 + ((1 - 0)*0 + 0*0)</f>
        <v>3.2530416296053102</v>
      </c>
      <c r="AP22" s="566">
        <f xml:space="preserve"> 3.16195220506241 + ((1 - 0.1)*0 + 0.1*0)</f>
        <v>3.16195220506241</v>
      </c>
      <c r="AQ22" s="566">
        <f xml:space="preserve"> 2.91470948130312 + ((1 - 0.2)*0 + 0.2*0)</f>
        <v>2.9147094813031198</v>
      </c>
      <c r="AR22" s="566">
        <f xml:space="preserve"> 2.55035178313152 + ((1 - 0.3)*0 + 0.3*0)</f>
        <v>2.5503517831315201</v>
      </c>
      <c r="AS22" s="566">
        <f xml:space="preserve"> 2.10791743535173 + ((1 - 0.4)*0 + 0.4*0)</f>
        <v>2.1079174353517298</v>
      </c>
      <c r="AT22" s="566">
        <f xml:space="preserve"> 1.62644476276785 + ((1 - 0.5)*0 + 0.5*0)</f>
        <v>1.62644476276785</v>
      </c>
      <c r="AU22" s="566">
        <f xml:space="preserve"> 1.14497209018396 + ((1 - 0.6)*0 + 0.6*0)</f>
        <v>1.14497209018396</v>
      </c>
      <c r="AV22" s="566">
        <f xml:space="preserve"> 0.702537742404167 + ((1 - 0.7)*0 + 0.7*0)</f>
        <v>0.702537742404167</v>
      </c>
      <c r="AW22" s="566">
        <f xml:space="preserve"> 0.338180044232576 + ((1 - 0.8000001)*0 + 0.8000001*0)</f>
        <v>0.33818004423257603</v>
      </c>
      <c r="AX22" s="566">
        <f xml:space="preserve"> 0.0909373204732816 + ((1 - 0.9000001)*0 + 0.9000001*0)</f>
        <v>9.0937320473281597E-2</v>
      </c>
      <c r="AY22" s="567">
        <f xml:space="preserve"> -0.000152104069616327 + ((1 - 1)*0 + 1*0)</f>
        <v>-1.5210406961632699E-4</v>
      </c>
      <c r="BA22" s="569">
        <v>19</v>
      </c>
      <c r="BB22" s="565">
        <f>IF(ISNUMBER(System!$C22),PlotData!B22+ $BF$1*AB22,$CB$3)</f>
        <v>8.6998776342615347</v>
      </c>
      <c r="BC22" s="566">
        <f>IF(ISNUMBER(System!$C22),PlotData!C22+ $BF$1*AC22,$CB$3)</f>
        <v>9.0448776342615353</v>
      </c>
      <c r="BD22" s="566">
        <f>IF(ISNUMBER(System!$C22),PlotData!D22+ $BF$1*AD22,$CB$3)</f>
        <v>9.389877634261536</v>
      </c>
      <c r="BE22" s="566">
        <f>IF(ISNUMBER(System!$C22),PlotData!E22+ $BF$1*AE22,$CB$3)</f>
        <v>9.7348776342615366</v>
      </c>
      <c r="BF22" s="566">
        <f>IF(ISNUMBER(System!$C22),PlotData!F22+ $BF$1*AF22,$CB$3)</f>
        <v>10.079877634261537</v>
      </c>
      <c r="BG22" s="566">
        <f>IF(ISNUMBER(System!$C22),PlotData!G22+ $BF$1*AG22,$CB$3)</f>
        <v>10.424877634261538</v>
      </c>
      <c r="BH22" s="566">
        <f>IF(ISNUMBER(System!$C22),PlotData!H22+ $BF$1*AH22,$CB$3)</f>
        <v>10.769877634261539</v>
      </c>
      <c r="BI22" s="566">
        <f>IF(ISNUMBER(System!$C22),PlotData!I22+ $BF$1*AI22,$CB$3)</f>
        <v>11.114877634261539</v>
      </c>
      <c r="BJ22" s="566">
        <f>IF(ISNUMBER(System!$C22),PlotData!J22+ $BF$1*AJ22,$CB$3)</f>
        <v>11.45987763426154</v>
      </c>
      <c r="BK22" s="566">
        <f>IF(ISNUMBER(System!$C22),PlotData!K22+ $BF$1*AK22,$CB$3)</f>
        <v>11.80487763426154</v>
      </c>
      <c r="BL22" s="567">
        <f>IF(ISNUMBER(System!$C22),PlotData!L22+ $BF$1*AL22,$CB$3)</f>
        <v>12.149877634261541</v>
      </c>
      <c r="BN22" s="569">
        <v>19</v>
      </c>
      <c r="BO22" s="565">
        <f>IF(ISNUMBER(System!$C22),O22+ $BF$1*AO22,$CB$4)</f>
        <v>4.3524356349947695</v>
      </c>
      <c r="BP22" s="566">
        <f>IF(ISNUMBER(System!$C22),P22+ $BF$1*AP22,$CB$4)</f>
        <v>4.2557629172523805</v>
      </c>
      <c r="BQ22" s="566">
        <f>IF(ISNUMBER(System!$C22),Q22+ $BF$1*AQ22,$CB$4)</f>
        <v>3.9933655405230497</v>
      </c>
      <c r="BR22" s="566">
        <f>IF(ISNUMBER(System!$C22),R22+ $BF$1*AR22,$CB$4)</f>
        <v>3.6066746695534939</v>
      </c>
      <c r="BS22" s="566">
        <f>IF(ISNUMBER(System!$C22),S22+ $BF$1*AS22,$CB$4)</f>
        <v>3.1371214690904723</v>
      </c>
      <c r="BT22" s="566">
        <f>IF(ISNUMBER(System!$C22),T22+ $BF$1*AT22,$CB$4)</f>
        <v>2.6261371038807235</v>
      </c>
      <c r="BU22" s="566">
        <f>IF(ISNUMBER(System!$C22),U22+ $BF$1*AU22,$CB$4)</f>
        <v>2.1151527386709641</v>
      </c>
      <c r="BV22" s="566">
        <f>IF(ISNUMBER(System!$C22),V22+ $BF$1*AV22,$CB$4)</f>
        <v>1.6455995382079396</v>
      </c>
      <c r="BW22" s="566">
        <f>IF(ISNUMBER(System!$C22),W22+ $BF$1*AW22,$CB$4)</f>
        <v>1.2589086672383933</v>
      </c>
      <c r="BX22" s="566">
        <f>IF(ISNUMBER(System!$C22),X22+ $BF$1*AX22,$CB$4)</f>
        <v>0.99651129050905785</v>
      </c>
      <c r="BY22" s="567">
        <f>IF(ISNUMBER(System!$C22),Y22+ $BF$1*AY22,$CB$4)</f>
        <v>0.89983857276667101</v>
      </c>
    </row>
    <row r="23" spans="1:78" x14ac:dyDescent="0.35">
      <c r="A23" s="575">
        <v>20</v>
      </c>
      <c r="B23" s="576">
        <v>3.38565</v>
      </c>
      <c r="C23" s="577">
        <v>3.4876852999999999</v>
      </c>
      <c r="D23" s="577">
        <v>3.5897205999999997</v>
      </c>
      <c r="E23" s="577">
        <v>3.6917558999999995</v>
      </c>
      <c r="F23" s="577">
        <v>3.7937911999999994</v>
      </c>
      <c r="G23" s="577">
        <v>3.8958264999999992</v>
      </c>
      <c r="H23" s="577">
        <v>3.997861799999999</v>
      </c>
      <c r="I23" s="577">
        <v>4.0998970999999989</v>
      </c>
      <c r="J23" s="577">
        <v>4.2019323999999987</v>
      </c>
      <c r="K23" s="577">
        <v>4.3039676999999985</v>
      </c>
      <c r="L23" s="578">
        <v>4.4060029999999983</v>
      </c>
      <c r="N23" s="575">
        <v>20</v>
      </c>
      <c r="O23" s="576">
        <v>2.7293310000000002</v>
      </c>
      <c r="P23" s="577">
        <v>2.7308806000000003</v>
      </c>
      <c r="Q23" s="577">
        <v>2.7324302000000005</v>
      </c>
      <c r="R23" s="577">
        <v>2.7339798000000006</v>
      </c>
      <c r="S23" s="577">
        <v>2.7355294000000008</v>
      </c>
      <c r="T23" s="577">
        <v>2.7370790000000009</v>
      </c>
      <c r="U23" s="577">
        <v>2.7386286000000011</v>
      </c>
      <c r="V23" s="577">
        <v>2.7401782000000012</v>
      </c>
      <c r="W23" s="577">
        <v>2.7417278000000014</v>
      </c>
      <c r="X23" s="577">
        <v>2.7432774000000015</v>
      </c>
      <c r="Y23" s="578">
        <v>2.7448270000000017</v>
      </c>
      <c r="AA23" s="568">
        <v>20</v>
      </c>
      <c r="AB23" s="565">
        <f xml:space="preserve"> -0.0304595446818631 + ((1 - 0)*0 + 0*0)</f>
        <v>-3.0459544681863099E-2</v>
      </c>
      <c r="AC23" s="566">
        <f xml:space="preserve"> -0.0304571089915629 + ((1 - 0.1)*0 + 0.1*0)</f>
        <v>-3.0457108991562901E-2</v>
      </c>
      <c r="AD23" s="566">
        <f xml:space="preserve"> -0.0304629273765945 + ((1 - 0.2)*0 + 0.2*0)</f>
        <v>-3.0462927376594499E-2</v>
      </c>
      <c r="AE23" s="566">
        <f xml:space="preserve"> -0.0304749118030977 + ((1 - 0.3)*0 + 0.3*0)</f>
        <v>-3.04749118030977E-2</v>
      </c>
      <c r="AF23" s="566">
        <f xml:space="preserve"> -0.0304909742372126 + ((1 - 0.4)*0 + 0.4*0)</f>
        <v>-3.0490974237212601E-2</v>
      </c>
      <c r="AG23" s="566">
        <f xml:space="preserve"> -0.0305090266450792 + ((1 - 0.5)*0 + 0.5*0)</f>
        <v>-3.05090266450792E-2</v>
      </c>
      <c r="AH23" s="566">
        <f xml:space="preserve"> -0.0305269809928375 + ((1 - 0.6)*0 + 0.6*0)</f>
        <v>-3.0526980992837498E-2</v>
      </c>
      <c r="AI23" s="566">
        <f xml:space="preserve"> -0.0305427492466276 + ((1 - 0.7)*0 + 0.7*0)</f>
        <v>-3.0542749246627601E-2</v>
      </c>
      <c r="AJ23" s="566">
        <f xml:space="preserve"> -0.0305542433725894 + ((1 - 0.8000001)*0 + 0.8000001*0)</f>
        <v>-3.0554243372589399E-2</v>
      </c>
      <c r="AK23" s="566">
        <f xml:space="preserve"> -0.030559375336863 + ((1 - 0.9000001)*0 + 0.9000001*0)</f>
        <v>-3.0559375336862999E-2</v>
      </c>
      <c r="AL23" s="567">
        <f xml:space="preserve"> -0.0305560571055883 + ((1 - 1)*0 + 1*0)</f>
        <v>-3.05560571055883E-2</v>
      </c>
      <c r="AN23" s="568">
        <v>20</v>
      </c>
      <c r="AO23" s="565">
        <f xml:space="preserve"> -0.00299638554031647 + ((1 - 0)*0 + 0*0)</f>
        <v>-2.9963855403164698E-3</v>
      </c>
      <c r="AP23" s="566">
        <f xml:space="preserve"> -0.00315676653572237 + ((1 - 0.1)*0 + 0.1*0)</f>
        <v>-3.1567665357223702E-3</v>
      </c>
      <c r="AQ23" s="566">
        <f xml:space="preserve"> -0.00277364788432312 + ((1 - 0.2)*0 + 0.2*0)</f>
        <v>-2.7736478843231201E-3</v>
      </c>
      <c r="AR23" s="566">
        <f xml:space="preserve"> -0.00198451871964603 + ((1 - 0.3)*0 + 0.3*0)</f>
        <v>-1.9845187196460301E-3</v>
      </c>
      <c r="AS23" s="566">
        <f xml:space="preserve"> -0.000926868175218385 + ((1 - 0.4)*0 + 0.4*0)</f>
        <v>-9.2686817521838501E-4</v>
      </c>
      <c r="AT23" s="566">
        <f xml:space="preserve"> 0.000261814615432516 + ((1 - 0.5)*0 + 0.5*0)</f>
        <v>2.6181461543251601E-4</v>
      </c>
      <c r="AU23" s="566">
        <f xml:space="preserve"> 0.00144404051877938 + ((1 - 0.6)*0 + 0.6*0)</f>
        <v>1.4440405187793801E-3</v>
      </c>
      <c r="AV23" s="566">
        <f xml:space="preserve"> 0.0024823204012949 + ((1 - 0.7)*0 + 0.7*0)</f>
        <v>2.4823204012949002E-3</v>
      </c>
      <c r="AW23" s="566">
        <f xml:space="preserve"> 0.00323916512945179 + ((1 - 0.8000001)*0 + 0.8000001*0)</f>
        <v>3.23916512945179E-3</v>
      </c>
      <c r="AX23" s="566">
        <f xml:space="preserve"> 0.00357708556972276 + ((1 - 0.9000001)*0 + 0.9000001*0)</f>
        <v>3.5770855697227601E-3</v>
      </c>
      <c r="AY23" s="567">
        <f xml:space="preserve"> 0.0033585925885805 + ((1 - 1)*0 + 1*0)</f>
        <v>3.3585925885805E-3</v>
      </c>
      <c r="BA23" s="579">
        <v>20</v>
      </c>
      <c r="BB23" s="565">
        <f>IF(ISNUMBER(System!$C23),PlotData!B23+ $BF$1*AB23,$CB$3)</f>
        <v>3.3533234485878256</v>
      </c>
      <c r="BC23" s="566">
        <f>IF(ISNUMBER(System!$C23),PlotData!C23+ $BF$1*AC23,$CB$3)</f>
        <v>3.4553613335728781</v>
      </c>
      <c r="BD23" s="566">
        <f>IF(ISNUMBER(System!$C23),PlotData!D23+ $BF$1*AD23,$CB$3)</f>
        <v>3.5573904585520486</v>
      </c>
      <c r="BE23" s="566">
        <f>IF(ISNUMBER(System!$C23),PlotData!E23+ $BF$1*AE23,$CB$3)</f>
        <v>3.6594130395444751</v>
      </c>
      <c r="BF23" s="566">
        <f>IF(ISNUMBER(System!$C23),PlotData!F23+ $BF$1*AF23,$CB$3)</f>
        <v>3.7614312925692936</v>
      </c>
      <c r="BG23" s="566">
        <f>IF(ISNUMBER(System!$C23),PlotData!G23+ $BF$1*AG23,$CB$3)</f>
        <v>3.8634474336456419</v>
      </c>
      <c r="BH23" s="566">
        <f>IF(ISNUMBER(System!$C23),PlotData!H23+ $BF$1*AH23,$CB$3)</f>
        <v>3.9654636787926578</v>
      </c>
      <c r="BI23" s="566">
        <f>IF(ISNUMBER(System!$C23),PlotData!I23+ $BF$1*AI23,$CB$3)</f>
        <v>4.0674822440294776</v>
      </c>
      <c r="BJ23" s="566">
        <f>IF(ISNUMBER(System!$C23),PlotData!J23+ $BF$1*AJ23,$CB$3)</f>
        <v>4.1695053453752386</v>
      </c>
      <c r="BK23" s="566">
        <f>IF(ISNUMBER(System!$C23),PlotData!K23+ $BF$1*AK23,$CB$3)</f>
        <v>4.2715351988490777</v>
      </c>
      <c r="BL23" s="567">
        <f>IF(ISNUMBER(System!$C23),PlotData!L23+ $BF$1*AL23,$CB$3)</f>
        <v>4.3735740204701337</v>
      </c>
      <c r="BN23" s="579">
        <v>20</v>
      </c>
      <c r="BO23" s="565">
        <f>IF(ISNUMBER(System!$C23),O23+ $BF$1*AO23,$CB$4)</f>
        <v>2.726150952096086</v>
      </c>
      <c r="BP23" s="566">
        <f>IF(ISNUMBER(System!$C23),P23+ $BF$1*AP23,$CB$4)</f>
        <v>2.7275303406058069</v>
      </c>
      <c r="BQ23" s="566">
        <f>IF(ISNUMBER(System!$C23),Q23+ $BF$1*AQ23,$CB$4)</f>
        <v>2.7294865423758199</v>
      </c>
      <c r="BR23" s="566">
        <f>IF(ISNUMBER(System!$C23),R23+ $BF$1*AR23,$CB$4)</f>
        <v>2.7318736409260844</v>
      </c>
      <c r="BS23" s="566">
        <f>IF(ISNUMBER(System!$C23),S23+ $BF$1*AS23,$CB$4)</f>
        <v>2.7345457197765617</v>
      </c>
      <c r="BT23" s="566">
        <f>IF(ISNUMBER(System!$C23),T23+ $BF$1*AT23,$CB$4)</f>
        <v>2.737356862447212</v>
      </c>
      <c r="BU23" s="566">
        <f>IF(ISNUMBER(System!$C23),U23+ $BF$1*AU23,$CB$4)</f>
        <v>2.7401611524579956</v>
      </c>
      <c r="BV23" s="566">
        <f>IF(ISNUMBER(System!$C23),V23+ $BF$1*AV23,$CB$4)</f>
        <v>2.7428126733288729</v>
      </c>
      <c r="BW23" s="566">
        <f>IF(ISNUMBER(System!$C23),W23+ $BF$1*AW23,$CB$4)</f>
        <v>2.7451655085798046</v>
      </c>
      <c r="BX23" s="566">
        <f>IF(ISNUMBER(System!$C23),X23+ $BF$1*AX23,$CB$4)</f>
        <v>2.7470737417307514</v>
      </c>
      <c r="BY23" s="567">
        <f>IF(ISNUMBER(System!$C23),Y23+ $BF$1*AY23,$CB$4)</f>
        <v>2.7483914563016727</v>
      </c>
    </row>
    <row r="24" spans="1:78" x14ac:dyDescent="0.35">
      <c r="A24" s="564">
        <v>21</v>
      </c>
      <c r="B24" s="565">
        <v>12.15</v>
      </c>
      <c r="C24" s="566">
        <v>12.4950817</v>
      </c>
      <c r="D24" s="566">
        <v>12.8401634</v>
      </c>
      <c r="E24" s="566">
        <v>13.185245099999999</v>
      </c>
      <c r="F24" s="566">
        <v>13.530326799999999</v>
      </c>
      <c r="G24" s="566">
        <v>13.875408499999999</v>
      </c>
      <c r="H24" s="566">
        <v>14.220490199999999</v>
      </c>
      <c r="I24" s="566">
        <v>14.565571899999998</v>
      </c>
      <c r="J24" s="566">
        <v>14.910653599999998</v>
      </c>
      <c r="K24" s="566">
        <v>15.255735299999998</v>
      </c>
      <c r="L24" s="567">
        <v>15.600816999999997</v>
      </c>
      <c r="N24" s="564">
        <v>21</v>
      </c>
      <c r="O24" s="565">
        <v>0.9</v>
      </c>
      <c r="P24" s="566">
        <v>0.89998359999999999</v>
      </c>
      <c r="Q24" s="566">
        <v>0.89996719999999997</v>
      </c>
      <c r="R24" s="566">
        <v>0.89995079999999994</v>
      </c>
      <c r="S24" s="566">
        <v>0.89993439999999991</v>
      </c>
      <c r="T24" s="566">
        <v>0.89991799999999988</v>
      </c>
      <c r="U24" s="566">
        <v>0.89990159999999986</v>
      </c>
      <c r="V24" s="566">
        <v>0.89988519999999983</v>
      </c>
      <c r="W24" s="566">
        <v>0.8998687999999998</v>
      </c>
      <c r="X24" s="566">
        <v>0.89985239999999977</v>
      </c>
      <c r="Y24" s="567">
        <v>0.89983599999999975</v>
      </c>
      <c r="AA24" s="568">
        <v>21</v>
      </c>
      <c r="AB24" s="565">
        <f xml:space="preserve"> -0.000115298555381497 + ((1 - 0)*0 + 0*0)</f>
        <v>-1.15298555381497E-4</v>
      </c>
      <c r="AC24" s="566">
        <f xml:space="preserve"> -0.000115297124014297 + ((1 - 0.1)*0 + 0.1*0)</f>
        <v>-1.15297124014297E-4</v>
      </c>
      <c r="AD24" s="566">
        <f xml:space="preserve"> -0.000115295723530949 + ((1 - 0.2)*0 + 0.2*0)</f>
        <v>-1.1529572353094899E-4</v>
      </c>
      <c r="AE24" s="566">
        <f xml:space="preserve"> -0.000115294384815308 + ((1 - 0.3)*0 + 0.3*0)</f>
        <v>-1.1529438481530799E-4</v>
      </c>
      <c r="AF24" s="566">
        <f xml:space="preserve"> -0.000115293138751227 + ((1 - 0.4)*0 + 0.4*0)</f>
        <v>-1.15293138751227E-4</v>
      </c>
      <c r="AG24" s="566">
        <f xml:space="preserve"> -0.000115292016222559 + ((1 - 0.5)*0 + 0.5*0)</f>
        <v>-1.15292016222559E-4</v>
      </c>
      <c r="AH24" s="566">
        <f xml:space="preserve"> -0.000115291048113158 + ((1 - 0.6)*0 + 0.6*0)</f>
        <v>-1.1529104811315799E-4</v>
      </c>
      <c r="AI24" s="566">
        <f xml:space="preserve"> -0.000115290265306876 + ((1 - 0.7)*0 + 0.7*0)</f>
        <v>-1.15290265306876E-4</v>
      </c>
      <c r="AJ24" s="566">
        <f xml:space="preserve"> -0.000115289698687567 + ((1 - 0.8000001)*0 + 0.8000001*0)</f>
        <v>-1.15289698687567E-4</v>
      </c>
      <c r="AK24" s="566">
        <f xml:space="preserve"> -0.000115289379139084 + ((1 - 0.9000001)*0 + 0.9000001*0)</f>
        <v>-1.1528937913908401E-4</v>
      </c>
      <c r="AL24" s="567">
        <f xml:space="preserve"> -0.000115289337545282 + ((1 - 1)*0 + 1*0)</f>
        <v>-1.15289337545282E-4</v>
      </c>
      <c r="AN24" s="568">
        <v>21</v>
      </c>
      <c r="AO24" s="565">
        <f xml:space="preserve"> -0.000152104069616327 + ((1 - 0)*0 + 0*0)</f>
        <v>-1.5210406961632699E-4</v>
      </c>
      <c r="AP24" s="566">
        <f xml:space="preserve"> -0.000121985860441443 + ((1 - 0.1)*0 + 0.1*0)</f>
        <v>-1.21985860441443E-4</v>
      </c>
      <c r="AQ24" s="566">
        <f xml:space="preserve"> -0.0000925174959369632 + ((1 - 0.2)*0 + 0.2*0)</f>
        <v>-9.2517495936963204E-5</v>
      </c>
      <c r="AR24" s="566">
        <f xml:space="preserve"> -0.0000643488207732866 + ((1 - 0.3)*0 + 0.3*0)</f>
        <v>-6.4348820773286604E-5</v>
      </c>
      <c r="AS24" s="566">
        <f xml:space="preserve"> -0.0000381296796208132 + ((1 - 0.4)*0 + 0.4*0)</f>
        <v>-3.8129679620813199E-5</v>
      </c>
      <c r="AT24" s="566">
        <f xml:space="preserve"> -0.0000145099171499424 + ((1 - 0.5)*0 + 0.5*0)</f>
        <v>-1.45099171499424E-5</v>
      </c>
      <c r="AU24" s="566">
        <f xml:space="preserve"> 5.86062196892626E-06 + ((1 - 0.6)*0 + 0.6*0)</f>
        <v>5.8606219689262597E-6</v>
      </c>
      <c r="AV24" s="566">
        <f xml:space="preserve"> 0.0000223320930653931 + ((1 - 0.7)*0 + 0.7*0)</f>
        <v>2.2332093065393098E-5</v>
      </c>
      <c r="AW24" s="566">
        <f xml:space="preserve"> 0.0000342546514690587 + ((1 - 0.8000001)*0 + 0.8000001*0)</f>
        <v>3.4254651469058699E-5</v>
      </c>
      <c r="AX24" s="566">
        <f xml:space="preserve"> 0.0000409784525095233 + ((1 - 0.9000001)*0 + 0.9000001*0)</f>
        <v>4.0978452509523301E-5</v>
      </c>
      <c r="AY24" s="567">
        <f xml:space="preserve"> 0.0000418536515163874 + ((1 - 1)*0 + 1*0)</f>
        <v>4.1853651516387397E-5</v>
      </c>
      <c r="BA24" s="580">
        <v>21</v>
      </c>
      <c r="BB24" s="565">
        <f>IF(ISNUMBER(System!$C24),PlotData!B24+ $BF$1*AB24,$CB$3)</f>
        <v>12.149877634261536</v>
      </c>
      <c r="BC24" s="566">
        <f>IF(ISNUMBER(System!$C24),PlotData!C24+ $BF$1*AC24,$CB$3)</f>
        <v>12.494959335780639</v>
      </c>
      <c r="BD24" s="566">
        <f>IF(ISNUMBER(System!$C24),PlotData!D24+ $BF$1*AD24,$CB$3)</f>
        <v>12.840041037266962</v>
      </c>
      <c r="BE24" s="566">
        <f>IF(ISNUMBER(System!$C24),PlotData!E24+ $BF$1*AE24,$CB$3)</f>
        <v>13.185122738687735</v>
      </c>
      <c r="BF24" s="566">
        <f>IF(ISNUMBER(System!$C24),PlotData!F24+ $BF$1*AF24,$CB$3)</f>
        <v>13.530204440010175</v>
      </c>
      <c r="BG24" s="566">
        <f>IF(ISNUMBER(System!$C24),PlotData!G24+ $BF$1*AG24,$CB$3)</f>
        <v>13.875286141201508</v>
      </c>
      <c r="BH24" s="566">
        <f>IF(ISNUMBER(System!$C24),PlotData!H24+ $BF$1*AH24,$CB$3)</f>
        <v>14.220367842228958</v>
      </c>
      <c r="BI24" s="566">
        <f>IF(ISNUMBER(System!$C24),PlotData!I24+ $BF$1*AI24,$CB$3)</f>
        <v>14.565449543059746</v>
      </c>
      <c r="BJ24" s="566">
        <f>IF(ISNUMBER(System!$C24),PlotData!J24+ $BF$1*AJ24,$CB$3)</f>
        <v>14.910531243661096</v>
      </c>
      <c r="BK24" s="566">
        <f>IF(ISNUMBER(System!$C24),PlotData!K24+ $BF$1*AK24,$CB$3)</f>
        <v>15.25561294400023</v>
      </c>
      <c r="BL24" s="567">
        <f>IF(ISNUMBER(System!$C24),PlotData!L24+ $BF$1*AL24,$CB$3)</f>
        <v>15.600694644044372</v>
      </c>
      <c r="BN24" s="580">
        <v>21</v>
      </c>
      <c r="BO24" s="565">
        <f>IF(ISNUMBER(System!$C24),O24+ $BF$1*AO24,$CB$4)</f>
        <v>0.89983857276667101</v>
      </c>
      <c r="BP24" s="566">
        <f>IF(ISNUMBER(System!$C24),P24+ $BF$1*AP24,$CB$4)</f>
        <v>0.89985413706054029</v>
      </c>
      <c r="BQ24" s="566">
        <f>IF(ISNUMBER(System!$C24),Q24+ $BF$1*AQ24,$CB$4)</f>
        <v>0.89986901167774602</v>
      </c>
      <c r="BR24" s="566">
        <f>IF(ISNUMBER(System!$C24),R24+ $BF$1*AR24,$CB$4)</f>
        <v>0.89988250694162475</v>
      </c>
      <c r="BS24" s="566">
        <f>IF(ISNUMBER(System!$C24),S24+ $BF$1*AS24,$CB$4)</f>
        <v>0.89989393317551303</v>
      </c>
      <c r="BT24" s="566">
        <f>IF(ISNUMBER(System!$C24),T24+ $BF$1*AT24,$CB$4)</f>
        <v>0.8999026007027473</v>
      </c>
      <c r="BU24" s="566">
        <f>IF(ISNUMBER(System!$C24),U24+ $BF$1*AU24,$CB$4)</f>
        <v>0.89990781984666413</v>
      </c>
      <c r="BV24" s="566">
        <f>IF(ISNUMBER(System!$C24),V24+ $BF$1*AV24,$CB$4)</f>
        <v>0.89990890093060005</v>
      </c>
      <c r="BW24" s="566">
        <f>IF(ISNUMBER(System!$C24),W24+ $BF$1*AW24,$CB$4)</f>
        <v>0.89990515427789153</v>
      </c>
      <c r="BX24" s="566">
        <f>IF(ISNUMBER(System!$C24),X24+ $BF$1*AX24,$CB$4)</f>
        <v>0.8998958902118751</v>
      </c>
      <c r="BY24" s="567">
        <f>IF(ISNUMBER(System!$C24),Y24+ $BF$1*AY24,$CB$4)</f>
        <v>0.89988041905588723</v>
      </c>
    </row>
    <row r="25" spans="1:78" x14ac:dyDescent="0.35">
      <c r="A25" s="564">
        <v>22</v>
      </c>
      <c r="B25" s="581">
        <v>12.15</v>
      </c>
      <c r="C25" s="582">
        <v>12.6300001</v>
      </c>
      <c r="D25" s="582">
        <v>13.1100002</v>
      </c>
      <c r="E25" s="582">
        <v>13.5900003</v>
      </c>
      <c r="F25" s="582">
        <v>14.0700004</v>
      </c>
      <c r="G25" s="582">
        <v>14.550000499999999</v>
      </c>
      <c r="H25" s="582">
        <v>15.030000599999999</v>
      </c>
      <c r="I25" s="582">
        <v>15.510000699999999</v>
      </c>
      <c r="J25" s="582">
        <v>15.990000799999999</v>
      </c>
      <c r="K25" s="582">
        <v>16.470000899999999</v>
      </c>
      <c r="L25" s="583">
        <v>16.950001</v>
      </c>
      <c r="M25" s="455"/>
      <c r="N25" s="564">
        <v>22</v>
      </c>
      <c r="O25" s="581">
        <v>0.9</v>
      </c>
      <c r="P25" s="582">
        <v>0.6</v>
      </c>
      <c r="Q25" s="582">
        <v>0.29999999999999993</v>
      </c>
      <c r="R25" s="582">
        <v>-1.1102230246251565E-16</v>
      </c>
      <c r="S25" s="582">
        <v>-0.30000000000000016</v>
      </c>
      <c r="T25" s="582">
        <v>-0.6000000000000002</v>
      </c>
      <c r="U25" s="582">
        <v>-0.90000000000000024</v>
      </c>
      <c r="V25" s="582">
        <v>-1.2000000000000002</v>
      </c>
      <c r="W25" s="582">
        <v>-1.5000000000000002</v>
      </c>
      <c r="X25" s="582">
        <v>-1.8000000000000003</v>
      </c>
      <c r="Y25" s="583">
        <v>-2.1000000000000005</v>
      </c>
      <c r="Z25" s="584"/>
      <c r="AA25" s="568">
        <v>22</v>
      </c>
      <c r="AB25" s="565">
        <f xml:space="preserve"> -0.000115298555381497 + ((1 - 0)*0 + 0*0)</f>
        <v>-1.15298555381497E-4</v>
      </c>
      <c r="AC25" s="566">
        <f xml:space="preserve"> -0.000111046242884437 + ((1 - 0.1)*0 + 0.1*0)</f>
        <v>-1.11046242884437E-4</v>
      </c>
      <c r="AD25" s="566">
        <f xml:space="preserve"> -0.000101958429079435 + ((1 - 0.2)*0 + 0.2*0)</f>
        <v>-1.01958429079435E-4</v>
      </c>
      <c r="AE25" s="566">
        <f xml:space="preserve"> -0.0000892439892934754 + ((1 - 0.3)*0 + 0.3*0)</f>
        <v>-8.9243989293475399E-5</v>
      </c>
      <c r="AF25" s="566">
        <f xml:space="preserve"> -0.0000741117988535449 + ((1 - 0.4)*0 + 0.4*0)</f>
        <v>-7.4111798853544901E-5</v>
      </c>
      <c r="AG25" s="566">
        <f xml:space="preserve"> -0.0000577707330866289 + ((1 - 0.5)*0 + 0.5*0)</f>
        <v>-5.7770733086628901E-5</v>
      </c>
      <c r="AH25" s="566">
        <f xml:space="preserve"> -0.0000414296673197128 + ((1 - 0.6)*0 + 0.6*0)</f>
        <v>-4.14296673197128E-5</v>
      </c>
      <c r="AI25" s="566">
        <f xml:space="preserve"> -0.0000262974768797824 + ((1 - 0.7)*0 + 0.7*0)</f>
        <v>-2.62974768797824E-5</v>
      </c>
      <c r="AJ25" s="566">
        <f xml:space="preserve"> -0.0000135830370938231 + ((1 - 0.8000001)*0 + 0.8000001*0)</f>
        <v>-1.35830370938231E-5</v>
      </c>
      <c r="AK25" s="566">
        <f xml:space="preserve"> -4.49522328882058E-06 + ((1 - 0.9000001)*0 + 0.9000001*0)</f>
        <v>-4.4952232888205796E-6</v>
      </c>
      <c r="AL25" s="567">
        <f xml:space="preserve"> -2.42910791760426E-07 + ((1 - 1)*0 + 1*0)</f>
        <v>-2.4291079176042601E-7</v>
      </c>
      <c r="AN25" s="568">
        <v>22</v>
      </c>
      <c r="AO25" s="565">
        <f xml:space="preserve"> -0.000152104069616327 + ((1 - 0)*0 + 0*0)</f>
        <v>-1.5210406961632699E-4</v>
      </c>
      <c r="AP25" s="566">
        <f xml:space="preserve"> -0.00014848568606108 + ((1 - 0.1)*0 + 0.1*0)</f>
        <v>-1.4848568606108E-4</v>
      </c>
      <c r="AQ25" s="566">
        <f xml:space="preserve"> -0.000137130498801291 + ((1 - 0.2)*0 + 0.2*0)</f>
        <v>-1.37130498801291E-4</v>
      </c>
      <c r="AR25" s="566">
        <f xml:space="preserve"> -0.000119972708763096 + ((1 - 0.3)*0 + 0.3*0)</f>
        <v>-1.1997270876309601E-4</v>
      </c>
      <c r="AS25" s="566">
        <f xml:space="preserve"> -0.0000989465168726302 + ((1 - 0.4)*0 + 0.4*0)</f>
        <v>-9.8946516872630197E-5</v>
      </c>
      <c r="AT25" s="566">
        <f xml:space="preserve"> -0.0000759861240560291 + ((1 - 0.5)*0 + 0.5*0)</f>
        <v>-7.5986124056029095E-5</v>
      </c>
      <c r="AU25" s="566">
        <f xml:space="preserve"> -0.0000530257312394279 + ((1 - 0.6)*0 + 0.6*0)</f>
        <v>-5.3025731239427897E-5</v>
      </c>
      <c r="AV25" s="566">
        <f xml:space="preserve"> -0.0000319995393489622 + ((1 - 0.7)*0 + 0.7*0)</f>
        <v>-3.1999539348962203E-5</v>
      </c>
      <c r="AW25" s="566">
        <f xml:space="preserve"> -0.0000148417493107672 + ((1 - 0.8000001)*0 + 0.8000001*0)</f>
        <v>-1.4841749310767199E-5</v>
      </c>
      <c r="AX25" s="566">
        <f xml:space="preserve"> -3.48656205097835E-06 + ((1 - 0.9000001)*0 + 0.9000001*0)</f>
        <v>-3.4865620509783501E-6</v>
      </c>
      <c r="AY25" s="567">
        <f xml:space="preserve"> 1.31821504268937E-07 + ((1 - 1)*0 + 1*0)</f>
        <v>1.3182150426893701E-7</v>
      </c>
      <c r="BA25" s="580">
        <v>22</v>
      </c>
      <c r="BB25" s="565">
        <f>IF(ISNUMBER(System!$C25),PlotData!B25+ $BF$1*AB25,$CB$3)</f>
        <v>12.149877634261536</v>
      </c>
      <c r="BC25" s="566">
        <f>IF(ISNUMBER(System!$C25),PlotData!C25+ $BF$1*AC25,$CB$3)</f>
        <v>12.629882247217983</v>
      </c>
      <c r="BD25" s="566">
        <f>IF(ISNUMBER(System!$C25),PlotData!D25+ $BF$1*AD25,$CB$3)</f>
        <v>13.109891992066036</v>
      </c>
      <c r="BE25" s="566">
        <f>IF(ISNUMBER(System!$C25),PlotData!E25+ $BF$1*AE25,$CB$3)</f>
        <v>13.58990558583279</v>
      </c>
      <c r="BF25" s="566">
        <f>IF(ISNUMBER(System!$C25),PlotData!F25+ $BF$1*AF25,$CB$3)</f>
        <v>14.069921745545349</v>
      </c>
      <c r="BG25" s="566">
        <f>IF(ISNUMBER(System!$C25),PlotData!G25+ $BF$1*AG25,$CB$3)</f>
        <v>14.549939188230807</v>
      </c>
      <c r="BH25" s="566">
        <f>IF(ISNUMBER(System!$C25),PlotData!H25+ $BF$1*AH25,$CB$3)</f>
        <v>15.029956630916265</v>
      </c>
      <c r="BI25" s="566">
        <f>IF(ISNUMBER(System!$C25),PlotData!I25+ $BF$1*AI25,$CB$3)</f>
        <v>15.509972790628824</v>
      </c>
      <c r="BJ25" s="566">
        <f>IF(ISNUMBER(System!$C25),PlotData!J25+ $BF$1*AJ25,$CB$3)</f>
        <v>15.989986384395579</v>
      </c>
      <c r="BK25" s="566">
        <f>IF(ISNUMBER(System!$C25),PlotData!K25+ $BF$1*AK25,$CB$3)</f>
        <v>16.469996129243629</v>
      </c>
      <c r="BL25" s="567">
        <f>IF(ISNUMBER(System!$C25),PlotData!L25+ $BF$1*AL25,$CB$3)</f>
        <v>16.950000742200078</v>
      </c>
      <c r="BN25" s="580">
        <v>22</v>
      </c>
      <c r="BO25" s="565">
        <f>IF(ISNUMBER(System!$C25),O25+ $BF$1*AO25,$CB$4)</f>
        <v>0.89983857276667101</v>
      </c>
      <c r="BP25" s="566">
        <f>IF(ISNUMBER(System!$C25),P25+ $BF$1*AP25,$CB$4)</f>
        <v>0.59984241293773233</v>
      </c>
      <c r="BQ25" s="566">
        <f>IF(ISNUMBER(System!$C25),Q25+ $BF$1*AQ25,$CB$4)</f>
        <v>0.29985446413707167</v>
      </c>
      <c r="BR25" s="566">
        <f>IF(ISNUMBER(System!$C25),R25+ $BF$1*AR25,$CB$4)</f>
        <v>-1.2732639238040663E-4</v>
      </c>
      <c r="BS25" s="566">
        <f>IF(ISNUMBER(System!$C25),S25+ $BF$1*AS25,$CB$4)</f>
        <v>-0.30010501140769341</v>
      </c>
      <c r="BT25" s="566">
        <f>IF(ISNUMBER(System!$C25),T25+ $BF$1*AT25,$CB$4)</f>
        <v>-0.60008064366593694</v>
      </c>
      <c r="BU25" s="566">
        <f>IF(ISNUMBER(System!$C25),U25+ $BF$1*AU25,$CB$4)</f>
        <v>-0.90005627592418047</v>
      </c>
      <c r="BV25" s="566">
        <f>IF(ISNUMBER(System!$C25),V25+ $BF$1*AV25,$CB$4)</f>
        <v>-1.2000339609394934</v>
      </c>
      <c r="BW25" s="566">
        <f>IF(ISNUMBER(System!$C25),W25+ $BF$1*AW25,$CB$4)</f>
        <v>-1.5000157514689454</v>
      </c>
      <c r="BX25" s="566">
        <f>IF(ISNUMBER(System!$C25),X25+ $BF$1*AX25,$CB$4)</f>
        <v>-1.8000037002696061</v>
      </c>
      <c r="BY25" s="567">
        <f>IF(ISNUMBER(System!$C25),Y25+ $BF$1*AY25,$CB$4)</f>
        <v>-2.0999998600985452</v>
      </c>
    </row>
    <row r="26" spans="1:78" x14ac:dyDescent="0.35">
      <c r="A26" s="564">
        <v>23</v>
      </c>
      <c r="B26" s="585">
        <v>21.75</v>
      </c>
      <c r="C26" s="582">
        <v>21.270000100000001</v>
      </c>
      <c r="D26" s="582">
        <v>20.790000200000001</v>
      </c>
      <c r="E26" s="582">
        <v>20.310000300000002</v>
      </c>
      <c r="F26" s="582">
        <v>19.830000400000003</v>
      </c>
      <c r="G26" s="582">
        <v>19.350000500000004</v>
      </c>
      <c r="H26" s="582">
        <v>18.870000600000004</v>
      </c>
      <c r="I26" s="582">
        <v>18.390000700000005</v>
      </c>
      <c r="J26" s="582">
        <v>17.910000800000006</v>
      </c>
      <c r="K26" s="582">
        <v>17.430000900000007</v>
      </c>
      <c r="L26" s="583">
        <v>16.950001000000007</v>
      </c>
      <c r="M26" s="455"/>
      <c r="N26" s="564">
        <v>23</v>
      </c>
      <c r="O26" s="581">
        <v>0.9</v>
      </c>
      <c r="P26" s="582">
        <v>0.6</v>
      </c>
      <c r="Q26" s="582">
        <v>0.29999999999999993</v>
      </c>
      <c r="R26" s="582">
        <v>-1.1102230246251565E-16</v>
      </c>
      <c r="S26" s="582">
        <v>-0.30000000000000016</v>
      </c>
      <c r="T26" s="582">
        <v>-0.6000000000000002</v>
      </c>
      <c r="U26" s="582">
        <v>-0.90000000000000024</v>
      </c>
      <c r="V26" s="582">
        <v>-1.2000000000000002</v>
      </c>
      <c r="W26" s="582">
        <v>-1.5000000000000002</v>
      </c>
      <c r="X26" s="582">
        <v>-1.8000000000000003</v>
      </c>
      <c r="Y26" s="583">
        <v>-2.1000000000000005</v>
      </c>
      <c r="Z26" s="584"/>
      <c r="AA26" s="568">
        <v>23</v>
      </c>
      <c r="AB26" s="565">
        <f xml:space="preserve"> -0.00011529864120914 + ((1 - 0)*0 + 0*0)</f>
        <v>-1.1529864120914E-4</v>
      </c>
      <c r="AC26" s="566">
        <f xml:space="preserve"> -0.000111031482725639 + ((1 - 0.1)*0 + 0.1*0)</f>
        <v>-1.11031482725639E-4</v>
      </c>
      <c r="AD26" s="566">
        <f xml:space="preserve"> -0.000101938714536646 + ((1 - 0.2)*0 + 0.2*0)</f>
        <v>-1.01938714536646E-4</v>
      </c>
      <c r="AE26" s="566">
        <f xml:space="preserve"> -0.0000892267390685353 + ((1 - 0.3)*0 + 0.3*0)</f>
        <v>-8.9226739068535297E-5</v>
      </c>
      <c r="AF26" s="566">
        <f xml:space="preserve"> -0.0000741019587476792 + ((1 - 0.4)*0 + 0.4*0)</f>
        <v>-7.4101958747679203E-5</v>
      </c>
      <c r="AG26" s="566">
        <f xml:space="preserve"> -0.0000577707760004504 + ((1 - 0.5)*0 + 0.5*0)</f>
        <v>-5.7770776000450398E-5</v>
      </c>
      <c r="AH26" s="566">
        <f xml:space="preserve"> -0.0000414395932532216 + ((1 - 0.6)*0 + 0.6*0)</f>
        <v>-4.14395932532216E-5</v>
      </c>
      <c r="AI26" s="566">
        <f xml:space="preserve"> -0.0000263148129323655 + ((1 - 0.7)*0 + 0.7*0)</f>
        <v>-2.63148129323655E-5</v>
      </c>
      <c r="AJ26" s="566">
        <f xml:space="preserve"> -0.0000136028374642548 + ((1 - 0.8000001)*0 + 0.8000001*0)</f>
        <v>-1.36028374642548E-5</v>
      </c>
      <c r="AK26" s="566">
        <f xml:space="preserve"> -0.0000045100692752622 + ((1 - 0.9000001)*0 + 0.9000001*0)</f>
        <v>-4.5100692752621997E-6</v>
      </c>
      <c r="AL26" s="567">
        <f xml:space="preserve"> -2.42910791760426E-07 + ((1 - 1)*0 + 1*0)</f>
        <v>-2.4291079176042601E-7</v>
      </c>
      <c r="AN26" s="568">
        <v>23</v>
      </c>
      <c r="AO26" s="565">
        <f xml:space="preserve"> 0.000151909071147922 + ((1 - 0)*0 + 0*0)</f>
        <v>1.5190907114792201E-4</v>
      </c>
      <c r="AP26" s="566">
        <f xml:space="preserve"> 0.00014831280706393 + ((1 - 0.1)*0 + 0.1*0)</f>
        <v>1.4831280706393001E-4</v>
      </c>
      <c r="AQ26" s="566">
        <f xml:space="preserve"> 0.000136995569059689 + ((1 - 0.2)*0 + 0.2*0)</f>
        <v>1.3699556905968899E-4</v>
      </c>
      <c r="AR26" s="566">
        <f xml:space="preserve"> 0.000119887600615262 + ((1 - 0.3)*0 + 0.3*0)</f>
        <v>1.1988760061526201E-4</v>
      </c>
      <c r="AS26" s="566">
        <f xml:space="preserve"> 0.0000989191452107097 + ((1 - 0.4)*0 + 0.4*0)</f>
        <v>9.8919145210709701E-5</v>
      </c>
      <c r="AT26" s="566">
        <f xml:space="preserve"> 0.0000760204463260957 + ((1 - 0.5)*0 + 0.5*0)</f>
        <v>7.6020446326095705E-5</v>
      </c>
      <c r="AU26" s="566">
        <f xml:space="preserve"> 0.0000531217474414816 + ((1 - 0.6)*0 + 0.6*0)</f>
        <v>5.31217474414816E-5</v>
      </c>
      <c r="AV26" s="566">
        <f xml:space="preserve"> 0.0000321532920369297 + ((1 - 0.7)*0 + 0.7*0)</f>
        <v>3.2153292036929702E-5</v>
      </c>
      <c r="AW26" s="566">
        <f xml:space="preserve"> 0.0000150453235925022 + ((1 - 0.8000001)*0 + 0.8000001*0)</f>
        <v>1.5045323592502201E-5</v>
      </c>
      <c r="AX26" s="566">
        <f xml:space="preserve"> 3.72808558826117E-06 + ((1 - 0.9000001)*0 + 0.9000001*0)</f>
        <v>3.7280855882611701E-6</v>
      </c>
      <c r="AY26" s="567">
        <f xml:space="preserve"> 1.31821504268935E-07 + ((1 - 1)*0 + 1*0)</f>
        <v>1.31821504268935E-7</v>
      </c>
      <c r="BA26" s="580">
        <v>23</v>
      </c>
      <c r="BB26" s="565">
        <f>IF(ISNUMBER(System!$C26),PlotData!B26+ $BF$1*AB26,$CB$3)</f>
        <v>21.749877634170446</v>
      </c>
      <c r="BC26" s="566">
        <f>IF(ISNUMBER(System!$C26),PlotData!C26+ $BF$1*AC26,$CB$3)</f>
        <v>21.269882262882859</v>
      </c>
      <c r="BD26" s="566">
        <f>IF(ISNUMBER(System!$C26),PlotData!D26+ $BF$1*AD26,$CB$3)</f>
        <v>20.789892012988975</v>
      </c>
      <c r="BE26" s="566">
        <f>IF(ISNUMBER(System!$C26),PlotData!E26+ $BF$1*AE26,$CB$3)</f>
        <v>20.309905604140365</v>
      </c>
      <c r="BF26" s="566">
        <f>IF(ISNUMBER(System!$C26),PlotData!F26+ $BF$1*AF26,$CB$3)</f>
        <v>19.829921755988604</v>
      </c>
      <c r="BG26" s="566">
        <f>IF(ISNUMBER(System!$C26),PlotData!G26+ $BF$1*AG26,$CB$3)</f>
        <v>19.349939188185267</v>
      </c>
      <c r="BH26" s="566">
        <f>IF(ISNUMBER(System!$C26),PlotData!H26+ $BF$1*AH26,$CB$3)</f>
        <v>18.869956620381931</v>
      </c>
      <c r="BI26" s="566">
        <f>IF(ISNUMBER(System!$C26),PlotData!I26+ $BF$1*AI26,$CB$3)</f>
        <v>18.38997277223017</v>
      </c>
      <c r="BJ26" s="566">
        <f>IF(ISNUMBER(System!$C26),PlotData!J26+ $BF$1*AJ26,$CB$3)</f>
        <v>17.909986363381559</v>
      </c>
      <c r="BK26" s="566">
        <f>IF(ISNUMBER(System!$C26),PlotData!K26+ $BF$1*AK26,$CB$3)</f>
        <v>17.429996113487672</v>
      </c>
      <c r="BL26" s="567">
        <f>IF(ISNUMBER(System!$C26),PlotData!L26+ $BF$1*AL26,$CB$3)</f>
        <v>16.950000742200086</v>
      </c>
      <c r="BN26" s="580">
        <v>23</v>
      </c>
      <c r="BO26" s="565">
        <f>IF(ISNUMBER(System!$C26),O26+ $BF$1*AO26,$CB$4)</f>
        <v>0.90016122028250023</v>
      </c>
      <c r="BP26" s="566">
        <f>IF(ISNUMBER(System!$C26),P26+ $BF$1*AP26,$CB$4)</f>
        <v>0.6001574035867151</v>
      </c>
      <c r="BQ26" s="566">
        <f>IF(ISNUMBER(System!$C26),Q26+ $BF$1*AQ26,$CB$4)</f>
        <v>0.30014539266271706</v>
      </c>
      <c r="BR26" s="566">
        <f>IF(ISNUMBER(System!$C26),R26+ $BF$1*AR26,$CB$4)</f>
        <v>1.2723606755933494E-4</v>
      </c>
      <c r="BS26" s="566">
        <f>IF(ISNUMBER(System!$C26),S26+ $BF$1*AS26,$CB$4)</f>
        <v>-0.2998950176417049</v>
      </c>
      <c r="BT26" s="566">
        <f>IF(ISNUMBER(System!$C26),T26+ $BF$1*AT26,$CB$4)</f>
        <v>-0.59991931990802227</v>
      </c>
      <c r="BU26" s="566">
        <f>IF(ISNUMBER(System!$C26),U26+ $BF$1*AU26,$CB$4)</f>
        <v>-0.89994362217433976</v>
      </c>
      <c r="BV26" s="566">
        <f>IF(ISNUMBER(System!$C26),V26+ $BF$1*AV26,$CB$4)</f>
        <v>-1.1999658758836038</v>
      </c>
      <c r="BW26" s="566">
        <f>IF(ISNUMBER(System!$C26),W26+ $BF$1*AW26,$CB$4)</f>
        <v>-1.4999840324787617</v>
      </c>
      <c r="BX26" s="566">
        <f>IF(ISNUMBER(System!$C26),X26+ $BF$1*AX26,$CB$4)</f>
        <v>-1.7999960434027598</v>
      </c>
      <c r="BY26" s="567">
        <f>IF(ISNUMBER(System!$C26),Y26+ $BF$1*AY26,$CB$4)</f>
        <v>-2.0999998600985452</v>
      </c>
    </row>
    <row r="27" spans="1:78" x14ac:dyDescent="0.35">
      <c r="A27" s="564">
        <v>24</v>
      </c>
      <c r="B27" s="581">
        <v>16.950001</v>
      </c>
      <c r="C27" s="582">
        <v>17.087176500000002</v>
      </c>
      <c r="D27" s="582">
        <v>17.224352000000003</v>
      </c>
      <c r="E27" s="582">
        <v>17.361527500000005</v>
      </c>
      <c r="F27" s="582">
        <v>17.498703000000006</v>
      </c>
      <c r="G27" s="582">
        <v>17.635878500000008</v>
      </c>
      <c r="H27" s="582">
        <v>17.773054000000009</v>
      </c>
      <c r="I27" s="582">
        <v>17.91022950000001</v>
      </c>
      <c r="J27" s="582">
        <v>18.047405000000012</v>
      </c>
      <c r="K27" s="582">
        <v>18.184580500000013</v>
      </c>
      <c r="L27" s="583">
        <v>18.321756000000015</v>
      </c>
      <c r="M27" s="455"/>
      <c r="N27" s="564">
        <v>24</v>
      </c>
      <c r="O27" s="581">
        <v>0.9</v>
      </c>
      <c r="P27" s="582">
        <v>0.89998359999999999</v>
      </c>
      <c r="Q27" s="586">
        <v>0.89996719999999997</v>
      </c>
      <c r="R27" s="582">
        <v>0.89995079999999994</v>
      </c>
      <c r="S27" s="582">
        <v>0.89993439999999991</v>
      </c>
      <c r="T27" s="582">
        <v>0.89991799999999988</v>
      </c>
      <c r="U27" s="582">
        <v>0.89990159999999986</v>
      </c>
      <c r="V27" s="582">
        <v>0.89988519999999983</v>
      </c>
      <c r="W27" s="582">
        <v>0.8998687999999998</v>
      </c>
      <c r="X27" s="582">
        <v>0.89985239999999977</v>
      </c>
      <c r="Y27" s="583">
        <v>0.89983599999999975</v>
      </c>
      <c r="Z27" s="584"/>
      <c r="AA27" s="568">
        <v>24</v>
      </c>
      <c r="AB27" s="565">
        <f xml:space="preserve"> -0.000115284226878423 + ((1 - 0)*0 + 0*0)</f>
        <v>-1.1528422687842301E-4</v>
      </c>
      <c r="AC27" s="566">
        <f xml:space="preserve"> -0.000115284939183845 + ((1 - 0.1)*0 + 0.1*0)</f>
        <v>-1.15284939183845E-4</v>
      </c>
      <c r="AD27" s="566">
        <f xml:space="preserve"> -0.000115285639614483 + ((1 - 0.2)*0 + 0.2*0)</f>
        <v>-1.1528563961448301E-4</v>
      </c>
      <c r="AE27" s="566">
        <f xml:space="preserve"> -0.000115286315749888 + ((1 - 0.3)*0 + 0.3*0)</f>
        <v>-1.1528631574988799E-4</v>
      </c>
      <c r="AF27" s="566">
        <f xml:space="preserve"> -0.000115286955169615 + ((1 - 0.4)*0 + 0.4*0)</f>
        <v>-1.15286955169615E-4</v>
      </c>
      <c r="AG27" s="566">
        <f xml:space="preserve"> -0.000115287545453214 + ((1 - 0.5)*0 + 0.5*0)</f>
        <v>-1.15287545453214E-4</v>
      </c>
      <c r="AH27" s="566">
        <f xml:space="preserve"> -0.00011528807418024 + ((1 - 0.6)*0 + 0.6*0)</f>
        <v>-1.1528807418024001E-4</v>
      </c>
      <c r="AI27" s="566">
        <f xml:space="preserve"> -0.000115288528930245 + ((1 - 0.7)*0 + 0.7*0)</f>
        <v>-1.1528852893024501E-4</v>
      </c>
      <c r="AJ27" s="566">
        <f xml:space="preserve"> -0.000115288897282781 + ((1 - 0.8000001)*0 + 0.8000001*0)</f>
        <v>-1.1528889728278101E-4</v>
      </c>
      <c r="AK27" s="566">
        <f xml:space="preserve"> -0.000115289166817401 + ((1 - 0.9000001)*0 + 0.9000001*0)</f>
        <v>-1.15289166817401E-4</v>
      </c>
      <c r="AL27" s="567">
        <f xml:space="preserve"> -0.000115289325113657 + ((1 - 1)*0 + 1*0)</f>
        <v>-1.15289325113657E-4</v>
      </c>
      <c r="AN27" s="568">
        <v>24</v>
      </c>
      <c r="AO27" s="565">
        <f xml:space="preserve"> -1.90433466488435E-07 + ((1 - 0)*0 + 0*0)</f>
        <v>-1.90433466488435E-7</v>
      </c>
      <c r="AP27" s="566">
        <f xml:space="preserve"> -6.14841227432465E-06 + ((1 - 0.1)*0 + 0.1*0)</f>
        <v>-6.1484122743246497E-6</v>
      </c>
      <c r="AQ27" s="566">
        <f xml:space="preserve"> -0.0000120070661117746 + ((1 - 0.2)*0 + 0.2*0)</f>
        <v>-1.2007066111774601E-5</v>
      </c>
      <c r="AR27" s="566">
        <f xml:space="preserve"> -0.0000176625058890014 + ((1 - 0.3)*0 + 0.3*0)</f>
        <v>-1.76625058890014E-5</v>
      </c>
      <c r="AS27" s="566">
        <f xml:space="preserve"> -0.0000230108425161679 + ((1 - 0.4)*0 + 0.4*0)</f>
        <v>-2.30108425161679E-5</v>
      </c>
      <c r="AT27" s="566">
        <f xml:space="preserve"> -0.0000279481869034371 + ((1 - 0.5)*0 + 0.5*0)</f>
        <v>-2.7948186903437101E-5</v>
      </c>
      <c r="AU27" s="566">
        <f xml:space="preserve"> -0.0000323706499609719 + ((1 - 0.6)*0 + 0.6*0)</f>
        <v>-3.2370649960971901E-5</v>
      </c>
      <c r="AV27" s="566">
        <f xml:space="preserve"> -0.0000361743425989354 + ((1 - 0.7)*0 + 0.7*0)</f>
        <v>-3.6174342598935403E-5</v>
      </c>
      <c r="AW27" s="566">
        <f xml:space="preserve"> -0.0000392553757274904 + ((1 - 0.8000001)*0 + 0.8000001*0)</f>
        <v>-3.9255375727490403E-5</v>
      </c>
      <c r="AX27" s="566">
        <f xml:space="preserve"> -0.0000415098602568001 + ((1 - 0.9000001)*0 + 0.9000001*0)</f>
        <v>-4.1509860256800099E-5</v>
      </c>
      <c r="AY27" s="567">
        <f xml:space="preserve"> -0.0000428339070970273 + ((1 - 1)*0 + 1*0)</f>
        <v>-4.2833907097027301E-5</v>
      </c>
      <c r="BA27" s="580">
        <v>24</v>
      </c>
      <c r="BB27" s="565">
        <f>IF(ISNUMBER(System!$C27),PlotData!B27+ $BF$1*AB27,$CB$3)</f>
        <v>16.9498786494683</v>
      </c>
      <c r="BC27" s="566">
        <f>IF(ISNUMBER(System!$C27),PlotData!C27+ $BF$1*AC27,$CB$3)</f>
        <v>17.087054148712333</v>
      </c>
      <c r="BD27" s="566">
        <f>IF(ISNUMBER(System!$C27),PlotData!D27+ $BF$1*AD27,$CB$3)</f>
        <v>17.224229647968972</v>
      </c>
      <c r="BE27" s="566">
        <f>IF(ISNUMBER(System!$C27),PlotData!E27+ $BF$1*AE27,$CB$3)</f>
        <v>17.361405147251396</v>
      </c>
      <c r="BF27" s="566">
        <f>IF(ISNUMBER(System!$C27),PlotData!F27+ $BF$1*AF27,$CB$3)</f>
        <v>17.498580646572783</v>
      </c>
      <c r="BG27" s="566">
        <f>IF(ISNUMBER(System!$C27),PlotData!G27+ $BF$1*AG27,$CB$3)</f>
        <v>17.635756145946321</v>
      </c>
      <c r="BH27" s="566">
        <f>IF(ISNUMBER(System!$C27),PlotData!H27+ $BF$1*AH27,$CB$3)</f>
        <v>17.772931645385189</v>
      </c>
      <c r="BI27" s="566">
        <f>IF(ISNUMBER(System!$C27),PlotData!I27+ $BF$1*AI27,$CB$3)</f>
        <v>17.910107144902565</v>
      </c>
      <c r="BJ27" s="566">
        <f>IF(ISNUMBER(System!$C27),PlotData!J27+ $BF$1*AJ27,$CB$3)</f>
        <v>18.047282644511636</v>
      </c>
      <c r="BK27" s="566">
        <f>IF(ISNUMBER(System!$C27),PlotData!K27+ $BF$1*AK27,$CB$3)</f>
        <v>18.18445814422558</v>
      </c>
      <c r="BL27" s="567">
        <f>IF(ISNUMBER(System!$C27),PlotData!L27+ $BF$1*AL27,$CB$3)</f>
        <v>18.321633644057584</v>
      </c>
      <c r="BM27" s="455"/>
      <c r="BN27" s="580">
        <v>24</v>
      </c>
      <c r="BO27" s="565">
        <f>IF(ISNUMBER(System!$C27),O27+ $BF$1*AO27,$CB$4)</f>
        <v>0.89999979789398332</v>
      </c>
      <c r="BP27" s="566">
        <f>IF(ISNUMBER(System!$C27),P27+ $BF$1*AP27,$CB$4)</f>
        <v>0.89997707472302801</v>
      </c>
      <c r="BQ27" s="566">
        <f>IF(ISNUMBER(System!$C27),Q27+ $BF$1*AQ27,$CB$4)</f>
        <v>0.8999544569651311</v>
      </c>
      <c r="BR27" s="566">
        <f>IF(ISNUMBER(System!$C27),R27+ $BF$1*AR27,$CB$4)</f>
        <v>0.89993205487722638</v>
      </c>
      <c r="BS27" s="566">
        <f>IF(ISNUMBER(System!$C27),S27+ $BF$1*AS27,$CB$4)</f>
        <v>0.89990997871624778</v>
      </c>
      <c r="BT27" s="566">
        <f>IF(ISNUMBER(System!$C27),T27+ $BF$1*AT27,$CB$4)</f>
        <v>0.89988833873912921</v>
      </c>
      <c r="BU27" s="566">
        <f>IF(ISNUMBER(System!$C27),U27+ $BF$1*AU27,$CB$4)</f>
        <v>0.89986724520280448</v>
      </c>
      <c r="BV27" s="566">
        <f>IF(ISNUMBER(System!$C27),V27+ $BF$1*AV27,$CB$4)</f>
        <v>0.8998468083642075</v>
      </c>
      <c r="BW27" s="566">
        <f>IF(ISNUMBER(System!$C27),W27+ $BF$1*AW27,$CB$4)</f>
        <v>0.89982713848027218</v>
      </c>
      <c r="BX27" s="566">
        <f>IF(ISNUMBER(System!$C27),X27+ $BF$1*AX27,$CB$4)</f>
        <v>0.89980834580793223</v>
      </c>
      <c r="BY27" s="567">
        <f>IF(ISNUMBER(System!$C27),Y27+ $BF$1*AY27,$CB$4)</f>
        <v>0.89979054060412178</v>
      </c>
      <c r="BZ27" s="455"/>
    </row>
    <row r="28" spans="1:78" x14ac:dyDescent="0.35">
      <c r="A28" s="564">
        <v>25</v>
      </c>
      <c r="B28" s="581">
        <v>16.350000000000001</v>
      </c>
      <c r="C28" s="582">
        <v>16.358565000000002</v>
      </c>
      <c r="D28" s="582">
        <v>16.367130000000003</v>
      </c>
      <c r="E28" s="582">
        <v>16.375695000000004</v>
      </c>
      <c r="F28" s="582">
        <v>16.384260000000005</v>
      </c>
      <c r="G28" s="582">
        <v>16.392825000000006</v>
      </c>
      <c r="H28" s="582">
        <v>16.401390000000006</v>
      </c>
      <c r="I28" s="582">
        <v>16.409955000000007</v>
      </c>
      <c r="J28" s="582">
        <v>16.418520000000008</v>
      </c>
      <c r="K28" s="582">
        <v>16.427085000000009</v>
      </c>
      <c r="L28" s="583">
        <v>16.43565000000001</v>
      </c>
      <c r="M28" s="455"/>
      <c r="N28" s="564">
        <v>25</v>
      </c>
      <c r="O28" s="581">
        <v>3.6</v>
      </c>
      <c r="P28" s="582">
        <v>3.5129331000000001</v>
      </c>
      <c r="Q28" s="582">
        <v>3.4258662000000002</v>
      </c>
      <c r="R28" s="582">
        <v>3.3387993000000002</v>
      </c>
      <c r="S28" s="582">
        <v>3.2517324000000003</v>
      </c>
      <c r="T28" s="582">
        <v>3.1646655000000004</v>
      </c>
      <c r="U28" s="582">
        <v>3.0775986000000004</v>
      </c>
      <c r="V28" s="582">
        <v>2.9905317000000005</v>
      </c>
      <c r="W28" s="582">
        <v>2.9034648000000005</v>
      </c>
      <c r="X28" s="582">
        <v>2.8163979000000006</v>
      </c>
      <c r="Y28" s="583">
        <v>2.7293310000000006</v>
      </c>
      <c r="Z28" s="584"/>
      <c r="AA28" s="568">
        <v>25</v>
      </c>
      <c r="AB28" s="565">
        <f xml:space="preserve"> 0 + ((1 - 0)*0 + 0*0)</f>
        <v>0</v>
      </c>
      <c r="AC28" s="566">
        <f xml:space="preserve"> -2.41325807810541E-06 + ((1 - 0.1)*0 + 0.1*0)</f>
        <v>-2.4132580781054099E-6</v>
      </c>
      <c r="AD28" s="566">
        <f xml:space="preserve"> -4.79776860691729E-06 + ((1 - 0.2)*0 + 0.2*0)</f>
        <v>-4.79776860691729E-6</v>
      </c>
      <c r="AE28" s="566">
        <f xml:space="preserve"> -7.12478403714212E-06 + ((1 - 0.3)*0 + 0.3*0)</f>
        <v>-7.1247840371421198E-6</v>
      </c>
      <c r="AF28" s="566">
        <f xml:space="preserve"> -9.36555681948637E-06 + ((1 - 0.4)*0 + 0.4*0)</f>
        <v>-9.3655568194863705E-6</v>
      </c>
      <c r="AG28" s="566">
        <f xml:space="preserve"> -0.0000114913394046565 + ((1 - 0.5)*0 + 0.5*0)</f>
        <v>-1.14913394046565E-5</v>
      </c>
      <c r="AH28" s="566">
        <f xml:space="preserve"> -0.0000134733842433591 + ((1 - 0.6)*0 + 0.6*0)</f>
        <v>-1.34733842433591E-5</v>
      </c>
      <c r="AI28" s="566">
        <f xml:space="preserve"> -0.0000152829437863004 + ((1 - 0.7)*0 + 0.7*0)</f>
        <v>-1.52829437863004E-5</v>
      </c>
      <c r="AJ28" s="566">
        <f xml:space="preserve"> -0.0000168912704841871 + ((1 - 0.8000001)*0 + 0.8000001*0)</f>
        <v>-1.6891270484187099E-5</v>
      </c>
      <c r="AK28" s="566">
        <f xml:space="preserve"> -0.0000182696167877256 + ((1 - 0.9000001)*0 + 0.9000001*0)</f>
        <v>-1.82696167877256E-5</v>
      </c>
      <c r="AL28" s="567">
        <f xml:space="preserve"> -0.0000193892351476224 + ((1 - 1)*0 + 1*0)</f>
        <v>-1.9389235147622399E-5</v>
      </c>
      <c r="AN28" s="568">
        <v>25</v>
      </c>
      <c r="AO28" s="565">
        <f xml:space="preserve"> 0 + ((1 - 0)*0 + 0*0)</f>
        <v>0</v>
      </c>
      <c r="AP28" s="566">
        <f xml:space="preserve"> -2.37398545707812E-07 + ((1 - 0.1)*0 + 0.1*0)</f>
        <v>-2.37398545707812E-7</v>
      </c>
      <c r="AQ28" s="566">
        <f xml:space="preserve"> -4.71969119365406E-07 + ((1 - 0.2)*0 + 0.2*0)</f>
        <v>-4.7196911936540598E-7</v>
      </c>
      <c r="AR28" s="566">
        <f xml:space="preserve"> -7.00883748922567E-07 + ((1 - 0.3)*0 + 0.3*0)</f>
        <v>-7.0088374892256696E-7</v>
      </c>
      <c r="AS28" s="566">
        <f xml:space="preserve"> -9.21314462329077E-07 + ((1 - 0.4)*0 + 0.4*0)</f>
        <v>-9.2131446232907698E-7</v>
      </c>
      <c r="AT28" s="566">
        <f xml:space="preserve"> -1.13043328753472E-06 + ((1 - 0.5)*0 + 0.5*0)</f>
        <v>-1.13043328753472E-6</v>
      </c>
      <c r="AU28" s="566">
        <f xml:space="preserve"> -1.32541225248928E-06 + ((1 - 0.6)*0 + 0.6*0)</f>
        <v>-1.3254122524892799E-6</v>
      </c>
      <c r="AV28" s="566">
        <f xml:space="preserve"> -1.50342338514253E-06 + ((1 - 0.7)*0 + 0.7*0)</f>
        <v>-1.5034233851425299E-6</v>
      </c>
      <c r="AW28" s="566">
        <f xml:space="preserve"> -1.66163871344427E-06 + ((1 - 0.8000001)*0 + 0.8000001*0)</f>
        <v>-1.6616387134442701E-6</v>
      </c>
      <c r="AX28" s="566">
        <f xml:space="preserve"> -1.79723026534427E-06 + ((1 - 0.9000001)*0 + 0.9000001*0)</f>
        <v>-1.7972302653442701E-6</v>
      </c>
      <c r="AY28" s="567">
        <f xml:space="preserve"> -1.90737006879232E-06 + ((1 - 1)*0 + 1*0)</f>
        <v>-1.9073700687923201E-6</v>
      </c>
      <c r="BA28" s="580">
        <v>25</v>
      </c>
      <c r="BB28" s="565">
        <f>IF(ISNUMBER(System!$C28),PlotData!B28+ $BF$1*AB28,$CB$3)</f>
        <v>16.350000000000001</v>
      </c>
      <c r="BC28" s="566">
        <f>IF(ISNUMBER(System!$C28),PlotData!C28+ $BF$1*AC28,$CB$3)</f>
        <v>16.358562438822148</v>
      </c>
      <c r="BD28" s="566">
        <f>IF(ISNUMBER(System!$C28),PlotData!D28+ $BF$1*AD28,$CB$3)</f>
        <v>16.367124908153912</v>
      </c>
      <c r="BE28" s="566">
        <f>IF(ISNUMBER(System!$C28),PlotData!E28+ $BF$1*AE28,$CB$3)</f>
        <v>16.375687438504915</v>
      </c>
      <c r="BF28" s="566">
        <f>IF(ISNUMBER(System!$C28),PlotData!F28+ $BF$1*AF28,$CB$3)</f>
        <v>16.38425006038478</v>
      </c>
      <c r="BG28" s="566">
        <f>IF(ISNUMBER(System!$C28),PlotData!G28+ $BF$1*AG28,$CB$3)</f>
        <v>16.392812804303126</v>
      </c>
      <c r="BH28" s="566">
        <f>IF(ISNUMBER(System!$C28),PlotData!H28+ $BF$1*AH28,$CB$3)</f>
        <v>16.40137570076957</v>
      </c>
      <c r="BI28" s="566">
        <f>IF(ISNUMBER(System!$C28),PlotData!I28+ $BF$1*AI28,$CB$3)</f>
        <v>16.409938780293732</v>
      </c>
      <c r="BJ28" s="566">
        <f>IF(ISNUMBER(System!$C28),PlotData!J28+ $BF$1*AJ28,$CB$3)</f>
        <v>16.418502073385234</v>
      </c>
      <c r="BK28" s="566">
        <f>IF(ISNUMBER(System!$C28),PlotData!K28+ $BF$1*AK28,$CB$3)</f>
        <v>16.427065610553694</v>
      </c>
      <c r="BL28" s="567">
        <f>IF(ISNUMBER(System!$C28),PlotData!L28+ $BF$1*AL28,$CB$3)</f>
        <v>16.435629422308736</v>
      </c>
      <c r="BM28" s="455"/>
      <c r="BN28" s="580">
        <v>25</v>
      </c>
      <c r="BO28" s="565">
        <f>IF(ISNUMBER(System!$C28),O28+ $BF$1*AO28,$CB$4)</f>
        <v>3.6</v>
      </c>
      <c r="BP28" s="566">
        <f>IF(ISNUMBER(System!$C28),P28+ $BF$1*AP28,$CB$4)</f>
        <v>3.5129328480501969</v>
      </c>
      <c r="BQ28" s="566">
        <f>IF(ISNUMBER(System!$C28),Q28+ $BF$1*AQ28,$CB$4)</f>
        <v>3.4258656991017049</v>
      </c>
      <c r="BR28" s="566">
        <f>IF(ISNUMBER(System!$C28),R28+ $BF$1*AR28,$CB$4)</f>
        <v>3.3387985561558366</v>
      </c>
      <c r="BS28" s="566">
        <f>IF(ISNUMBER(System!$C28),S28+ $BF$1*AS28,$CB$4)</f>
        <v>3.2517314222139024</v>
      </c>
      <c r="BT28" s="566">
        <f>IF(ISNUMBER(System!$C28),T28+ $BF$1*AT28,$CB$4)</f>
        <v>3.1646643002772148</v>
      </c>
      <c r="BU28" s="566">
        <f>IF(ISNUMBER(System!$C28),U28+ $BF$1*AU28,$CB$4)</f>
        <v>3.0775971933470854</v>
      </c>
      <c r="BV28" s="566">
        <f>IF(ISNUMBER(System!$C28),V28+ $BF$1*AV28,$CB$4)</f>
        <v>2.9905301044248249</v>
      </c>
      <c r="BW28" s="566">
        <f>IF(ISNUMBER(System!$C28),W28+ $BF$1*AW28,$CB$4)</f>
        <v>2.9034630365117455</v>
      </c>
      <c r="BX28" s="566">
        <f>IF(ISNUMBER(System!$C28),X28+ $BF$1*AX28,$CB$4)</f>
        <v>2.8163959926091588</v>
      </c>
      <c r="BY28" s="567">
        <f>IF(ISNUMBER(System!$C28),Y28+ $BF$1*AY28,$CB$4)</f>
        <v>2.7293289757183761</v>
      </c>
      <c r="BZ28" s="455"/>
    </row>
    <row r="29" spans="1:78" x14ac:dyDescent="0.35">
      <c r="A29" s="564">
        <v>26</v>
      </c>
      <c r="B29" s="581">
        <v>17.549999</v>
      </c>
      <c r="C29" s="582">
        <v>17.540599399999998</v>
      </c>
      <c r="D29" s="582">
        <v>17.531199799999996</v>
      </c>
      <c r="E29" s="582">
        <v>17.521800199999994</v>
      </c>
      <c r="F29" s="582">
        <v>17.512400599999992</v>
      </c>
      <c r="G29" s="582">
        <v>17.50300099999999</v>
      </c>
      <c r="H29" s="582">
        <v>17.493601399999989</v>
      </c>
      <c r="I29" s="582">
        <v>17.484201799999987</v>
      </c>
      <c r="J29" s="582">
        <v>17.474802199999985</v>
      </c>
      <c r="K29" s="582">
        <v>17.465402599999983</v>
      </c>
      <c r="L29" s="583">
        <v>17.456002999999981</v>
      </c>
      <c r="M29" s="455"/>
      <c r="N29" s="564">
        <v>26</v>
      </c>
      <c r="O29" s="581">
        <v>3.6</v>
      </c>
      <c r="P29" s="582">
        <v>3.5144827000000003</v>
      </c>
      <c r="Q29" s="582">
        <v>3.4289654000000001</v>
      </c>
      <c r="R29" s="582">
        <v>3.3434480999999998</v>
      </c>
      <c r="S29" s="582">
        <v>3.2579307999999996</v>
      </c>
      <c r="T29" s="582">
        <v>3.1724134999999993</v>
      </c>
      <c r="U29" s="582">
        <v>3.0868961999999991</v>
      </c>
      <c r="V29" s="582">
        <v>3.0013788999999989</v>
      </c>
      <c r="W29" s="582">
        <v>2.9158615999999986</v>
      </c>
      <c r="X29" s="582">
        <v>2.8303442999999984</v>
      </c>
      <c r="Y29" s="583">
        <v>2.7448269999999981</v>
      </c>
      <c r="Z29" s="584"/>
      <c r="AA29" s="568">
        <v>26</v>
      </c>
      <c r="AB29" s="565">
        <f xml:space="preserve"> 0 + ((1 - 0)*0 + 0*0)</f>
        <v>0</v>
      </c>
      <c r="AC29" s="566">
        <f xml:space="preserve"> -0.0000024266419983296 + ((1 - 0.1)*0 + 0.1*0)</f>
        <v>-2.4266419983295999E-6</v>
      </c>
      <c r="AD29" s="566">
        <f xml:space="preserve"> -4.82409763589148E-06 + ((1 - 0.2)*0 + 0.2*0)</f>
        <v>-4.8240976358914803E-6</v>
      </c>
      <c r="AE29" s="566">
        <f xml:space="preserve"> -7.16318055191792E-06 + ((1 - 0.3)*0 + 0.3*0)</f>
        <v>-7.16318055191792E-6</v>
      </c>
      <c r="AF29" s="566">
        <f xml:space="preserve"> -0.0000094147043856412 + ((1 - 0.4)*0 + 0.4*0)</f>
        <v>-9.4147043856411997E-6</v>
      </c>
      <c r="AG29" s="566">
        <f xml:space="preserve"> -0.0000115494827762936 + ((1 - 0.5)*0 + 0.5*0)</f>
        <v>-1.15494827762936E-5</v>
      </c>
      <c r="AH29" s="566">
        <f xml:space="preserve"> -0.0000135383293631074 + ((1 - 0.6)*0 + 0.6*0)</f>
        <v>-1.35383293631074E-5</v>
      </c>
      <c r="AI29" s="566">
        <f xml:space="preserve"> -0.0000153520577853149 + ((1 - 0.7)*0 + 0.7*0)</f>
        <v>-1.5352057785314898E-5</v>
      </c>
      <c r="AJ29" s="566">
        <f xml:space="preserve"> -0.0000169614816821483 + ((1 - 0.8000001)*0 + 0.8000001*0)</f>
        <v>-1.6961481682148299E-5</v>
      </c>
      <c r="AK29" s="566">
        <f xml:space="preserve"> -0.00001833741469284 + ((1 - 0.9000001)*0 + 0.9000001*0)</f>
        <v>-1.8337414692840001E-5</v>
      </c>
      <c r="AL29" s="567">
        <f xml:space="preserve"> -0.0000194506704566222 + ((1 - 1)*0 + 1*0)</f>
        <v>-1.9450670456622199E-5</v>
      </c>
      <c r="AN29" s="568">
        <v>26</v>
      </c>
      <c r="AO29" s="565">
        <f xml:space="preserve"> 0 + ((1 - 0)*0 + 0*0)</f>
        <v>0</v>
      </c>
      <c r="AP29" s="566">
        <f xml:space="preserve"> 2.66723389626945E-07 + ((1 - 0.1)*0 + 0.1*0)</f>
        <v>2.66723389626945E-7</v>
      </c>
      <c r="AQ29" s="566">
        <f xml:space="preserve"> 5.30238772024099E-07 + ((1 - 0.2)*0 + 0.2*0)</f>
        <v>5.3023877202409899E-7</v>
      </c>
      <c r="AR29" s="566">
        <f xml:space="preserve"> 7.87338139961669E-07 + ((1 - 0.3)*0 + 0.3*0)</f>
        <v>7.8733813996166904E-7</v>
      </c>
      <c r="AS29" s="566">
        <f xml:space="preserve"> 1.03481348620986E-06 + ((1 - 0.4)*0 + 0.4*0)</f>
        <v>1.0348134862098601E-6</v>
      </c>
      <c r="AT29" s="566">
        <f xml:space="preserve"> 1.26945680353889E-06 + ((1 - 0.5)*0 + 0.5*0)</f>
        <v>1.26945680353889E-6</v>
      </c>
      <c r="AU29" s="566">
        <f xml:space="preserve"> 1.48806008471896E-06 + ((1 - 0.6)*0 + 0.6*0)</f>
        <v>1.4880600847189599E-6</v>
      </c>
      <c r="AV29" s="566">
        <f xml:space="preserve"> 1.68741532252028E-06 + ((1 - 0.7)*0 + 0.7*0)</f>
        <v>1.6874153225202801E-6</v>
      </c>
      <c r="AW29" s="566">
        <f xml:space="preserve"> 1.86431450971306E-06 + ((1 - 0.8000001)*0 + 0.8000001*0)</f>
        <v>1.86431450971306E-6</v>
      </c>
      <c r="AX29" s="566">
        <f xml:space="preserve"> 2.01554963906751E-06 + ((1 - 0.9000001)*0 + 0.9000001*0)</f>
        <v>2.01554963906751E-6</v>
      </c>
      <c r="AY29" s="567">
        <f xml:space="preserve"> 2.13791270335383E-06 + ((1 - 1)*0 + 1*0)</f>
        <v>2.1379127033538301E-6</v>
      </c>
      <c r="BA29" s="580">
        <v>26</v>
      </c>
      <c r="BB29" s="565">
        <f>IF(ISNUMBER(System!$C29),PlotData!B29+ $BF$1*AB29,$CB$3)</f>
        <v>17.549999</v>
      </c>
      <c r="BC29" s="566">
        <f>IF(ISNUMBER(System!$C29),PlotData!C29+ $BF$1*AC29,$CB$3)</f>
        <v>17.540596824617861</v>
      </c>
      <c r="BD29" s="566">
        <f>IF(ISNUMBER(System!$C29),PlotData!D29+ $BF$1*AD29,$CB$3)</f>
        <v>17.531194680211048</v>
      </c>
      <c r="BE29" s="566">
        <f>IF(ISNUMBER(System!$C29),PlotData!E29+ $BF$1*AE29,$CB$3)</f>
        <v>17.521792597754892</v>
      </c>
      <c r="BF29" s="566">
        <f>IF(ISNUMBER(System!$C29),PlotData!F29+ $BF$1*AF29,$CB$3)</f>
        <v>17.51239060822472</v>
      </c>
      <c r="BG29" s="566">
        <f>IF(ISNUMBER(System!$C29),PlotData!G29+ $BF$1*AG29,$CB$3)</f>
        <v>17.502988742595861</v>
      </c>
      <c r="BH29" s="566">
        <f>IF(ISNUMBER(System!$C29),PlotData!H29+ $BF$1*AH29,$CB$3)</f>
        <v>17.493587031843642</v>
      </c>
      <c r="BI29" s="566">
        <f>IF(ISNUMBER(System!$C29),PlotData!I29+ $BF$1*AI29,$CB$3)</f>
        <v>17.484185506943394</v>
      </c>
      <c r="BJ29" s="566">
        <f>IF(ISNUMBER(System!$C29),PlotData!J29+ $BF$1*AJ29,$CB$3)</f>
        <v>17.474784198870442</v>
      </c>
      <c r="BK29" s="566">
        <f>IF(ISNUMBER(System!$C29),PlotData!K29+ $BF$1*AK29,$CB$3)</f>
        <v>17.465383138600117</v>
      </c>
      <c r="BL29" s="567">
        <f>IF(ISNUMBER(System!$C29),PlotData!L29+ $BF$1*AL29,$CB$3)</f>
        <v>17.455982357107743</v>
      </c>
      <c r="BM29" s="455"/>
      <c r="BN29" s="580">
        <v>26</v>
      </c>
      <c r="BO29" s="565">
        <f>IF(ISNUMBER(System!$C29),O29+ $BF$1*AO29,$CB$4)</f>
        <v>3.6</v>
      </c>
      <c r="BP29" s="566">
        <f>IF(ISNUMBER(System!$C29),P29+ $BF$1*AP29,$CB$4)</f>
        <v>3.5144829830721034</v>
      </c>
      <c r="BQ29" s="566">
        <f>IF(ISNUMBER(System!$C29),Q29+ $BF$1*AQ29,$CB$4)</f>
        <v>3.4289659627395652</v>
      </c>
      <c r="BR29" s="566">
        <f>IF(ISNUMBER(System!$C29),R29+ $BF$1*AR29,$CB$4)</f>
        <v>3.343448935597745</v>
      </c>
      <c r="BS29" s="566">
        <f>IF(ISNUMBER(System!$C29),S29+ $BF$1*AS29,$CB$4)</f>
        <v>3.2579318982420027</v>
      </c>
      <c r="BT29" s="566">
        <f>IF(ISNUMBER(System!$C29),T29+ $BF$1*AT29,$CB$4)</f>
        <v>3.1724148472676967</v>
      </c>
      <c r="BU29" s="566">
        <f>IF(ISNUMBER(System!$C29),U29+ $BF$1*AU29,$CB$4)</f>
        <v>3.0868977792701862</v>
      </c>
      <c r="BV29" s="566">
        <f>IF(ISNUMBER(System!$C29),V29+ $BF$1*AV29,$CB$4)</f>
        <v>3.0013806908448308</v>
      </c>
      <c r="BW29" s="566">
        <f>IF(ISNUMBER(System!$C29),W29+ $BF$1*AW29,$CB$4)</f>
        <v>2.9158635785869893</v>
      </c>
      <c r="BX29" s="566">
        <f>IF(ISNUMBER(System!$C29),X29+ $BF$1*AX29,$CB$4)</f>
        <v>2.8303464390920205</v>
      </c>
      <c r="BY29" s="567">
        <f>IF(ISNUMBER(System!$C29),Y29+ $BF$1*AY29,$CB$4)</f>
        <v>2.7448292689552845</v>
      </c>
      <c r="BZ29" s="455"/>
    </row>
    <row r="30" spans="1:78" x14ac:dyDescent="0.35">
      <c r="A30" s="564">
        <v>27</v>
      </c>
      <c r="B30" s="581">
        <v>15.600816999999999</v>
      </c>
      <c r="C30" s="582">
        <v>15.735735399999999</v>
      </c>
      <c r="D30" s="582">
        <v>15.870653799999999</v>
      </c>
      <c r="E30" s="582">
        <v>16.0055722</v>
      </c>
      <c r="F30" s="582">
        <v>16.1404906</v>
      </c>
      <c r="G30" s="582">
        <v>16.275409</v>
      </c>
      <c r="H30" s="582">
        <v>16.4103274</v>
      </c>
      <c r="I30" s="582">
        <v>16.5452458</v>
      </c>
      <c r="J30" s="582">
        <v>16.6801642</v>
      </c>
      <c r="K30" s="582">
        <v>16.8150826</v>
      </c>
      <c r="L30" s="583">
        <v>16.950001</v>
      </c>
      <c r="M30" s="455"/>
      <c r="N30" s="564">
        <v>27</v>
      </c>
      <c r="O30" s="581">
        <v>0.89983599999999997</v>
      </c>
      <c r="P30" s="582">
        <v>0.8998524</v>
      </c>
      <c r="Q30" s="582">
        <v>0.89986880000000002</v>
      </c>
      <c r="R30" s="582">
        <v>0.89988520000000005</v>
      </c>
      <c r="S30" s="582">
        <v>0.89990160000000008</v>
      </c>
      <c r="T30" s="582">
        <v>0.89991800000000011</v>
      </c>
      <c r="U30" s="582">
        <v>0.89993440000000013</v>
      </c>
      <c r="V30" s="582">
        <v>0.89995080000000016</v>
      </c>
      <c r="W30" s="582">
        <v>0.89996720000000019</v>
      </c>
      <c r="X30" s="582">
        <v>0.89998360000000022</v>
      </c>
      <c r="Y30" s="583">
        <v>0.90000000000000024</v>
      </c>
      <c r="Z30" s="584"/>
      <c r="AA30" s="568">
        <v>27</v>
      </c>
      <c r="AB30" s="565">
        <f xml:space="preserve"> -0.000115289337545282 + ((1 - 0)*0 + 0*0)</f>
        <v>-1.15289337545282E-4</v>
      </c>
      <c r="AC30" s="566">
        <f xml:space="preserve"> -0.000115289171496551 + ((1 - 0.1)*0 + 0.1*0)</f>
        <v>-1.15289171496551E-4</v>
      </c>
      <c r="AD30" s="566">
        <f xml:space="preserve"> -0.000115288896720755 + ((1 - 0.2)*0 + 0.2*0)</f>
        <v>-1.1528889672075499E-4</v>
      </c>
      <c r="AE30" s="566">
        <f xml:space="preserve"> -0.000115288525239046 + ((1 - 0.3)*0 + 0.3*0)</f>
        <v>-1.1528852523904599E-4</v>
      </c>
      <c r="AF30" s="566">
        <f xml:space="preserve"> -0.000115288069072577 + ((1 - 0.4)*0 + 0.4*0)</f>
        <v>-1.15288069072577E-4</v>
      </c>
      <c r="AG30" s="566">
        <f xml:space="preserve"> -0.000115287540242503 + ((1 - 0.5)*0 + 0.5*0)</f>
        <v>-1.15287540242503E-4</v>
      </c>
      <c r="AH30" s="566">
        <f xml:space="preserve"> -0.000115286950769977 + ((1 - 0.6)*0 + 0.6*0)</f>
        <v>-1.15286950769977E-4</v>
      </c>
      <c r="AI30" s="566">
        <f xml:space="preserve"> -0.000115286312676153 + ((1 - 0.7)*0 + 0.7*0)</f>
        <v>-1.15286312676153E-4</v>
      </c>
      <c r="AJ30" s="566">
        <f xml:space="preserve"> -0.000115285637982183 + ((1 - 0.8000001)*0 + 0.8000001*0)</f>
        <v>-1.15285637982183E-4</v>
      </c>
      <c r="AK30" s="566">
        <f xml:space="preserve"> -0.000115284938709222 + ((1 - 0.9000001)*0 + 0.9000001*0)</f>
        <v>-1.15284938709222E-4</v>
      </c>
      <c r="AL30" s="567">
        <f xml:space="preserve"> -0.000115284226878423 + ((1 - 1)*0 + 1*0)</f>
        <v>-1.1528422687842301E-4</v>
      </c>
      <c r="AN30" s="568">
        <v>27</v>
      </c>
      <c r="AO30" s="565">
        <f xml:space="preserve"> 0.0000418536515163874 + ((1 - 0)*0 + 0*0)</f>
        <v>4.1853651516387397E-5</v>
      </c>
      <c r="AP30" s="566">
        <f xml:space="preserve"> 0.0000404876131738903 + ((1 - 0.1)*0 + 0.1*0)</f>
        <v>4.0487613173890298E-5</v>
      </c>
      <c r="AQ30" s="566">
        <f xml:space="preserve"> 0.0000382271064277264 + ((1 - 0.2)*0 + 0.2*0)</f>
        <v>3.8227106427726399E-5</v>
      </c>
      <c r="AR30" s="566">
        <f xml:space="preserve"> 0.000035171026082955 + ((1 - 0.3)*0 + 0.3*0)</f>
        <v>3.5171026082955002E-5</v>
      </c>
      <c r="AS30" s="566">
        <f xml:space="preserve"> 0.0000314182669446352 + ((1 - 0.4)*0 + 0.4*0)</f>
        <v>3.1418266944635203E-5</v>
      </c>
      <c r="AT30" s="566">
        <f xml:space="preserve"> 0.0000270677238178261 + ((1 - 0.5)*0 + 0.5*0)</f>
        <v>2.7067723817826101E-5</v>
      </c>
      <c r="AU30" s="566">
        <f xml:space="preserve"> 0.0000222182915075869 + ((1 - 0.6)*0 + 0.6*0)</f>
        <v>2.2218291507586902E-5</v>
      </c>
      <c r="AV30" s="566">
        <f xml:space="preserve"> 0.0000169688648189767 + ((1 - 0.7)*0 + 0.7*0)</f>
        <v>1.69688648189767E-5</v>
      </c>
      <c r="AW30" s="566">
        <f xml:space="preserve"> 0.0000114183385570546 + ((1 - 0.8000001)*0 + 0.8000001*0)</f>
        <v>1.14183385570546E-5</v>
      </c>
      <c r="AX30" s="566">
        <f xml:space="preserve"> 5.66560752687987E-06 + ((1 - 0.9000001)*0 + 0.9000001*0)</f>
        <v>5.6656075268798699E-6</v>
      </c>
      <c r="AY30" s="567">
        <f xml:space="preserve"> -1.90433466488429E-07 + ((1 - 1)*0 + 1*0)</f>
        <v>-1.9043346648842899E-7</v>
      </c>
      <c r="BA30" s="580">
        <v>27</v>
      </c>
      <c r="BB30" s="565">
        <f>IF(ISNUMBER(System!$C30),PlotData!B30+ $BF$1*AB30,$CB$3)</f>
        <v>15.600694644044374</v>
      </c>
      <c r="BC30" s="566">
        <f>IF(ISNUMBER(System!$C30),PlotData!C30+ $BF$1*AC30,$CB$3)</f>
        <v>15.735613044220601</v>
      </c>
      <c r="BD30" s="566">
        <f>IF(ISNUMBER(System!$C30),PlotData!D30+ $BF$1*AD30,$CB$3)</f>
        <v>15.870531444512221</v>
      </c>
      <c r="BE30" s="566">
        <f>IF(ISNUMBER(System!$C30),PlotData!E30+ $BF$1*AE30,$CB$3)</f>
        <v>16.005449844906472</v>
      </c>
      <c r="BF30" s="566">
        <f>IF(ISNUMBER(System!$C30),PlotData!F30+ $BF$1*AF30,$CB$3)</f>
        <v>16.140368245390597</v>
      </c>
      <c r="BG30" s="566">
        <f>IF(ISNUMBER(System!$C30),PlotData!G30+ $BF$1*AG30,$CB$3)</f>
        <v>16.275286645951844</v>
      </c>
      <c r="BH30" s="566">
        <f>IF(ISNUMBER(System!$C30),PlotData!H30+ $BF$1*AH30,$CB$3)</f>
        <v>16.410205046577449</v>
      </c>
      <c r="BI30" s="566">
        <f>IF(ISNUMBER(System!$C30),PlotData!I30+ $BF$1*AI30,$CB$3)</f>
        <v>16.545123447254653</v>
      </c>
      <c r="BJ30" s="566">
        <f>IF(ISNUMBER(System!$C30),PlotData!J30+ $BF$1*AJ30,$CB$3)</f>
        <v>16.680041847970703</v>
      </c>
      <c r="BK30" s="566">
        <f>IF(ISNUMBER(System!$C30),PlotData!K30+ $BF$1*AK30,$CB$3)</f>
        <v>16.814960248712836</v>
      </c>
      <c r="BL30" s="567">
        <f>IF(ISNUMBER(System!$C30),PlotData!L30+ $BF$1*AL30,$CB$3)</f>
        <v>16.9498786494683</v>
      </c>
      <c r="BM30" s="455"/>
      <c r="BN30" s="580">
        <v>27</v>
      </c>
      <c r="BO30" s="565">
        <f>IF(ISNUMBER(System!$C30),O30+ $BF$1*AO30,$CB$4)</f>
        <v>0.89988041905588745</v>
      </c>
      <c r="BP30" s="566">
        <f>IF(ISNUMBER(System!$C30),P30+ $BF$1*AP30,$CB$4)</f>
        <v>0.89989536928672087</v>
      </c>
      <c r="BQ30" s="566">
        <f>IF(ISNUMBER(System!$C30),Q30+ $BF$1*AQ30,$CB$4)</f>
        <v>0.89990937022303463</v>
      </c>
      <c r="BR30" s="566">
        <f>IF(ISNUMBER(System!$C30),R30+ $BF$1*AR30,$CB$4)</f>
        <v>0.89992252682135487</v>
      </c>
      <c r="BS30" s="566">
        <f>IF(ISNUMBER(System!$C30),S30+ $BF$1*AS30,$CB$4)</f>
        <v>0.89993494403820795</v>
      </c>
      <c r="BT30" s="566">
        <f>IF(ISNUMBER(System!$C30),T30+ $BF$1*AT30,$CB$4)</f>
        <v>0.89994672683012011</v>
      </c>
      <c r="BU30" s="566">
        <f>IF(ISNUMBER(System!$C30),U30+ $BF$1*AU30,$CB$4)</f>
        <v>0.89995798015361739</v>
      </c>
      <c r="BV30" s="566">
        <f>IF(ISNUMBER(System!$C30),V30+ $BF$1*AV30,$CB$4)</f>
        <v>0.89996880896522624</v>
      </c>
      <c r="BW30" s="566">
        <f>IF(ISNUMBER(System!$C30),W30+ $BF$1*AW30,$CB$4)</f>
        <v>0.8999793182214727</v>
      </c>
      <c r="BX30" s="566">
        <f>IF(ISNUMBER(System!$C30),X30+ $BF$1*AX30,$CB$4)</f>
        <v>0.89998961287888302</v>
      </c>
      <c r="BY30" s="567">
        <f>IF(ISNUMBER(System!$C30),Y30+ $BF$1*AY30,$CB$4)</f>
        <v>0.89999979789398354</v>
      </c>
      <c r="BZ30" s="455"/>
    </row>
    <row r="31" spans="1:78" x14ac:dyDescent="0.35">
      <c r="A31" s="564">
        <v>28</v>
      </c>
      <c r="B31" s="581">
        <v>18.321756000000001</v>
      </c>
      <c r="C31" s="582">
        <v>18.664580400000002</v>
      </c>
      <c r="D31" s="582">
        <v>19.007404800000003</v>
      </c>
      <c r="E31" s="582">
        <v>19.350229200000005</v>
      </c>
      <c r="F31" s="582">
        <v>19.693053600000006</v>
      </c>
      <c r="G31" s="582">
        <v>20.035878000000007</v>
      </c>
      <c r="H31" s="582">
        <v>20.378702400000009</v>
      </c>
      <c r="I31" s="582">
        <v>20.72152680000001</v>
      </c>
      <c r="J31" s="582">
        <v>21.064351200000011</v>
      </c>
      <c r="K31" s="582">
        <v>21.407175600000013</v>
      </c>
      <c r="L31" s="583">
        <v>21.750000000000014</v>
      </c>
      <c r="M31" s="455"/>
      <c r="N31" s="564">
        <v>28</v>
      </c>
      <c r="O31" s="581">
        <v>0.89983599999999997</v>
      </c>
      <c r="P31" s="582">
        <v>0.8998524</v>
      </c>
      <c r="Q31" s="582">
        <v>0.89986880000000002</v>
      </c>
      <c r="R31" s="582">
        <v>0.89988520000000005</v>
      </c>
      <c r="S31" s="582">
        <v>0.89990160000000008</v>
      </c>
      <c r="T31" s="582">
        <v>0.89991800000000011</v>
      </c>
      <c r="U31" s="582">
        <v>0.89993440000000013</v>
      </c>
      <c r="V31" s="582">
        <v>0.89995080000000016</v>
      </c>
      <c r="W31" s="582">
        <v>0.89996720000000019</v>
      </c>
      <c r="X31" s="582">
        <v>0.89998360000000022</v>
      </c>
      <c r="Y31" s="583">
        <v>0.90000000000000024</v>
      </c>
      <c r="Z31" s="584"/>
      <c r="AA31" s="568">
        <v>28</v>
      </c>
      <c r="AB31" s="565">
        <f xml:space="preserve"> -0.000115289325113657 + ((1 - 0)*0 + 0*0)</f>
        <v>-1.15289325113657E-4</v>
      </c>
      <c r="AC31" s="566">
        <f xml:space="preserve"> -0.00011528937594797 + ((1 - 0.1)*0 + 0.1*0)</f>
        <v>-1.1528937594796999E-4</v>
      </c>
      <c r="AD31" s="566">
        <f xml:space="preserve"> -0.000115289704921831 + ((1 - 0.2)*0 + 0.2*0)</f>
        <v>-1.15289704921831E-4</v>
      </c>
      <c r="AE31" s="566">
        <f xml:space="preserve"> -0.000115290281130846 + ((1 - 0.3)*0 + 0.3*0)</f>
        <v>-1.1529028113084599E-4</v>
      </c>
      <c r="AF31" s="566">
        <f xml:space="preserve"> -0.00011529107367062 + ((1 - 0.4)*0 + 0.4*0)</f>
        <v>-1.1529107367062E-4</v>
      </c>
      <c r="AG31" s="566">
        <f xml:space="preserve"> -0.00011529205163676 + ((1 - 0.5)*0 + 0.5*0)</f>
        <v>-1.1529205163676001E-4</v>
      </c>
      <c r="AH31" s="566">
        <f xml:space="preserve"> -0.000115293184124871 + ((1 - 0.6)*0 + 0.6*0)</f>
        <v>-1.15293184124871E-4</v>
      </c>
      <c r="AI31" s="566">
        <f xml:space="preserve"> -0.000115294440230558 + ((1 - 0.7)*0 + 0.7*0)</f>
        <v>-1.1529444023055801E-4</v>
      </c>
      <c r="AJ31" s="566">
        <f xml:space="preserve"> -0.000115295789049429 + ((1 - 0.8000001)*0 + 0.8000001*0)</f>
        <v>-1.15295789049429E-4</v>
      </c>
      <c r="AK31" s="566">
        <f xml:space="preserve"> -0.000115297199677087 + ((1 - 0.9000001)*0 + 0.9000001*0)</f>
        <v>-1.15297199677087E-4</v>
      </c>
      <c r="AL31" s="567">
        <f xml:space="preserve"> -0.00011529864120914 + ((1 - 1)*0 + 1*0)</f>
        <v>-1.1529864120914E-4</v>
      </c>
      <c r="AN31" s="568">
        <v>28</v>
      </c>
      <c r="AO31" s="565">
        <f xml:space="preserve"> -0.0000428339070970273 + ((1 - 0)*0 + 0*0)</f>
        <v>-4.2833907097027301E-5</v>
      </c>
      <c r="AP31" s="566">
        <f xml:space="preserve"> -0.0000417712703449551 + ((1 - 0.1)*0 + 0.1*0)</f>
        <v>-4.1771270344955098E-5</v>
      </c>
      <c r="AQ31" s="566">
        <f xml:space="preserve"> -0.0000348944248331704 + ((1 - 0.2)*0 + 0.2*0)</f>
        <v>-3.4894424833170401E-5</v>
      </c>
      <c r="AR31" s="566">
        <f xml:space="preserve"> -0.0000228493937571969 + ((1 - 0.3)*0 + 0.3*0)</f>
        <v>-2.28493937571969E-5</v>
      </c>
      <c r="AS31" s="566">
        <f xml:space="preserve"> -6.28220031255812E-06 + ((1 - 0.4)*0 + 0.4*0)</f>
        <v>-6.2822003125581202E-6</v>
      </c>
      <c r="AT31" s="566">
        <f xml:space="preserve"> 0.0000141611323052222 + ((1 - 0.5)*0 + 0.5*0)</f>
        <v>1.41611323052222E-5</v>
      </c>
      <c r="AU31" s="566">
        <f xml:space="preserve"> 0.0000378345809006206 + ((1 - 0.6)*0 + 0.6*0)</f>
        <v>3.7834580900620599E-5</v>
      </c>
      <c r="AV31" s="566">
        <f xml:space="preserve"> 0.0000640921222781135 + ((1 - 0.7)*0 + 0.7*0)</f>
        <v>6.4092122278113506E-5</v>
      </c>
      <c r="AW31" s="566">
        <f xml:space="preserve"> 0.0000922877332421771 + ((1 - 0.8000001)*0 + 0.8000001*0)</f>
        <v>9.2287733242177105E-5</v>
      </c>
      <c r="AX31" s="566">
        <f xml:space="preserve"> 0.000121775390597288 + ((1 - 0.9000001)*0 + 0.9000001*0)</f>
        <v>1.21775390597288E-4</v>
      </c>
      <c r="AY31" s="567">
        <f xml:space="preserve"> 0.000151909071147922 + ((1 - 1)*0 + 1*0)</f>
        <v>1.5190907114792201E-4</v>
      </c>
      <c r="BA31" s="580">
        <v>28</v>
      </c>
      <c r="BB31" s="565">
        <f>IF(ISNUMBER(System!$C31),PlotData!B31+ $BF$1*AB31,$CB$3)</f>
        <v>18.32163364405757</v>
      </c>
      <c r="BC31" s="566">
        <f>IF(ISNUMBER(System!$C31),PlotData!C31+ $BF$1*AC31,$CB$3)</f>
        <v>18.66445804400362</v>
      </c>
      <c r="BD31" s="566">
        <f>IF(ISNUMBER(System!$C31),PlotData!D31+ $BF$1*AD31,$CB$3)</f>
        <v>19.007282443654486</v>
      </c>
      <c r="BE31" s="566">
        <f>IF(ISNUMBER(System!$C31),PlotData!E31+ $BF$1*AE31,$CB$3)</f>
        <v>19.350106843042958</v>
      </c>
      <c r="BF31" s="566">
        <f>IF(ISNUMBER(System!$C31),PlotData!F31+ $BF$1*AF31,$CB$3)</f>
        <v>19.692931242201841</v>
      </c>
      <c r="BG31" s="566">
        <f>IF(ISNUMBER(System!$C31),PlotData!G31+ $BF$1*AG31,$CB$3)</f>
        <v>20.035755641163931</v>
      </c>
      <c r="BH31" s="566">
        <f>IF(ISNUMBER(System!$C31),PlotData!H31+ $BF$1*AH31,$CB$3)</f>
        <v>20.378580039962031</v>
      </c>
      <c r="BI31" s="566">
        <f>IF(ISNUMBER(System!$C31),PlotData!I31+ $BF$1*AI31,$CB$3)</f>
        <v>20.721404438628934</v>
      </c>
      <c r="BJ31" s="566">
        <f>IF(ISNUMBER(System!$C31),PlotData!J31+ $BF$1*AJ31,$CB$3)</f>
        <v>21.06422883719744</v>
      </c>
      <c r="BK31" s="566">
        <f>IF(ISNUMBER(System!$C31),PlotData!K31+ $BF$1*AK31,$CB$3)</f>
        <v>21.407053235700349</v>
      </c>
      <c r="BL31" s="567">
        <f>IF(ISNUMBER(System!$C31),PlotData!L31+ $BF$1*AL31,$CB$3)</f>
        <v>21.74987763417046</v>
      </c>
      <c r="BM31" s="455"/>
      <c r="BN31" s="580">
        <v>28</v>
      </c>
      <c r="BO31" s="565">
        <f>IF(ISNUMBER(System!$C31),O31+ $BF$1*AO31,$CB$4)</f>
        <v>0.899790540604122</v>
      </c>
      <c r="BP31" s="566">
        <f>IF(ISNUMBER(System!$C31),P31+ $BF$1*AP31,$CB$4)</f>
        <v>0.89980806837480787</v>
      </c>
      <c r="BQ31" s="566">
        <f>IF(ISNUMBER(System!$C31),Q31+ $BF$1*AQ31,$CB$4)</f>
        <v>0.89983176673406817</v>
      </c>
      <c r="BR31" s="566">
        <f>IF(ISNUMBER(System!$C31),R31+ $BF$1*AR31,$CB$4)</f>
        <v>0.8998609500609499</v>
      </c>
      <c r="BS31" s="566">
        <f>IF(ISNUMBER(System!$C31),S31+ $BF$1*AS31,$CB$4)</f>
        <v>0.89989493273450061</v>
      </c>
      <c r="BT31" s="566">
        <f>IF(ISNUMBER(System!$C31),T31+ $BF$1*AT31,$CB$4)</f>
        <v>0.8999330291337676</v>
      </c>
      <c r="BU31" s="566">
        <f>IF(ISNUMBER(System!$C31),U31+ $BF$1*AU31,$CB$4)</f>
        <v>0.89997455363779799</v>
      </c>
      <c r="BV31" s="566">
        <f>IF(ISNUMBER(System!$C31),V31+ $BF$1*AV31,$CB$4)</f>
        <v>0.90001882062563909</v>
      </c>
      <c r="BW31" s="566">
        <f>IF(ISNUMBER(System!$C31),W31+ $BF$1*AW31,$CB$4)</f>
        <v>0.90006514447633845</v>
      </c>
      <c r="BX31" s="566">
        <f>IF(ISNUMBER(System!$C31),X31+ $BF$1*AX31,$CB$4)</f>
        <v>0.90011283956894306</v>
      </c>
      <c r="BY31" s="567">
        <f>IF(ISNUMBER(System!$C31),Y31+ $BF$1*AY31,$CB$4)</f>
        <v>0.90016122028250045</v>
      </c>
      <c r="BZ31" s="455"/>
    </row>
    <row r="32" spans="1:78" x14ac:dyDescent="0.35">
      <c r="A32" s="564">
        <v>29</v>
      </c>
      <c r="B32" s="581">
        <v>16.435649999999999</v>
      </c>
      <c r="C32" s="582">
        <v>16.487085099999998</v>
      </c>
      <c r="D32" s="582">
        <v>16.538520199999997</v>
      </c>
      <c r="E32" s="582">
        <v>16.589955299999996</v>
      </c>
      <c r="F32" s="582">
        <v>16.641390399999995</v>
      </c>
      <c r="G32" s="582">
        <v>16.692825499999994</v>
      </c>
      <c r="H32" s="582">
        <v>16.744260599999993</v>
      </c>
      <c r="I32" s="582">
        <v>16.795695699999992</v>
      </c>
      <c r="J32" s="582">
        <v>16.847130799999992</v>
      </c>
      <c r="K32" s="582">
        <v>16.898565899999991</v>
      </c>
      <c r="L32" s="583">
        <v>16.95000099999999</v>
      </c>
      <c r="M32" s="455"/>
      <c r="N32" s="564">
        <v>29</v>
      </c>
      <c r="O32" s="581">
        <v>2.7293310000000002</v>
      </c>
      <c r="P32" s="582">
        <v>2.2463979000000003</v>
      </c>
      <c r="Q32" s="582">
        <v>1.7634648000000002</v>
      </c>
      <c r="R32" s="582">
        <v>1.2805317000000001</v>
      </c>
      <c r="S32" s="582">
        <v>0.79759859999999994</v>
      </c>
      <c r="T32" s="582">
        <v>0.31466549999999988</v>
      </c>
      <c r="U32" s="582">
        <v>-0.16826760000000018</v>
      </c>
      <c r="V32" s="582">
        <v>-0.65120070000000019</v>
      </c>
      <c r="W32" s="582">
        <v>-1.1341338000000003</v>
      </c>
      <c r="X32" s="582">
        <v>-1.6170669000000004</v>
      </c>
      <c r="Y32" s="583">
        <v>-2.1000000000000005</v>
      </c>
      <c r="Z32" s="584"/>
      <c r="AA32" s="568">
        <v>29</v>
      </c>
      <c r="AB32" s="565">
        <f xml:space="preserve"> -0.0000193892351476224 + ((1 - 0)*0 + 0*0)</f>
        <v>-1.9389235147622399E-5</v>
      </c>
      <c r="AC32" s="566">
        <f xml:space="preserve"> -0.0000237635093384126 + ((1 - 0.1)*0 + 0.1*0)</f>
        <v>-2.3763509338412598E-5</v>
      </c>
      <c r="AD32" s="566">
        <f xml:space="preserve"> -0.0000261539427554934 + ((1 - 0.2)*0 + 0.2*0)</f>
        <v>-2.6153942755493401E-5</v>
      </c>
      <c r="AE32" s="566">
        <f xml:space="preserve"> -0.0000267804001368077 + ((1 - 0.3)*0 + 0.3*0)</f>
        <v>-2.6780400136807698E-5</v>
      </c>
      <c r="AF32" s="566">
        <f xml:space="preserve"> -0.0000258627462202986 + ((1 - 0.4)*0 + 0.4*0)</f>
        <v>-2.58627462202986E-5</v>
      </c>
      <c r="AG32" s="566">
        <f xml:space="preserve"> -0.0000236208457439091 + ((1 - 0.5)*0 + 0.5*0)</f>
        <v>-2.3620845743909101E-5</v>
      </c>
      <c r="AH32" s="566">
        <f xml:space="preserve"> -0.0000202745634455821 + ((1 - 0.6)*0 + 0.6*0)</f>
        <v>-2.0274563445582101E-5</v>
      </c>
      <c r="AI32" s="566">
        <f xml:space="preserve"> -0.0000160437640632608 + ((1 - 0.7)*0 + 0.7*0)</f>
        <v>-1.60437640632608E-5</v>
      </c>
      <c r="AJ32" s="566">
        <f xml:space="preserve"> -0.0000111483123348881 + ((1 - 0.8000001)*0 + 0.8000001*0)</f>
        <v>-1.11483123348881E-5</v>
      </c>
      <c r="AK32" s="566">
        <f xml:space="preserve"> -5.80807299840694E-06 + ((1 - 0.9000001)*0 + 0.9000001*0)</f>
        <v>-5.8080729984069401E-6</v>
      </c>
      <c r="AL32" s="567">
        <f xml:space="preserve"> -2.4291079176043E-07 + ((1 - 1)*0 + 1*0)</f>
        <v>-2.4291079176042998E-7</v>
      </c>
      <c r="AN32" s="568">
        <v>29</v>
      </c>
      <c r="AO32" s="565">
        <f xml:space="preserve"> -1.90737006879232E-06 + ((1 - 0)*0 + 0*0)</f>
        <v>-1.9073700687923201E-6</v>
      </c>
      <c r="AP32" s="566">
        <f xml:space="preserve"> -2.37325495104847E-06 + ((1 - 0.1)*0 + 0.1*0)</f>
        <v>-2.3732549510484701E-6</v>
      </c>
      <c r="AQ32" s="566">
        <f xml:space="preserve"> -2.62784959749386E-06 + ((1 - 0.2)*0 + 0.2*0)</f>
        <v>-2.6278495974938599E-6</v>
      </c>
      <c r="AR32" s="566">
        <f xml:space="preserve"> -2.69457084326067E-06 + ((1 - 0.3)*0 + 0.3*0)</f>
        <v>-2.69457084326067E-6</v>
      </c>
      <c r="AS32" s="566">
        <f xml:space="preserve"> -2.59683552348107E-06 + ((1 - 0.4)*0 + 0.4*0)</f>
        <v>-2.5968355234810699E-6</v>
      </c>
      <c r="AT32" s="566">
        <f xml:space="preserve"> -2.35806047328725E-06 + ((1 - 0.5)*0 + 0.5*0)</f>
        <v>-2.3580604732872501E-6</v>
      </c>
      <c r="AU32" s="566">
        <f xml:space="preserve"> -2.00166252781138E-06 + ((1 - 0.6)*0 + 0.6*0)</f>
        <v>-2.00166252781138E-6</v>
      </c>
      <c r="AV32" s="566">
        <f xml:space="preserve"> -1.55105852218565E-06 + ((1 - 0.7)*0 + 0.7*0)</f>
        <v>-1.5510585221856501E-6</v>
      </c>
      <c r="AW32" s="566">
        <f xml:space="preserve"> -1.02966529154224E-06 + ((1 - 0.8000001)*0 + 0.8000001*0)</f>
        <v>-1.0296652915422401E-6</v>
      </c>
      <c r="AX32" s="566">
        <f xml:space="preserve"> -4.60899671013313E-07 + ((1 - 0.9000001)*0 + 0.9000001*0)</f>
        <v>-4.60899671013313E-7</v>
      </c>
      <c r="AY32" s="567">
        <f xml:space="preserve"> 1.31821504268935E-07 + ((1 - 1)*0 + 1*0)</f>
        <v>1.31821504268935E-7</v>
      </c>
      <c r="BA32" s="580">
        <v>29</v>
      </c>
      <c r="BB32" s="565">
        <f>IF(ISNUMBER(System!$C32),PlotData!B32+ $BF$1*AB32,$CB$3)</f>
        <v>16.435629422308725</v>
      </c>
      <c r="BC32" s="566">
        <f>IF(ISNUMBER(System!$C32),PlotData!C32+ $BF$1*AC32,$CB$3)</f>
        <v>16.487059879914984</v>
      </c>
      <c r="BD32" s="566">
        <f>IF(ISNUMBER(System!$C32),PlotData!D32+ $BF$1*AD32,$CB$3)</f>
        <v>16.538492442960816</v>
      </c>
      <c r="BE32" s="566">
        <f>IF(ISNUMBER(System!$C32),PlotData!E32+ $BF$1*AE32,$CB$3)</f>
        <v>16.589926878104958</v>
      </c>
      <c r="BF32" s="566">
        <f>IF(ISNUMBER(System!$C32),PlotData!F32+ $BF$1*AF32,$CB$3)</f>
        <v>16.641362952006137</v>
      </c>
      <c r="BG32" s="566">
        <f>IF(ISNUMBER(System!$C32),PlotData!G32+ $BF$1*AG32,$CB$3)</f>
        <v>16.692800431323089</v>
      </c>
      <c r="BH32" s="566">
        <f>IF(ISNUMBER(System!$C32),PlotData!H32+ $BF$1*AH32,$CB$3)</f>
        <v>16.744239082714543</v>
      </c>
      <c r="BI32" s="566">
        <f>IF(ISNUMBER(System!$C32),PlotData!I32+ $BF$1*AI32,$CB$3)</f>
        <v>16.795678672839237</v>
      </c>
      <c r="BJ32" s="566">
        <f>IF(ISNUMBER(System!$C32),PlotData!J32+ $BF$1*AJ32,$CB$3)</f>
        <v>16.8471189683559</v>
      </c>
      <c r="BK32" s="566">
        <f>IF(ISNUMBER(System!$C32),PlotData!K32+ $BF$1*AK32,$CB$3)</f>
        <v>16.898559735923268</v>
      </c>
      <c r="BL32" s="567">
        <f>IF(ISNUMBER(System!$C32),PlotData!L32+ $BF$1*AL32,$CB$3)</f>
        <v>16.950000742200068</v>
      </c>
      <c r="BM32" s="455"/>
      <c r="BN32" s="580">
        <v>29</v>
      </c>
      <c r="BO32" s="565">
        <f>IF(ISNUMBER(System!$C32),O32+ $BF$1*AO32,$CB$4)</f>
        <v>2.7293289757183756</v>
      </c>
      <c r="BP32" s="566">
        <f>IF(ISNUMBER(System!$C32),P32+ $BF$1*AP32,$CB$4)</f>
        <v>2.246395381277249</v>
      </c>
      <c r="BQ32" s="566">
        <f>IF(ISNUMBER(System!$C32),Q32+ $BF$1*AQ32,$CB$4)</f>
        <v>1.7634620110773158</v>
      </c>
      <c r="BR32" s="566">
        <f>IF(ISNUMBER(System!$C32),R32+ $BF$1*AR32,$CB$4)</f>
        <v>1.2805288402664154</v>
      </c>
      <c r="BS32" s="566">
        <f>IF(ISNUMBER(System!$C32),S32+ $BF$1*AS32,$CB$4)</f>
        <v>0.79759584399238603</v>
      </c>
      <c r="BT32" s="566">
        <f>IF(ISNUMBER(System!$C32),T32+ $BF$1*AT32,$CB$4)</f>
        <v>0.31466299740306619</v>
      </c>
      <c r="BU32" s="566">
        <f>IF(ISNUMBER(System!$C32),U32+ $BF$1*AU32,$CB$4)</f>
        <v>-0.16826972435370577</v>
      </c>
      <c r="BV32" s="566">
        <f>IF(ISNUMBER(System!$C32),V32+ $BF$1*AV32,$CB$4)</f>
        <v>-0.6512023461300912</v>
      </c>
      <c r="BW32" s="566">
        <f>IF(ISNUMBER(System!$C32),W32+ $BF$1*AW32,$CB$4)</f>
        <v>-1.134134892778252</v>
      </c>
      <c r="BX32" s="566">
        <f>IF(ISNUMBER(System!$C32),X32+ $BF$1*AX32,$CB$4)</f>
        <v>-1.6170673891503493</v>
      </c>
      <c r="BY32" s="567">
        <f>IF(ISNUMBER(System!$C32),Y32+ $BF$1*AY32,$CB$4)</f>
        <v>-2.0999998600985452</v>
      </c>
      <c r="BZ32" s="455"/>
    </row>
    <row r="33" spans="1:78" x14ac:dyDescent="0.35">
      <c r="A33" s="564">
        <v>30</v>
      </c>
      <c r="B33" s="581">
        <v>17.456002999999999</v>
      </c>
      <c r="C33" s="566">
        <v>17.405402799999997</v>
      </c>
      <c r="D33" s="566">
        <v>17.354802599999999</v>
      </c>
      <c r="E33" s="566">
        <v>17.304202400000001</v>
      </c>
      <c r="F33" s="566">
        <v>17.253602200000003</v>
      </c>
      <c r="G33" s="566">
        <v>17.203002000000005</v>
      </c>
      <c r="H33" s="566">
        <v>17.152401800000007</v>
      </c>
      <c r="I33" s="566">
        <v>17.101801600000009</v>
      </c>
      <c r="J33" s="582">
        <v>17.051201400000011</v>
      </c>
      <c r="K33" s="582">
        <v>17.000601200000013</v>
      </c>
      <c r="L33" s="583">
        <v>16.950001000000015</v>
      </c>
      <c r="M33" s="455"/>
      <c r="N33" s="564">
        <v>30</v>
      </c>
      <c r="O33" s="581">
        <v>2.7448269999999999</v>
      </c>
      <c r="P33" s="582">
        <v>2.2603442999999999</v>
      </c>
      <c r="Q33" s="566">
        <v>1.7758615999999998</v>
      </c>
      <c r="R33" s="566">
        <v>1.2913788999999998</v>
      </c>
      <c r="S33" s="566">
        <v>0.80689619999999973</v>
      </c>
      <c r="T33" s="566">
        <v>0.32241349999999969</v>
      </c>
      <c r="U33" s="566">
        <v>-0.16206920000000036</v>
      </c>
      <c r="V33" s="566">
        <v>-0.6465519000000004</v>
      </c>
      <c r="W33" s="566">
        <v>-1.1310346000000004</v>
      </c>
      <c r="X33" s="582">
        <v>-1.6155173000000005</v>
      </c>
      <c r="Y33" s="583">
        <v>-2.1000000000000005</v>
      </c>
      <c r="Z33" s="584"/>
      <c r="AA33" s="568">
        <v>30</v>
      </c>
      <c r="AB33" s="565">
        <f xml:space="preserve"> -0.0000194506704566222 + ((1 - 0)*0 + 0*0)</f>
        <v>-1.9450670456622199E-5</v>
      </c>
      <c r="AC33" s="566">
        <f xml:space="preserve"> -0.0000238801443348563 + ((1 - 0.1)*0 + 0.1*0)</f>
        <v>-2.3880144334856301E-5</v>
      </c>
      <c r="AD33" s="566">
        <f xml:space="preserve"> -0.0000263021331889705 + ((1 - 0.2)*0 + 0.2*0)</f>
        <v>-2.63021331889705E-5</v>
      </c>
      <c r="AE33" s="566">
        <f xml:space="preserve"> -0.0000269402564159497 + ((1 - 0.3)*0 + 0.3*0)</f>
        <v>-2.6940256415949701E-5</v>
      </c>
      <c r="AF33" s="566">
        <f xml:space="preserve"> -0.0000260181334127789 + ((1 - 0.4)*0 + 0.4*0)</f>
        <v>-2.6018133412778899E-5</v>
      </c>
      <c r="AG33" s="566">
        <f xml:space="preserve"> -0.0000237593835764431 + ((1 - 0.5)*0 + 0.5*0)</f>
        <v>-2.37593835764431E-5</v>
      </c>
      <c r="AH33" s="566">
        <f xml:space="preserve"> -0.0000203876263039271 + ((1 - 0.6)*0 + 0.6*0)</f>
        <v>-2.0387626303927099E-5</v>
      </c>
      <c r="AI33" s="566">
        <f xml:space="preserve"> -0.0000161264809922159 + ((1 - 0.7)*0 + 0.7*0)</f>
        <v>-1.61264809922159E-5</v>
      </c>
      <c r="AJ33" s="566">
        <f xml:space="preserve"> -0.0000111995670382945 + ((1 - 0.8000001)*0 + 0.8000001*0)</f>
        <v>-1.11995670382945E-5</v>
      </c>
      <c r="AK33" s="566">
        <f xml:space="preserve"> -5.83050383914765E-06 + ((1 - 0.9000001)*0 + 0.9000001*0)</f>
        <v>-5.8305038391476501E-6</v>
      </c>
      <c r="AL33" s="567">
        <f xml:space="preserve"> -2.42910791760431E-07 + ((1 - 1)*0 + 1*0)</f>
        <v>-2.4291079176043098E-7</v>
      </c>
      <c r="AN33" s="568">
        <v>30</v>
      </c>
      <c r="AO33" s="565">
        <f xml:space="preserve"> 2.13791270335383E-06 + ((1 - 0)*0 + 0*0)</f>
        <v>2.1379127033538301E-6</v>
      </c>
      <c r="AP33" s="566">
        <f xml:space="preserve"> 2.60053451448336E-06 + ((1 - 0.1)*0 + 0.1*0)</f>
        <v>2.6005345144833602E-6</v>
      </c>
      <c r="AQ33" s="566">
        <f xml:space="preserve"> 2.85349116374545E-06 + ((1 - 0.2)*0 + 0.2*0)</f>
        <v>2.8534911637454501E-6</v>
      </c>
      <c r="AR33" s="566">
        <f xml:space="preserve"> 2.92013784258724E-06 + ((1 - 0.3)*0 + 0.3*0)</f>
        <v>2.92013784258724E-6</v>
      </c>
      <c r="AS33" s="566">
        <f xml:space="preserve"> 2.82382974245582E-06 + ((1 - 0.4)*0 + 0.4*0)</f>
        <v>2.8238297424558198E-6</v>
      </c>
      <c r="AT33" s="566">
        <f xml:space="preserve"> 2.58792205479834E-06 + ((1 - 0.5)*0 + 0.5*0)</f>
        <v>2.58792205479834E-6</v>
      </c>
      <c r="AU33" s="566">
        <f xml:space="preserve"> 0.0000022357699710619 + ((1 - 0.6)*0 + 0.6*0)</f>
        <v>2.2357699710619002E-6</v>
      </c>
      <c r="AV33" s="566">
        <f xml:space="preserve"> 1.79072868269362E-06 + ((1 - 0.7)*0 + 0.7*0)</f>
        <v>1.79072868269362E-6</v>
      </c>
      <c r="AW33" s="566">
        <f xml:space="preserve"> 1.27615338114062E-06 + ((1 - 0.8000001)*0 + 0.8000001*0)</f>
        <v>1.2761533811406199E-6</v>
      </c>
      <c r="AX33" s="566">
        <f xml:space="preserve"> 7.15399257850018E-07 + ((1 - 0.9000001)*0 + 0.9000001*0)</f>
        <v>7.1539925785001802E-7</v>
      </c>
      <c r="AY33" s="567">
        <f xml:space="preserve"> 1.31821504268936E-07 + ((1 - 1)*0 + 1*0)</f>
        <v>1.3182150426893601E-7</v>
      </c>
      <c r="BA33" s="580">
        <v>30</v>
      </c>
      <c r="BB33" s="565">
        <f>IF(ISNUMBER(System!$C33),PlotData!B33+ $BF$1*AB33,$CB$3)</f>
        <v>17.455982357107761</v>
      </c>
      <c r="BC33" s="566">
        <f>IF(ISNUMBER(System!$C33),PlotData!C33+ $BF$1*AC33,$CB$3)</f>
        <v>17.405377456130886</v>
      </c>
      <c r="BD33" s="566">
        <f>IF(ISNUMBER(System!$C33),PlotData!D33+ $BF$1*AD33,$CB$3)</f>
        <v>17.354774685687108</v>
      </c>
      <c r="BE33" s="566">
        <f>IF(ISNUMBER(System!$C33),PlotData!E33+ $BF$1*AE33,$CB$3)</f>
        <v>17.304173808450351</v>
      </c>
      <c r="BF33" s="566">
        <f>IF(ISNUMBER(System!$C33),PlotData!F33+ $BF$1*AF33,$CB$3)</f>
        <v>17.253574587094551</v>
      </c>
      <c r="BG33" s="566">
        <f>IF(ISNUMBER(System!$C33),PlotData!G33+ $BF$1*AG33,$CB$3)</f>
        <v>17.202976784293639</v>
      </c>
      <c r="BH33" s="566">
        <f>IF(ISNUMBER(System!$C33),PlotData!H33+ $BF$1*AH33,$CB$3)</f>
        <v>17.152380162721553</v>
      </c>
      <c r="BI33" s="566">
        <f>IF(ISNUMBER(System!$C33),PlotData!I33+ $BF$1*AI33,$CB$3)</f>
        <v>17.101784485052221</v>
      </c>
      <c r="BJ33" s="566">
        <f>IF(ISNUMBER(System!$C33),PlotData!J33+ $BF$1*AJ33,$CB$3)</f>
        <v>17.051189513959578</v>
      </c>
      <c r="BK33" s="566">
        <f>IF(ISNUMBER(System!$C33),PlotData!K33+ $BF$1*AK33,$CB$3)</f>
        <v>17.000595012117557</v>
      </c>
      <c r="BL33" s="567">
        <f>IF(ISNUMBER(System!$C33),PlotData!L33+ $BF$1*AL33,$CB$3)</f>
        <v>16.950000742200093</v>
      </c>
      <c r="BM33" s="455"/>
      <c r="BN33" s="580">
        <v>30</v>
      </c>
      <c r="BO33" s="565">
        <f>IF(ISNUMBER(System!$C33),O33+ $BF$1*AO33,$CB$4)</f>
        <v>2.7448292689552862</v>
      </c>
      <c r="BP33" s="566">
        <f>IF(ISNUMBER(System!$C33),P33+ $BF$1*AP33,$CB$4)</f>
        <v>2.2603470599333328</v>
      </c>
      <c r="BQ33" s="566">
        <f>IF(ISNUMBER(System!$C33),Q33+ $BF$1*AQ33,$CB$4)</f>
        <v>1.7758646283948682</v>
      </c>
      <c r="BR33" s="566">
        <f>IF(ISNUMBER(System!$C33),R33+ $BF$1*AR33,$CB$4)</f>
        <v>1.2913819991266311</v>
      </c>
      <c r="BS33" s="566">
        <f>IF(ISNUMBER(System!$C33),S33+ $BF$1*AS33,$CB$4)</f>
        <v>0.80689919691536083</v>
      </c>
      <c r="BT33" s="566">
        <f>IF(ISNUMBER(System!$C33),T33+ $BF$1*AT33,$CB$4)</f>
        <v>0.32241624654779705</v>
      </c>
      <c r="BU33" s="566">
        <f>IF(ISNUMBER(System!$C33),U33+ $BF$1*AU33,$CB$4)</f>
        <v>-0.16206682718932081</v>
      </c>
      <c r="BV33" s="566">
        <f>IF(ISNUMBER(System!$C33),V33+ $BF$1*AV33,$CB$4)</f>
        <v>-0.6465499995092534</v>
      </c>
      <c r="BW33" s="566">
        <f>IF(ISNUMBER(System!$C33),W33+ $BF$1*AW33,$CB$4)</f>
        <v>-1.1310332456252612</v>
      </c>
      <c r="BX33" s="566">
        <f>IF(ISNUMBER(System!$C33),X33+ $BF$1*AX33,$CB$4)</f>
        <v>-1.6155165407506049</v>
      </c>
      <c r="BY33" s="567">
        <f>IF(ISNUMBER(System!$C33),Y33+ $BF$1*AY33,$CB$4)</f>
        <v>-2.0999998600985452</v>
      </c>
      <c r="BZ33" s="455"/>
    </row>
    <row r="34" spans="1:78" x14ac:dyDescent="0.35">
      <c r="A34" s="564">
        <v>31</v>
      </c>
      <c r="B34" s="581">
        <v>16.435649999999999</v>
      </c>
      <c r="C34" s="566">
        <v>16.352166699999998</v>
      </c>
      <c r="D34" s="566">
        <v>16.268683399999997</v>
      </c>
      <c r="E34" s="566">
        <v>16.185200099999996</v>
      </c>
      <c r="F34" s="566">
        <v>16.101716799999995</v>
      </c>
      <c r="G34" s="566">
        <v>16.018233499999994</v>
      </c>
      <c r="H34" s="566">
        <v>15.934750199999995</v>
      </c>
      <c r="I34" s="566">
        <v>15.851266899999995</v>
      </c>
      <c r="J34" s="582">
        <v>15.767783599999996</v>
      </c>
      <c r="K34" s="582">
        <v>15.684300299999997</v>
      </c>
      <c r="L34" s="583">
        <v>15.600816999999997</v>
      </c>
      <c r="M34" s="455"/>
      <c r="N34" s="564">
        <v>31</v>
      </c>
      <c r="O34" s="581">
        <v>2.7293310000000002</v>
      </c>
      <c r="P34" s="582">
        <v>2.5463815000000003</v>
      </c>
      <c r="Q34" s="566">
        <v>2.3634320000000004</v>
      </c>
      <c r="R34" s="566">
        <v>2.1804825000000005</v>
      </c>
      <c r="S34" s="566">
        <v>1.9975330000000004</v>
      </c>
      <c r="T34" s="566">
        <v>1.8145835000000003</v>
      </c>
      <c r="U34" s="566">
        <v>1.6316340000000003</v>
      </c>
      <c r="V34" s="566">
        <v>1.4486845000000002</v>
      </c>
      <c r="W34" s="566">
        <v>1.2657350000000001</v>
      </c>
      <c r="X34" s="582">
        <v>1.0827855</v>
      </c>
      <c r="Y34" s="583">
        <v>0.89983599999999986</v>
      </c>
      <c r="Z34" s="584"/>
      <c r="AA34" s="568">
        <v>31</v>
      </c>
      <c r="AB34" s="565">
        <f xml:space="preserve"> -0.0000193892351476224 + ((1 - 0)*0 + 0*0)</f>
        <v>-1.9389235147622399E-5</v>
      </c>
      <c r="AC34" s="566">
        <f xml:space="preserve"> -0.0000237435554078304 + ((1 - 0.1)*0 + 0.1*0)</f>
        <v>-2.37435554078304E-5</v>
      </c>
      <c r="AD34" s="566">
        <f xml:space="preserve"> -0.0000320004634057867 + ((1 - 0.2)*0 + 0.2*0)</f>
        <v>-3.2000463405786697E-5</v>
      </c>
      <c r="AE34" s="566">
        <f xml:space="preserve"> -0.0000431327962381321 + ((1 - 0.3)*0 + 0.3*0)</f>
        <v>-4.3132796238132102E-5</v>
      </c>
      <c r="AF34" s="566">
        <f xml:space="preserve"> -0.0000561133910015076 + ((1 - 0.4)*0 + 0.4*0)</f>
        <v>-5.6113391001507603E-5</v>
      </c>
      <c r="AG34" s="566">
        <f xml:space="preserve"> -0.000069915084792554 + ((1 - 0.5)*0 + 0.5*0)</f>
        <v>-6.9915084792553998E-5</v>
      </c>
      <c r="AH34" s="566">
        <f xml:space="preserve"> -0.0000835107147079122 + ((1 - 0.6)*0 + 0.6*0)</f>
        <v>-8.3510714707912202E-5</v>
      </c>
      <c r="AI34" s="566">
        <f xml:space="preserve"> -0.0000958731178442232 + ((1 - 0.7)*0 + 0.7*0)</f>
        <v>-9.5873117844223199E-5</v>
      </c>
      <c r="AJ34" s="566">
        <f xml:space="preserve"> -0.000105975131298128 + ((1 - 0.8000001)*0 + 0.8000001*0)</f>
        <v>-1.05975131298128E-4</v>
      </c>
      <c r="AK34" s="566">
        <f xml:space="preserve"> -0.000112789592166267 + ((1 - 0.9000001)*0 + 0.9000001*0)</f>
        <v>-1.12789592166267E-4</v>
      </c>
      <c r="AL34" s="567">
        <f xml:space="preserve"> -0.000115289337545282 + ((1 - 1)*0 + 1*0)</f>
        <v>-1.15289337545282E-4</v>
      </c>
      <c r="AN34" s="568">
        <v>31</v>
      </c>
      <c r="AO34" s="565">
        <f xml:space="preserve"> -1.90737006879232E-06 + ((1 - 0)*0 + 0*0)</f>
        <v>-1.9073700687923201E-6</v>
      </c>
      <c r="AP34" s="566">
        <f xml:space="preserve"> 7.95882152115167E-08 + ((1 - 0.1)*0 + 0.1*0)</f>
        <v>7.9588215211516697E-8</v>
      </c>
      <c r="AQ34" s="566">
        <f xml:space="preserve"> 3.84737073151311E-06 + ((1 - 0.2)*0 + 0.2*0)</f>
        <v>3.8473707315131101E-6</v>
      </c>
      <c r="AR34" s="566">
        <f xml:space="preserve"> 8.92726371587696E-06 + ((1 - 0.3)*0 + 0.3*0)</f>
        <v>8.9272637158769601E-6</v>
      </c>
      <c r="AS34" s="566">
        <f xml:space="preserve"> 0.0000148505534040676 + ((1 - 0.4)*0 + 0.4*0)</f>
        <v>1.4850553404067601E-5</v>
      </c>
      <c r="AT34" s="566">
        <f xml:space="preserve"> 0.0000211485260318496 + ((1 - 0.5)*0 + 0.5*0)</f>
        <v>2.1148526031849601E-5</v>
      </c>
      <c r="AU34" s="566">
        <f xml:space="preserve"> 0.0000273524678349874 + ((1 - 0.6)*0 + 0.6*0)</f>
        <v>2.7352467834987399E-5</v>
      </c>
      <c r="AV34" s="566">
        <f xml:space="preserve"> 0.0000329936650492455 + ((1 - 0.7)*0 + 0.7*0)</f>
        <v>3.2993665049245499E-5</v>
      </c>
      <c r="AW34" s="566">
        <f xml:space="preserve"> 0.0000376034039103886 + ((1 - 0.8000001)*0 + 0.8000001*0)</f>
        <v>3.7603403910388601E-5</v>
      </c>
      <c r="AX34" s="566">
        <f xml:space="preserve"> 0.000040712970654181 + ((1 - 0.9000001)*0 + 0.9000001*0)</f>
        <v>4.0712970654181E-5</v>
      </c>
      <c r="AY34" s="567">
        <f xml:space="preserve"> 0.0000418536515163874 + ((1 - 1)*0 + 1*0)</f>
        <v>4.1853651516387397E-5</v>
      </c>
      <c r="BA34" s="580">
        <v>31</v>
      </c>
      <c r="BB34" s="565">
        <f>IF(ISNUMBER(System!$C34),PlotData!B34+ $BF$1*AB34,$CB$3)</f>
        <v>16.435629422308725</v>
      </c>
      <c r="BC34" s="566">
        <f>IF(ISNUMBER(System!$C34),PlotData!C34+ $BF$1*AC34,$CB$3)</f>
        <v>16.352141501091985</v>
      </c>
      <c r="BD34" s="566">
        <f>IF(ISNUMBER(System!$C34),PlotData!D34+ $BF$1*AD34,$CB$3)</f>
        <v>16.268649438079809</v>
      </c>
      <c r="BE34" s="566">
        <f>IF(ISNUMBER(System!$C34),PlotData!E34+ $BF$1*AE34,$CB$3)</f>
        <v>16.185154323394677</v>
      </c>
      <c r="BF34" s="566">
        <f>IF(ISNUMBER(System!$C34),PlotData!F34+ $BF$1*AF34,$CB$3)</f>
        <v>16.101657247159068</v>
      </c>
      <c r="BG34" s="566">
        <f>IF(ISNUMBER(System!$C34),PlotData!G34+ $BF$1*AG34,$CB$3)</f>
        <v>16.018159299495469</v>
      </c>
      <c r="BH34" s="566">
        <f>IF(ISNUMBER(System!$C34),PlotData!H34+ $BF$1*AH34,$CB$3)</f>
        <v>15.934661570526355</v>
      </c>
      <c r="BI34" s="566">
        <f>IF(ISNUMBER(System!$C34),PlotData!I34+ $BF$1*AI34,$CB$3)</f>
        <v>15.851165150374207</v>
      </c>
      <c r="BJ34" s="566">
        <f>IF(ISNUMBER(System!$C34),PlotData!J34+ $BF$1*AJ34,$CB$3)</f>
        <v>15.767671129161508</v>
      </c>
      <c r="BK34" s="566">
        <f>IF(ISNUMBER(System!$C34),PlotData!K34+ $BF$1*AK34,$CB$3)</f>
        <v>15.684180597010737</v>
      </c>
      <c r="BL34" s="567">
        <f>IF(ISNUMBER(System!$C34),PlotData!L34+ $BF$1*AL34,$CB$3)</f>
        <v>15.600694644044372</v>
      </c>
      <c r="BM34" s="455"/>
      <c r="BN34" s="580">
        <v>31</v>
      </c>
      <c r="BO34" s="565">
        <f>IF(ISNUMBER(System!$C34),O34+ $BF$1*AO34,$CB$4)</f>
        <v>2.7293289757183756</v>
      </c>
      <c r="BP34" s="566">
        <f>IF(ISNUMBER(System!$C34),P34+ $BF$1*AP34,$CB$4)</f>
        <v>2.5463815844665461</v>
      </c>
      <c r="BQ34" s="566">
        <f>IF(ISNUMBER(System!$C34),Q34+ $BF$1*AQ34,$CB$4)</f>
        <v>2.3634360831939238</v>
      </c>
      <c r="BR34" s="566">
        <f>IF(ISNUMBER(System!$C34),R34+ $BF$1*AR34,$CB$4)</f>
        <v>2.1804919744571039</v>
      </c>
      <c r="BS34" s="566">
        <f>IF(ISNUMBER(System!$C34),S34+ $BF$1*AS34,$CB$4)</f>
        <v>1.9975487608126827</v>
      </c>
      <c r="BT34" s="566">
        <f>IF(ISNUMBER(System!$C34),T34+ $BF$1*AT34,$CB$4)</f>
        <v>1.8146059448172556</v>
      </c>
      <c r="BU34" s="566">
        <f>IF(ISNUMBER(System!$C34),U34+ $BF$1*AU34,$CB$4)</f>
        <v>1.6316630290274186</v>
      </c>
      <c r="BV34" s="566">
        <f>IF(ISNUMBER(System!$C34),V34+ $BF$1*AV34,$CB$4)</f>
        <v>1.4487195159997674</v>
      </c>
      <c r="BW34" s="566">
        <f>IF(ISNUMBER(System!$C34),W34+ $BF$1*AW34,$CB$4)</f>
        <v>1.265774908290898</v>
      </c>
      <c r="BX34" s="566">
        <f>IF(ISNUMBER(System!$C34),X34+ $BF$1*AX34,$CB$4)</f>
        <v>1.082828708457406</v>
      </c>
      <c r="BY34" s="567">
        <f>IF(ISNUMBER(System!$C34),Y34+ $BF$1*AY34,$CB$4)</f>
        <v>0.89988041905588734</v>
      </c>
      <c r="BZ34" s="455"/>
    </row>
    <row r="35" spans="1:78" x14ac:dyDescent="0.35">
      <c r="A35" s="564">
        <v>32</v>
      </c>
      <c r="B35" s="581">
        <v>17.456002999999999</v>
      </c>
      <c r="C35" s="566">
        <v>17.542578299999999</v>
      </c>
      <c r="D35" s="566">
        <v>17.629153599999999</v>
      </c>
      <c r="E35" s="566">
        <v>17.715728899999998</v>
      </c>
      <c r="F35" s="566">
        <v>17.802304199999998</v>
      </c>
      <c r="G35" s="566">
        <v>17.888879499999998</v>
      </c>
      <c r="H35" s="566">
        <v>17.975454799999998</v>
      </c>
      <c r="I35" s="566">
        <v>18.062030099999998</v>
      </c>
      <c r="J35" s="582">
        <v>18.148605399999997</v>
      </c>
      <c r="K35" s="582">
        <v>18.235180699999997</v>
      </c>
      <c r="L35" s="583">
        <v>18.321755999999997</v>
      </c>
      <c r="M35" s="455"/>
      <c r="N35" s="564">
        <v>32</v>
      </c>
      <c r="O35" s="581">
        <v>2.7448269999999999</v>
      </c>
      <c r="P35" s="582">
        <v>2.5603278999999999</v>
      </c>
      <c r="Q35" s="566">
        <v>2.3758287999999999</v>
      </c>
      <c r="R35" s="566">
        <v>2.1913296999999998</v>
      </c>
      <c r="S35" s="566">
        <v>2.0068305999999998</v>
      </c>
      <c r="T35" s="566">
        <v>1.8223314999999998</v>
      </c>
      <c r="U35" s="566">
        <v>1.6378323999999997</v>
      </c>
      <c r="V35" s="566">
        <v>1.4533332999999997</v>
      </c>
      <c r="W35" s="566">
        <v>1.2688341999999997</v>
      </c>
      <c r="X35" s="582">
        <v>1.0843350999999997</v>
      </c>
      <c r="Y35" s="583">
        <v>0.89983599999999964</v>
      </c>
      <c r="Z35" s="584"/>
      <c r="AA35" s="568">
        <v>32</v>
      </c>
      <c r="AB35" s="565">
        <f xml:space="preserve"> -0.0000194506704566222 + ((1 - 0)*0 + 0*0)</f>
        <v>-1.9450670456622199E-5</v>
      </c>
      <c r="AC35" s="566">
        <f xml:space="preserve"> -0.0000238330836436914 + ((1 - 0.1)*0 + 0.1*0)</f>
        <v>-2.38330836436914E-5</v>
      </c>
      <c r="AD35" s="566">
        <f xml:space="preserve"> -0.0000321026207835964 + ((1 - 0.2)*0 + 0.2*0)</f>
        <v>-3.2102620783596401E-5</v>
      </c>
      <c r="AE35" s="566">
        <f xml:space="preserve"> -0.0000432350647505768 + ((1 - 0.3)*0 + 0.3*0)</f>
        <v>-4.3235064750576803E-5</v>
      </c>
      <c r="AF35" s="566">
        <f xml:space="preserve"> -0.0000562061984188718 + ((1 - 0.4)*0 + 0.4*0)</f>
        <v>-5.6206198418871797E-5</v>
      </c>
      <c r="AG35" s="566">
        <f xml:space="preserve"> -0.000069991804662721 + ((1 - 0.5)*0 + 0.5*0)</f>
        <v>-6.9991804662721004E-5</v>
      </c>
      <c r="AH35" s="566">
        <f xml:space="preserve"> -0.0000835676663563637 + ((1 - 0.6)*0 + 0.6*0)</f>
        <v>-8.3567666356363705E-5</v>
      </c>
      <c r="AI35" s="566">
        <f xml:space="preserve"> -0.0000959095663740393 + ((1 - 0.7)*0 + 0.7*0)</f>
        <v>-9.5909566374039295E-5</v>
      </c>
      <c r="AJ35" s="566">
        <f xml:space="preserve"> -0.000105993287589987 + ((1 - 0.8000001)*0 + 0.8000001*0)</f>
        <v>-1.0599328758998699E-4</v>
      </c>
      <c r="AK35" s="566">
        <f xml:space="preserve"> -0.000112794612878447 + ((1 - 0.9000001)*0 + 0.9000001*0)</f>
        <v>-1.12794612878447E-4</v>
      </c>
      <c r="AL35" s="567">
        <f xml:space="preserve"> -0.000115289325113657 + ((1 - 1)*0 + 1*0)</f>
        <v>-1.15289325113657E-4</v>
      </c>
      <c r="AN35" s="568">
        <v>32</v>
      </c>
      <c r="AO35" s="565">
        <f xml:space="preserve"> 2.13791270335383E-06 + ((1 - 0)*0 + 0*0)</f>
        <v>2.1379127033538301E-6</v>
      </c>
      <c r="AP35" s="566">
        <f xml:space="preserve"> 8.148675658881E-08 + ((1 - 0.1)*0 + 0.1*0)</f>
        <v>8.1486756588809999E-8</v>
      </c>
      <c r="AQ35" s="566">
        <f xml:space="preserve"> -3.79895308701341E-06 + ((1 - 0.2)*0 + 0.2*0)</f>
        <v>-3.7989530870134099E-6</v>
      </c>
      <c r="AR35" s="566">
        <f xml:space="preserve"> -9.02279795224497E-06 + ((1 - 0.3)*0 + 0.3*0)</f>
        <v>-9.0227979522449708E-6</v>
      </c>
      <c r="AS35" s="566">
        <f xml:space="preserve"> -0.000015109438963898 + ((1 - 0.4)*0 + 0.4*0)</f>
        <v>-1.5109438963898E-5</v>
      </c>
      <c r="AT35" s="566">
        <f xml:space="preserve"> -0.0000215782672467647 + ((1 - 0.5)*0 + 0.5*0)</f>
        <v>-2.1578267246764699E-5</v>
      </c>
      <c r="AU35" s="566">
        <f xml:space="preserve"> -0.0000279486739256371 + ((1 - 0.6)*0 + 0.6*0)</f>
        <v>-2.7948673925637102E-5</v>
      </c>
      <c r="AV35" s="566">
        <f xml:space="preserve"> -0.0000337400501253074 + ((1 - 0.7)*0 + 0.7*0)</f>
        <v>-3.37400501253074E-5</v>
      </c>
      <c r="AW35" s="566">
        <f xml:space="preserve"> -0.0000384717869705678 + ((1 - 0.8000001)*0 + 0.8000001*0)</f>
        <v>-3.8471786970567798E-5</v>
      </c>
      <c r="AX35" s="566">
        <f xml:space="preserve"> -0.0000416632755862104 + ((1 - 0.9000001)*0 + 0.9000001*0)</f>
        <v>-4.1663275586210398E-5</v>
      </c>
      <c r="AY35" s="567">
        <f xml:space="preserve"> -0.0000428339070970273 + ((1 - 1)*0 + 1*0)</f>
        <v>-4.2833907097027301E-5</v>
      </c>
      <c r="BA35" s="580">
        <v>32</v>
      </c>
      <c r="BB35" s="565">
        <f>IF(ISNUMBER(System!$C35),PlotData!B35+ $BF$1*AB35,$CB$3)</f>
        <v>17.455982357107761</v>
      </c>
      <c r="BC35" s="566">
        <f>IF(ISNUMBER(System!$C35),PlotData!C35+ $BF$1*AC35,$CB$3)</f>
        <v>17.542553006076147</v>
      </c>
      <c r="BD35" s="566">
        <f>IF(ISNUMBER(System!$C35),PlotData!D35+ $BF$1*AD35,$CB$3)</f>
        <v>17.629119529660731</v>
      </c>
      <c r="BE35" s="566">
        <f>IF(ISNUMBER(System!$C35),PlotData!E35+ $BF$1*AE35,$CB$3)</f>
        <v>17.715683014857653</v>
      </c>
      <c r="BF35" s="566">
        <f>IF(ISNUMBER(System!$C35),PlotData!F35+ $BF$1*AF35,$CB$3)</f>
        <v>17.802244548663058</v>
      </c>
      <c r="BG35" s="566">
        <f>IF(ISNUMBER(System!$C35),PlotData!G35+ $BF$1*AG35,$CB$3)</f>
        <v>17.888805218073085</v>
      </c>
      <c r="BH35" s="566">
        <f>IF(ISNUMBER(System!$C35),PlotData!H35+ $BF$1*AH35,$CB$3)</f>
        <v>17.975366110083879</v>
      </c>
      <c r="BI35" s="566">
        <f>IF(ISNUMBER(System!$C35),PlotData!I35+ $BF$1*AI35,$CB$3)</f>
        <v>18.061928311691581</v>
      </c>
      <c r="BJ35" s="566">
        <f>IF(ISNUMBER(System!$C35),PlotData!J35+ $BF$1*AJ35,$CB$3)</f>
        <v>18.148492909892333</v>
      </c>
      <c r="BK35" s="566">
        <f>IF(ISNUMBER(System!$C35),PlotData!K35+ $BF$1*AK35,$CB$3)</f>
        <v>18.235060991682282</v>
      </c>
      <c r="BL35" s="567">
        <f>IF(ISNUMBER(System!$C35),PlotData!L35+ $BF$1*AL35,$CB$3)</f>
        <v>18.321633644057567</v>
      </c>
      <c r="BM35" s="455"/>
      <c r="BN35" s="580">
        <v>32</v>
      </c>
      <c r="BO35" s="565">
        <f>IF(ISNUMBER(System!$C35),O35+ $BF$1*AO35,$CB$4)</f>
        <v>2.7448292689552862</v>
      </c>
      <c r="BP35" s="566">
        <f>IF(ISNUMBER(System!$C35),P35+ $BF$1*AP35,$CB$4)</f>
        <v>2.5603279864814574</v>
      </c>
      <c r="BQ35" s="566">
        <f>IF(ISNUMBER(System!$C35),Q35+ $BF$1*AQ35,$CB$4)</f>
        <v>2.375824768191463</v>
      </c>
      <c r="BR35" s="566">
        <f>IF(ISNUMBER(System!$C35),R35+ $BF$1*AR35,$CB$4)</f>
        <v>2.1913201241529237</v>
      </c>
      <c r="BS35" s="566">
        <f>IF(ISNUMBER(System!$C35),S35+ $BF$1*AS35,$CB$4)</f>
        <v>2.0068145644334612</v>
      </c>
      <c r="BT35" s="566">
        <f>IF(ISNUMBER(System!$C35),T35+ $BF$1*AT35,$CB$4)</f>
        <v>1.822308599100698</v>
      </c>
      <c r="BU35" s="566">
        <f>IF(ISNUMBER(System!$C35),U35+ $BF$1*AU35,$CB$4)</f>
        <v>1.6378027382222551</v>
      </c>
      <c r="BV35" s="566">
        <f>IF(ISNUMBER(System!$C35),V35+ $BF$1*AV35,$CB$4)</f>
        <v>1.4532974918657542</v>
      </c>
      <c r="BW35" s="566">
        <f>IF(ISNUMBER(System!$C35),W35+ $BF$1*AW35,$CB$4)</f>
        <v>1.2687933700988172</v>
      </c>
      <c r="BX35" s="566">
        <f>IF(ISNUMBER(System!$C35),X35+ $BF$1*AX35,$CB$4)</f>
        <v>1.0842908829890658</v>
      </c>
      <c r="BY35" s="567">
        <f>IF(ISNUMBER(System!$C35),Y35+ $BF$1*AY35,$CB$4)</f>
        <v>0.89979054060412167</v>
      </c>
      <c r="BZ35" s="455"/>
    </row>
    <row r="36" spans="1:78" x14ac:dyDescent="0.35">
      <c r="A36" s="564">
        <v>33</v>
      </c>
      <c r="B36" s="581">
        <v>16.435649999999999</v>
      </c>
      <c r="C36" s="566">
        <v>16.5376853</v>
      </c>
      <c r="D36" s="566">
        <v>16.6397206</v>
      </c>
      <c r="E36" s="566">
        <v>16.741755900000001</v>
      </c>
      <c r="F36" s="566">
        <v>16.843791200000002</v>
      </c>
      <c r="G36" s="566">
        <v>16.945826500000003</v>
      </c>
      <c r="H36" s="566">
        <v>17.047861800000003</v>
      </c>
      <c r="I36" s="566">
        <v>17.149897100000004</v>
      </c>
      <c r="J36" s="582">
        <v>17.251932400000005</v>
      </c>
      <c r="K36" s="582">
        <v>17.353967700000005</v>
      </c>
      <c r="L36" s="583">
        <v>17.456003000000006</v>
      </c>
      <c r="M36" s="455"/>
      <c r="N36" s="564">
        <v>33</v>
      </c>
      <c r="O36" s="581">
        <v>2.7293310000000002</v>
      </c>
      <c r="P36" s="582">
        <v>2.7308806000000003</v>
      </c>
      <c r="Q36" s="566">
        <v>2.7324302000000005</v>
      </c>
      <c r="R36" s="566">
        <v>2.7339798000000006</v>
      </c>
      <c r="S36" s="566">
        <v>2.7355294000000008</v>
      </c>
      <c r="T36" s="566">
        <v>2.7370790000000009</v>
      </c>
      <c r="U36" s="566">
        <v>2.7386286000000011</v>
      </c>
      <c r="V36" s="566">
        <v>2.7401782000000012</v>
      </c>
      <c r="W36" s="566">
        <v>2.7417278000000014</v>
      </c>
      <c r="X36" s="582">
        <v>2.7432774000000015</v>
      </c>
      <c r="Y36" s="583">
        <v>2.7448270000000017</v>
      </c>
      <c r="Z36" s="584"/>
      <c r="AA36" s="568">
        <v>33</v>
      </c>
      <c r="AB36" s="565">
        <f xml:space="preserve"> -0.0000193892351476224 + ((1 - 0)*0 + 0*0)</f>
        <v>-1.9389235147622399E-5</v>
      </c>
      <c r="AC36" s="566">
        <f xml:space="preserve"> -0.0000193784032220572 + ((1 - 0.1)*0 + 0.1*0)</f>
        <v>-1.9378403222057201E-5</v>
      </c>
      <c r="AD36" s="566">
        <f xml:space="preserve"> -0.0000193789207763626 + ((1 - 0.2)*0 + 0.2*0)</f>
        <v>-1.93789207763626E-5</v>
      </c>
      <c r="AE36" s="566">
        <f xml:space="preserve"> -0.0000193879463769594 + ((1 - 0.3)*0 + 0.3*0)</f>
        <v>-1.9387946376959399E-5</v>
      </c>
      <c r="AF36" s="566">
        <f xml:space="preserve"> -0.000019402638590268 + ((1 - 0.4)*0 + 0.4*0)</f>
        <v>-1.9402638590268001E-5</v>
      </c>
      <c r="AG36" s="566">
        <f xml:space="preserve"> -0.0000194201559827091 + ((1 - 0.5)*0 + 0.5*0)</f>
        <v>-1.94201559827091E-5</v>
      </c>
      <c r="AH36" s="566">
        <f xml:space="preserve"> -0.0000194376571207032 + ((1 - 0.6)*0 + 0.6*0)</f>
        <v>-1.9437657120703199E-5</v>
      </c>
      <c r="AI36" s="566">
        <f xml:space="preserve"> -0.000019452300570671 + ((1 - 0.7)*0 + 0.7*0)</f>
        <v>-1.9452300570670999E-5</v>
      </c>
      <c r="AJ36" s="566">
        <f xml:space="preserve"> -0.0000194612448990331 + ((1 - 0.8000001)*0 + 0.8000001*0)</f>
        <v>-1.9461244899033099E-5</v>
      </c>
      <c r="AK36" s="566">
        <f xml:space="preserve"> -0.0000194616486722099 + ((1 - 0.9000001)*0 + 0.9000001*0)</f>
        <v>-1.9461648672209899E-5</v>
      </c>
      <c r="AL36" s="567">
        <f xml:space="preserve"> -0.0000194506704566222 + ((1 - 1)*0 + 1*0)</f>
        <v>-1.9450670456622199E-5</v>
      </c>
      <c r="AN36" s="568">
        <v>33</v>
      </c>
      <c r="AO36" s="565">
        <f xml:space="preserve"> -1.90737006879232E-06 + ((1 - 0)*0 + 0*0)</f>
        <v>-1.9073700687923201E-6</v>
      </c>
      <c r="AP36" s="566">
        <f xml:space="preserve"> -2.62061140506829E-06 + ((1 - 0.1)*0 + 0.1*0)</f>
        <v>-2.62061140506829E-6</v>
      </c>
      <c r="AQ36" s="566">
        <f xml:space="preserve"> -2.58653241129131E-06 + ((1 - 0.2)*0 + 0.2*0)</f>
        <v>-2.58653241129131E-6</v>
      </c>
      <c r="AR36" s="566">
        <f xml:space="preserve"> -1.99223074344035E-06 + ((1 - 0.3)*0 + 0.3*0)</f>
        <v>-1.99223074344035E-6</v>
      </c>
      <c r="AS36" s="566">
        <f xml:space="preserve"> -1.02480405749439E-06 + ((1 - 0.4)*0 + 0.4*0)</f>
        <v>-1.02480405749439E-6</v>
      </c>
      <c r="AT36" s="566">
        <f xml:space="preserve"> 0.0000001286499905676 + ((1 - 0.5)*0 + 0.5*0)</f>
        <v>1.286499905676E-7</v>
      </c>
      <c r="AU36" s="566">
        <f xml:space="preserve"> 1.28103374476664E-06 + ((1 - 0.6)*0 + 0.6*0)</f>
        <v>1.2810337447666401E-6</v>
      </c>
      <c r="AV36" s="566">
        <f xml:space="preserve"> 2.24524954912376E-06 + ((1 - 0.7)*0 + 0.7*0)</f>
        <v>2.2452495491237602E-6</v>
      </c>
      <c r="AW36" s="566">
        <f xml:space="preserve"> 2.83419974765998E-06 + ((1 - 0.8000001)*0 + 0.8000001*0)</f>
        <v>2.8341997476599801E-6</v>
      </c>
      <c r="AX36" s="566">
        <f xml:space="preserve"> 2.86078668439633E-06 + ((1 - 0.9000001)*0 + 0.9000001*0)</f>
        <v>2.8607866843963299E-6</v>
      </c>
      <c r="AY36" s="567">
        <f xml:space="preserve"> 2.13791270335383E-06 + ((1 - 1)*0 + 1*0)</f>
        <v>2.1379127033538301E-6</v>
      </c>
      <c r="BA36" s="580">
        <v>33</v>
      </c>
      <c r="BB36" s="565">
        <f>IF(ISNUMBER(System!$C36),PlotData!B36+ $BF$1*AB36,$CB$3)</f>
        <v>16.435629422308725</v>
      </c>
      <c r="BC36" s="566">
        <f>IF(ISNUMBER(System!$C36),PlotData!C36+ $BF$1*AC36,$CB$3)</f>
        <v>16.53766473380459</v>
      </c>
      <c r="BD36" s="566">
        <f>IF(ISNUMBER(System!$C36),PlotData!D36+ $BF$1*AD36,$CB$3)</f>
        <v>16.639700033255313</v>
      </c>
      <c r="BE36" s="566">
        <f>IF(ISNUMBER(System!$C36),PlotData!E36+ $BF$1*AE36,$CB$3)</f>
        <v>16.74173532367649</v>
      </c>
      <c r="BF36" s="566">
        <f>IF(ISNUMBER(System!$C36),PlotData!F36+ $BF$1*AF36,$CB$3)</f>
        <v>16.843770608083727</v>
      </c>
      <c r="BG36" s="566">
        <f>IF(ISNUMBER(System!$C36),PlotData!G36+ $BF$1*AG36,$CB$3)</f>
        <v>16.945805889492611</v>
      </c>
      <c r="BH36" s="566">
        <f>IF(ISNUMBER(System!$C36),PlotData!H36+ $BF$1*AH36,$CB$3)</f>
        <v>17.047841170918748</v>
      </c>
      <c r="BI36" s="566">
        <f>IF(ISNUMBER(System!$C36),PlotData!I36+ $BF$1*AI36,$CB$3)</f>
        <v>17.149876455377733</v>
      </c>
      <c r="BJ36" s="566">
        <f>IF(ISNUMBER(System!$C36),PlotData!J36+ $BF$1*AJ36,$CB$3)</f>
        <v>17.251911745885167</v>
      </c>
      <c r="BK36" s="566">
        <f>IF(ISNUMBER(System!$C36),PlotData!K36+ $BF$1*AK36,$CB$3)</f>
        <v>17.353947045456646</v>
      </c>
      <c r="BL36" s="567">
        <f>IF(ISNUMBER(System!$C36),PlotData!L36+ $BF$1*AL36,$CB$3)</f>
        <v>17.455982357107768</v>
      </c>
      <c r="BM36" s="455"/>
      <c r="BN36" s="580">
        <v>33</v>
      </c>
      <c r="BO36" s="565">
        <f>IF(ISNUMBER(System!$C36),O36+ $BF$1*AO36,$CB$4)</f>
        <v>2.7293289757183756</v>
      </c>
      <c r="BP36" s="566">
        <f>IF(ISNUMBER(System!$C36),P36+ $BF$1*AP36,$CB$4)</f>
        <v>2.7308778187591707</v>
      </c>
      <c r="BQ36" s="566">
        <f>IF(ISNUMBER(System!$C36),Q36+ $BF$1*AQ36,$CB$4)</f>
        <v>2.7324274549270244</v>
      </c>
      <c r="BR36" s="566">
        <f>IF(ISNUMBER(System!$C36),R36+ $BF$1*AR36,$CB$4)</f>
        <v>2.733977685656197</v>
      </c>
      <c r="BS36" s="566">
        <f>IF(ISNUMBER(System!$C36),S36+ $BF$1*AS36,$CB$4)</f>
        <v>2.7355283123809508</v>
      </c>
      <c r="BT36" s="566">
        <f>IF(ISNUMBER(System!$C36),T36+ $BF$1*AT36,$CB$4)</f>
        <v>2.737079136535546</v>
      </c>
      <c r="BU36" s="566">
        <f>IF(ISNUMBER(System!$C36),U36+ $BF$1*AU36,$CB$4)</f>
        <v>2.738629959554244</v>
      </c>
      <c r="BV36" s="566">
        <f>IF(ISNUMBER(System!$C36),V36+ $BF$1*AV36,$CB$4)</f>
        <v>2.7401805828713059</v>
      </c>
      <c r="BW36" s="566">
        <f>IF(ISNUMBER(System!$C36),W36+ $BF$1*AW36,$CB$4)</f>
        <v>2.7417308079209932</v>
      </c>
      <c r="BX36" s="566">
        <f>IF(ISNUMBER(System!$C36),X36+ $BF$1*AX36,$CB$4)</f>
        <v>2.7432804361375669</v>
      </c>
      <c r="BY36" s="567">
        <f>IF(ISNUMBER(System!$C36),Y36+ $BF$1*AY36,$CB$4)</f>
        <v>2.744829268955288</v>
      </c>
      <c r="BZ36" s="455"/>
    </row>
    <row r="37" spans="1:78" x14ac:dyDescent="0.35">
      <c r="A37" s="564">
        <v>34</v>
      </c>
      <c r="B37" s="581"/>
      <c r="C37" s="566"/>
      <c r="D37" s="566"/>
      <c r="E37" s="566"/>
      <c r="F37" s="566"/>
      <c r="G37" s="566"/>
      <c r="H37" s="566"/>
      <c r="I37" s="566"/>
      <c r="J37" s="582"/>
      <c r="K37" s="582"/>
      <c r="L37" s="583"/>
      <c r="M37" s="455"/>
      <c r="N37" s="564">
        <v>34</v>
      </c>
      <c r="O37" s="581"/>
      <c r="P37" s="582"/>
      <c r="Q37" s="566"/>
      <c r="R37" s="566"/>
      <c r="S37" s="566"/>
      <c r="T37" s="566"/>
      <c r="U37" s="566"/>
      <c r="V37" s="566"/>
      <c r="W37" s="566"/>
      <c r="X37" s="582"/>
      <c r="Y37" s="583"/>
      <c r="Z37" s="584"/>
      <c r="AA37" s="568">
        <v>34</v>
      </c>
      <c r="AB37" s="565"/>
      <c r="AC37" s="566"/>
      <c r="AD37" s="566"/>
      <c r="AE37" s="566"/>
      <c r="AF37" s="566"/>
      <c r="AG37" s="566"/>
      <c r="AH37" s="566"/>
      <c r="AI37" s="566"/>
      <c r="AJ37" s="566"/>
      <c r="AK37" s="566"/>
      <c r="AL37" s="567"/>
      <c r="AN37" s="568">
        <v>34</v>
      </c>
      <c r="AO37" s="565"/>
      <c r="AP37" s="566"/>
      <c r="AQ37" s="566"/>
      <c r="AR37" s="566"/>
      <c r="AS37" s="566"/>
      <c r="AT37" s="566"/>
      <c r="AU37" s="566"/>
      <c r="AV37" s="566"/>
      <c r="AW37" s="566"/>
      <c r="AX37" s="566"/>
      <c r="AY37" s="567"/>
      <c r="BA37" s="580">
        <v>34</v>
      </c>
      <c r="BB37" s="565">
        <f>IF(ISNUMBER(System!$C37),PlotData!B37+ $BF$1*AB37,$CB$3)</f>
        <v>7.6500000953674316</v>
      </c>
      <c r="BC37" s="566">
        <f>IF(ISNUMBER(System!$C37),PlotData!C37+ $BF$1*AC37,$CB$3)</f>
        <v>7.6500000953674316</v>
      </c>
      <c r="BD37" s="566">
        <f>IF(ISNUMBER(System!$C37),PlotData!D37+ $BF$1*AD37,$CB$3)</f>
        <v>7.6500000953674316</v>
      </c>
      <c r="BE37" s="566">
        <f>IF(ISNUMBER(System!$C37),PlotData!E37+ $BF$1*AE37,$CB$3)</f>
        <v>7.6500000953674316</v>
      </c>
      <c r="BF37" s="566">
        <f>IF(ISNUMBER(System!$C37),PlotData!F37+ $BF$1*AF37,$CB$3)</f>
        <v>7.6500000953674316</v>
      </c>
      <c r="BG37" s="566">
        <f>IF(ISNUMBER(System!$C37),PlotData!G37+ $BF$1*AG37,$CB$3)</f>
        <v>7.6500000953674316</v>
      </c>
      <c r="BH37" s="566">
        <f>IF(ISNUMBER(System!$C37),PlotData!H37+ $BF$1*AH37,$CB$3)</f>
        <v>7.6500000953674316</v>
      </c>
      <c r="BI37" s="566">
        <f>IF(ISNUMBER(System!$C37),PlotData!I37+ $BF$1*AI37,$CB$3)</f>
        <v>7.6500000953674316</v>
      </c>
      <c r="BJ37" s="566">
        <f>IF(ISNUMBER(System!$C37),PlotData!J37+ $BF$1*AJ37,$CB$3)</f>
        <v>7.6500000953674316</v>
      </c>
      <c r="BK37" s="566">
        <f>IF(ISNUMBER(System!$C37),PlotData!K37+ $BF$1*AK37,$CB$3)</f>
        <v>7.6500000953674316</v>
      </c>
      <c r="BL37" s="567">
        <f>IF(ISNUMBER(System!$C37),PlotData!L37+ $BF$1*AL37,$CB$3)</f>
        <v>7.6500000953674316</v>
      </c>
      <c r="BM37" s="455"/>
      <c r="BN37" s="580">
        <v>34</v>
      </c>
      <c r="BO37" s="565">
        <f>IF(ISNUMBER(System!$C37),O37+ $BF$1*AO37,$CB$4)</f>
        <v>0.75</v>
      </c>
      <c r="BP37" s="566">
        <f>IF(ISNUMBER(System!$C37),P37+ $BF$1*AP37,$CB$4)</f>
        <v>0.75</v>
      </c>
      <c r="BQ37" s="566">
        <f>IF(ISNUMBER(System!$C37),Q37+ $BF$1*AQ37,$CB$4)</f>
        <v>0.75</v>
      </c>
      <c r="BR37" s="566">
        <f>IF(ISNUMBER(System!$C37),R37+ $BF$1*AR37,$CB$4)</f>
        <v>0.75</v>
      </c>
      <c r="BS37" s="566">
        <f>IF(ISNUMBER(System!$C37),S37+ $BF$1*AS37,$CB$4)</f>
        <v>0.75</v>
      </c>
      <c r="BT37" s="566">
        <f>IF(ISNUMBER(System!$C37),T37+ $BF$1*AT37,$CB$4)</f>
        <v>0.75</v>
      </c>
      <c r="BU37" s="566">
        <f>IF(ISNUMBER(System!$C37),U37+ $BF$1*AU37,$CB$4)</f>
        <v>0.75</v>
      </c>
      <c r="BV37" s="566">
        <f>IF(ISNUMBER(System!$C37),V37+ $BF$1*AV37,$CB$4)</f>
        <v>0.75</v>
      </c>
      <c r="BW37" s="566">
        <f>IF(ISNUMBER(System!$C37),W37+ $BF$1*AW37,$CB$4)</f>
        <v>0.75</v>
      </c>
      <c r="BX37" s="566">
        <f>IF(ISNUMBER(System!$C37),X37+ $BF$1*AX37,$CB$4)</f>
        <v>0.75</v>
      </c>
      <c r="BY37" s="567">
        <f>IF(ISNUMBER(System!$C37),Y37+ $BF$1*AY37,$CB$4)</f>
        <v>0.75</v>
      </c>
      <c r="BZ37" s="455"/>
    </row>
    <row r="38" spans="1:78" x14ac:dyDescent="0.35">
      <c r="A38" s="564">
        <v>35</v>
      </c>
      <c r="B38" s="581"/>
      <c r="C38" s="566"/>
      <c r="D38" s="566"/>
      <c r="E38" s="566"/>
      <c r="F38" s="566"/>
      <c r="G38" s="566"/>
      <c r="H38" s="566"/>
      <c r="I38" s="566"/>
      <c r="J38" s="582"/>
      <c r="K38" s="582"/>
      <c r="L38" s="583"/>
      <c r="M38" s="455"/>
      <c r="N38" s="564">
        <v>35</v>
      </c>
      <c r="O38" s="581"/>
      <c r="P38" s="582"/>
      <c r="Q38" s="566"/>
      <c r="R38" s="566"/>
      <c r="S38" s="566"/>
      <c r="T38" s="566"/>
      <c r="U38" s="566"/>
      <c r="V38" s="566"/>
      <c r="W38" s="566"/>
      <c r="X38" s="582"/>
      <c r="Y38" s="583"/>
      <c r="Z38" s="584"/>
      <c r="AA38" s="568">
        <v>35</v>
      </c>
      <c r="AB38" s="565"/>
      <c r="AC38" s="566"/>
      <c r="AD38" s="566"/>
      <c r="AE38" s="566"/>
      <c r="AF38" s="566"/>
      <c r="AG38" s="566"/>
      <c r="AH38" s="566"/>
      <c r="AI38" s="566"/>
      <c r="AJ38" s="566"/>
      <c r="AK38" s="566"/>
      <c r="AL38" s="567"/>
      <c r="AN38" s="568">
        <v>35</v>
      </c>
      <c r="AO38" s="565"/>
      <c r="AP38" s="566"/>
      <c r="AQ38" s="566"/>
      <c r="AR38" s="566"/>
      <c r="AS38" s="566"/>
      <c r="AT38" s="566"/>
      <c r="AU38" s="566"/>
      <c r="AV38" s="566"/>
      <c r="AW38" s="566"/>
      <c r="AX38" s="566"/>
      <c r="AY38" s="567"/>
      <c r="BA38" s="580">
        <v>35</v>
      </c>
      <c r="BB38" s="565">
        <f>IF(ISNUMBER(System!$C38),PlotData!B38+ $BF$1*AB38,$CB$3)</f>
        <v>7.6500000953674316</v>
      </c>
      <c r="BC38" s="566">
        <f>IF(ISNUMBER(System!$C38),PlotData!C38+ $BF$1*AC38,$CB$3)</f>
        <v>7.6500000953674316</v>
      </c>
      <c r="BD38" s="566">
        <f>IF(ISNUMBER(System!$C38),PlotData!D38+ $BF$1*AD38,$CB$3)</f>
        <v>7.6500000953674316</v>
      </c>
      <c r="BE38" s="566">
        <f>IF(ISNUMBER(System!$C38),PlotData!E38+ $BF$1*AE38,$CB$3)</f>
        <v>7.6500000953674316</v>
      </c>
      <c r="BF38" s="566">
        <f>IF(ISNUMBER(System!$C38),PlotData!F38+ $BF$1*AF38,$CB$3)</f>
        <v>7.6500000953674316</v>
      </c>
      <c r="BG38" s="566">
        <f>IF(ISNUMBER(System!$C38),PlotData!G38+ $BF$1*AG38,$CB$3)</f>
        <v>7.6500000953674316</v>
      </c>
      <c r="BH38" s="566">
        <f>IF(ISNUMBER(System!$C38),PlotData!H38+ $BF$1*AH38,$CB$3)</f>
        <v>7.6500000953674316</v>
      </c>
      <c r="BI38" s="566">
        <f>IF(ISNUMBER(System!$C38),PlotData!I38+ $BF$1*AI38,$CB$3)</f>
        <v>7.6500000953674316</v>
      </c>
      <c r="BJ38" s="566">
        <f>IF(ISNUMBER(System!$C38),PlotData!J38+ $BF$1*AJ38,$CB$3)</f>
        <v>7.6500000953674316</v>
      </c>
      <c r="BK38" s="566">
        <f>IF(ISNUMBER(System!$C38),PlotData!K38+ $BF$1*AK38,$CB$3)</f>
        <v>7.6500000953674316</v>
      </c>
      <c r="BL38" s="567">
        <f>IF(ISNUMBER(System!$C38),PlotData!L38+ $BF$1*AL38,$CB$3)</f>
        <v>7.6500000953674316</v>
      </c>
      <c r="BM38" s="455"/>
      <c r="BN38" s="580">
        <v>35</v>
      </c>
      <c r="BO38" s="565">
        <f>IF(ISNUMBER(System!$C38),O38+ $BF$1*AO38,$CB$4)</f>
        <v>0.75</v>
      </c>
      <c r="BP38" s="566">
        <f>IF(ISNUMBER(System!$C38),P38+ $BF$1*AP38,$CB$4)</f>
        <v>0.75</v>
      </c>
      <c r="BQ38" s="566">
        <f>IF(ISNUMBER(System!$C38),Q38+ $BF$1*AQ38,$CB$4)</f>
        <v>0.75</v>
      </c>
      <c r="BR38" s="566">
        <f>IF(ISNUMBER(System!$C38),R38+ $BF$1*AR38,$CB$4)</f>
        <v>0.75</v>
      </c>
      <c r="BS38" s="566">
        <f>IF(ISNUMBER(System!$C38),S38+ $BF$1*AS38,$CB$4)</f>
        <v>0.75</v>
      </c>
      <c r="BT38" s="566">
        <f>IF(ISNUMBER(System!$C38),T38+ $BF$1*AT38,$CB$4)</f>
        <v>0.75</v>
      </c>
      <c r="BU38" s="566">
        <f>IF(ISNUMBER(System!$C38),U38+ $BF$1*AU38,$CB$4)</f>
        <v>0.75</v>
      </c>
      <c r="BV38" s="566">
        <f>IF(ISNUMBER(System!$C38),V38+ $BF$1*AV38,$CB$4)</f>
        <v>0.75</v>
      </c>
      <c r="BW38" s="566">
        <f>IF(ISNUMBER(System!$C38),W38+ $BF$1*AW38,$CB$4)</f>
        <v>0.75</v>
      </c>
      <c r="BX38" s="566">
        <f>IF(ISNUMBER(System!$C38),X38+ $BF$1*AX38,$CB$4)</f>
        <v>0.75</v>
      </c>
      <c r="BY38" s="567">
        <f>IF(ISNUMBER(System!$C38),Y38+ $BF$1*AY38,$CB$4)</f>
        <v>0.75</v>
      </c>
      <c r="BZ38" s="455"/>
    </row>
    <row r="39" spans="1:78" x14ac:dyDescent="0.35">
      <c r="A39" s="564">
        <v>36</v>
      </c>
      <c r="B39" s="581"/>
      <c r="C39" s="566"/>
      <c r="D39" s="566"/>
      <c r="E39" s="566"/>
      <c r="F39" s="566"/>
      <c r="G39" s="566"/>
      <c r="H39" s="566"/>
      <c r="I39" s="566"/>
      <c r="J39" s="582"/>
      <c r="K39" s="582"/>
      <c r="L39" s="583"/>
      <c r="M39" s="455"/>
      <c r="N39" s="564">
        <v>36</v>
      </c>
      <c r="O39" s="581"/>
      <c r="P39" s="582"/>
      <c r="Q39" s="566"/>
      <c r="R39" s="566"/>
      <c r="S39" s="566"/>
      <c r="T39" s="566"/>
      <c r="U39" s="566"/>
      <c r="V39" s="566"/>
      <c r="W39" s="566"/>
      <c r="X39" s="582"/>
      <c r="Y39" s="583"/>
      <c r="Z39" s="584"/>
      <c r="AA39" s="568">
        <v>36</v>
      </c>
      <c r="AB39" s="565"/>
      <c r="AC39" s="566"/>
      <c r="AD39" s="566"/>
      <c r="AE39" s="566"/>
      <c r="AF39" s="566"/>
      <c r="AG39" s="566"/>
      <c r="AH39" s="566"/>
      <c r="AI39" s="566"/>
      <c r="AJ39" s="566"/>
      <c r="AK39" s="566"/>
      <c r="AL39" s="567"/>
      <c r="AN39" s="568">
        <v>36</v>
      </c>
      <c r="AO39" s="565"/>
      <c r="AP39" s="566"/>
      <c r="AQ39" s="566"/>
      <c r="AR39" s="566"/>
      <c r="AS39" s="566"/>
      <c r="AT39" s="566"/>
      <c r="AU39" s="566"/>
      <c r="AV39" s="566"/>
      <c r="AW39" s="566"/>
      <c r="AX39" s="566"/>
      <c r="AY39" s="567"/>
      <c r="BA39" s="580">
        <v>36</v>
      </c>
      <c r="BB39" s="565">
        <f>IF(ISNUMBER(System!$C39),PlotData!B39+ $BF$1*AB39,$CB$3)</f>
        <v>7.6500000953674316</v>
      </c>
      <c r="BC39" s="566">
        <f>IF(ISNUMBER(System!$C39),PlotData!C39+ $BF$1*AC39,$CB$3)</f>
        <v>7.6500000953674316</v>
      </c>
      <c r="BD39" s="566">
        <f>IF(ISNUMBER(System!$C39),PlotData!D39+ $BF$1*AD39,$CB$3)</f>
        <v>7.6500000953674316</v>
      </c>
      <c r="BE39" s="566">
        <f>IF(ISNUMBER(System!$C39),PlotData!E39+ $BF$1*AE39,$CB$3)</f>
        <v>7.6500000953674316</v>
      </c>
      <c r="BF39" s="566">
        <f>IF(ISNUMBER(System!$C39),PlotData!F39+ $BF$1*AF39,$CB$3)</f>
        <v>7.6500000953674316</v>
      </c>
      <c r="BG39" s="566">
        <f>IF(ISNUMBER(System!$C39),PlotData!G39+ $BF$1*AG39,$CB$3)</f>
        <v>7.6500000953674316</v>
      </c>
      <c r="BH39" s="566">
        <f>IF(ISNUMBER(System!$C39),PlotData!H39+ $BF$1*AH39,$CB$3)</f>
        <v>7.6500000953674316</v>
      </c>
      <c r="BI39" s="566">
        <f>IF(ISNUMBER(System!$C39),PlotData!I39+ $BF$1*AI39,$CB$3)</f>
        <v>7.6500000953674316</v>
      </c>
      <c r="BJ39" s="566">
        <f>IF(ISNUMBER(System!$C39),PlotData!J39+ $BF$1*AJ39,$CB$3)</f>
        <v>7.6500000953674316</v>
      </c>
      <c r="BK39" s="566">
        <f>IF(ISNUMBER(System!$C39),PlotData!K39+ $BF$1*AK39,$CB$3)</f>
        <v>7.6500000953674316</v>
      </c>
      <c r="BL39" s="567">
        <f>IF(ISNUMBER(System!$C39),PlotData!L39+ $BF$1*AL39,$CB$3)</f>
        <v>7.6500000953674316</v>
      </c>
      <c r="BM39" s="455"/>
      <c r="BN39" s="580">
        <v>36</v>
      </c>
      <c r="BO39" s="565">
        <f>IF(ISNUMBER(System!$C39),O39+ $BF$1*AO39,$CB$4)</f>
        <v>0.75</v>
      </c>
      <c r="BP39" s="566">
        <f>IF(ISNUMBER(System!$C39),P39+ $BF$1*AP39,$CB$4)</f>
        <v>0.75</v>
      </c>
      <c r="BQ39" s="566">
        <f>IF(ISNUMBER(System!$C39),Q39+ $BF$1*AQ39,$CB$4)</f>
        <v>0.75</v>
      </c>
      <c r="BR39" s="566">
        <f>IF(ISNUMBER(System!$C39),R39+ $BF$1*AR39,$CB$4)</f>
        <v>0.75</v>
      </c>
      <c r="BS39" s="566">
        <f>IF(ISNUMBER(System!$C39),S39+ $BF$1*AS39,$CB$4)</f>
        <v>0.75</v>
      </c>
      <c r="BT39" s="566">
        <f>IF(ISNUMBER(System!$C39),T39+ $BF$1*AT39,$CB$4)</f>
        <v>0.75</v>
      </c>
      <c r="BU39" s="566">
        <f>IF(ISNUMBER(System!$C39),U39+ $BF$1*AU39,$CB$4)</f>
        <v>0.75</v>
      </c>
      <c r="BV39" s="566">
        <f>IF(ISNUMBER(System!$C39),V39+ $BF$1*AV39,$CB$4)</f>
        <v>0.75</v>
      </c>
      <c r="BW39" s="566">
        <f>IF(ISNUMBER(System!$C39),W39+ $BF$1*AW39,$CB$4)</f>
        <v>0.75</v>
      </c>
      <c r="BX39" s="566">
        <f>IF(ISNUMBER(System!$C39),X39+ $BF$1*AX39,$CB$4)</f>
        <v>0.75</v>
      </c>
      <c r="BY39" s="567">
        <f>IF(ISNUMBER(System!$C39),Y39+ $BF$1*AY39,$CB$4)</f>
        <v>0.75</v>
      </c>
      <c r="BZ39" s="455"/>
    </row>
    <row r="40" spans="1:78" x14ac:dyDescent="0.35">
      <c r="A40" s="564">
        <v>37</v>
      </c>
      <c r="B40" s="581"/>
      <c r="C40" s="566"/>
      <c r="D40" s="566"/>
      <c r="E40" s="566"/>
      <c r="F40" s="566"/>
      <c r="G40" s="566"/>
      <c r="H40" s="566"/>
      <c r="I40" s="566"/>
      <c r="J40" s="582"/>
      <c r="K40" s="582"/>
      <c r="L40" s="583"/>
      <c r="M40" s="455"/>
      <c r="N40" s="564">
        <v>37</v>
      </c>
      <c r="O40" s="581"/>
      <c r="P40" s="582"/>
      <c r="Q40" s="566"/>
      <c r="R40" s="566"/>
      <c r="S40" s="566"/>
      <c r="T40" s="566"/>
      <c r="U40" s="566"/>
      <c r="V40" s="566"/>
      <c r="W40" s="566"/>
      <c r="X40" s="582"/>
      <c r="Y40" s="583"/>
      <c r="Z40" s="584"/>
      <c r="AA40" s="568">
        <v>37</v>
      </c>
      <c r="AB40" s="565"/>
      <c r="AC40" s="566"/>
      <c r="AD40" s="566"/>
      <c r="AE40" s="566"/>
      <c r="AF40" s="566"/>
      <c r="AG40" s="566"/>
      <c r="AH40" s="566"/>
      <c r="AI40" s="566"/>
      <c r="AJ40" s="566"/>
      <c r="AK40" s="566"/>
      <c r="AL40" s="567"/>
      <c r="AN40" s="568">
        <v>37</v>
      </c>
      <c r="AO40" s="565"/>
      <c r="AP40" s="566"/>
      <c r="AQ40" s="566"/>
      <c r="AR40" s="566"/>
      <c r="AS40" s="566"/>
      <c r="AT40" s="566"/>
      <c r="AU40" s="566"/>
      <c r="AV40" s="566"/>
      <c r="AW40" s="566"/>
      <c r="AX40" s="566"/>
      <c r="AY40" s="567"/>
      <c r="BA40" s="580">
        <v>37</v>
      </c>
      <c r="BB40" s="565">
        <f>IF(ISNUMBER(System!$C40),PlotData!B40+ $BF$1*AB40,$CB$3)</f>
        <v>7.6500000953674316</v>
      </c>
      <c r="BC40" s="566">
        <f>IF(ISNUMBER(System!$C40),PlotData!C40+ $BF$1*AC40,$CB$3)</f>
        <v>7.6500000953674316</v>
      </c>
      <c r="BD40" s="566">
        <f>IF(ISNUMBER(System!$C40),PlotData!D40+ $BF$1*AD40,$CB$3)</f>
        <v>7.6500000953674316</v>
      </c>
      <c r="BE40" s="566">
        <f>IF(ISNUMBER(System!$C40),PlotData!E40+ $BF$1*AE40,$CB$3)</f>
        <v>7.6500000953674316</v>
      </c>
      <c r="BF40" s="566">
        <f>IF(ISNUMBER(System!$C40),PlotData!F40+ $BF$1*AF40,$CB$3)</f>
        <v>7.6500000953674316</v>
      </c>
      <c r="BG40" s="566">
        <f>IF(ISNUMBER(System!$C40),PlotData!G40+ $BF$1*AG40,$CB$3)</f>
        <v>7.6500000953674316</v>
      </c>
      <c r="BH40" s="566">
        <f>IF(ISNUMBER(System!$C40),PlotData!H40+ $BF$1*AH40,$CB$3)</f>
        <v>7.6500000953674316</v>
      </c>
      <c r="BI40" s="566">
        <f>IF(ISNUMBER(System!$C40),PlotData!I40+ $BF$1*AI40,$CB$3)</f>
        <v>7.6500000953674316</v>
      </c>
      <c r="BJ40" s="566">
        <f>IF(ISNUMBER(System!$C40),PlotData!J40+ $BF$1*AJ40,$CB$3)</f>
        <v>7.6500000953674316</v>
      </c>
      <c r="BK40" s="566">
        <f>IF(ISNUMBER(System!$C40),PlotData!K40+ $BF$1*AK40,$CB$3)</f>
        <v>7.6500000953674316</v>
      </c>
      <c r="BL40" s="567">
        <f>IF(ISNUMBER(System!$C40),PlotData!L40+ $BF$1*AL40,$CB$3)</f>
        <v>7.6500000953674316</v>
      </c>
      <c r="BM40" s="455"/>
      <c r="BN40" s="580">
        <v>37</v>
      </c>
      <c r="BO40" s="565">
        <f>IF(ISNUMBER(System!$C40),O40+ $BF$1*AO40,$CB$4)</f>
        <v>0.75</v>
      </c>
      <c r="BP40" s="566">
        <f>IF(ISNUMBER(System!$C40),P40+ $BF$1*AP40,$CB$4)</f>
        <v>0.75</v>
      </c>
      <c r="BQ40" s="566">
        <f>IF(ISNUMBER(System!$C40),Q40+ $BF$1*AQ40,$CB$4)</f>
        <v>0.75</v>
      </c>
      <c r="BR40" s="566">
        <f>IF(ISNUMBER(System!$C40),R40+ $BF$1*AR40,$CB$4)</f>
        <v>0.75</v>
      </c>
      <c r="BS40" s="566">
        <f>IF(ISNUMBER(System!$C40),S40+ $BF$1*AS40,$CB$4)</f>
        <v>0.75</v>
      </c>
      <c r="BT40" s="566">
        <f>IF(ISNUMBER(System!$C40),T40+ $BF$1*AT40,$CB$4)</f>
        <v>0.75</v>
      </c>
      <c r="BU40" s="566">
        <f>IF(ISNUMBER(System!$C40),U40+ $BF$1*AU40,$CB$4)</f>
        <v>0.75</v>
      </c>
      <c r="BV40" s="566">
        <f>IF(ISNUMBER(System!$C40),V40+ $BF$1*AV40,$CB$4)</f>
        <v>0.75</v>
      </c>
      <c r="BW40" s="566">
        <f>IF(ISNUMBER(System!$C40),W40+ $BF$1*AW40,$CB$4)</f>
        <v>0.75</v>
      </c>
      <c r="BX40" s="566">
        <f>IF(ISNUMBER(System!$C40),X40+ $BF$1*AX40,$CB$4)</f>
        <v>0.75</v>
      </c>
      <c r="BY40" s="567">
        <f>IF(ISNUMBER(System!$C40),Y40+ $BF$1*AY40,$CB$4)</f>
        <v>0.75</v>
      </c>
      <c r="BZ40" s="455"/>
    </row>
    <row r="41" spans="1:78" x14ac:dyDescent="0.35">
      <c r="A41" s="564">
        <v>38</v>
      </c>
      <c r="B41" s="581"/>
      <c r="C41" s="566"/>
      <c r="D41" s="566"/>
      <c r="E41" s="566"/>
      <c r="F41" s="566"/>
      <c r="G41" s="566"/>
      <c r="H41" s="566"/>
      <c r="I41" s="566"/>
      <c r="J41" s="582"/>
      <c r="K41" s="582"/>
      <c r="L41" s="583"/>
      <c r="M41" s="455"/>
      <c r="N41" s="564">
        <v>38</v>
      </c>
      <c r="O41" s="581"/>
      <c r="P41" s="582"/>
      <c r="Q41" s="566"/>
      <c r="R41" s="566"/>
      <c r="S41" s="566"/>
      <c r="T41" s="566"/>
      <c r="U41" s="566"/>
      <c r="V41" s="566"/>
      <c r="W41" s="566"/>
      <c r="X41" s="582"/>
      <c r="Y41" s="583"/>
      <c r="Z41" s="584"/>
      <c r="AA41" s="568">
        <v>38</v>
      </c>
      <c r="AB41" s="565"/>
      <c r="AC41" s="566"/>
      <c r="AD41" s="566"/>
      <c r="AE41" s="566"/>
      <c r="AF41" s="566"/>
      <c r="AG41" s="566"/>
      <c r="AH41" s="566"/>
      <c r="AI41" s="566"/>
      <c r="AJ41" s="566"/>
      <c r="AK41" s="566"/>
      <c r="AL41" s="567"/>
      <c r="AN41" s="568">
        <v>38</v>
      </c>
      <c r="AO41" s="565"/>
      <c r="AP41" s="566"/>
      <c r="AQ41" s="566"/>
      <c r="AR41" s="566"/>
      <c r="AS41" s="566"/>
      <c r="AT41" s="566"/>
      <c r="AU41" s="566"/>
      <c r="AV41" s="566"/>
      <c r="AW41" s="566"/>
      <c r="AX41" s="566"/>
      <c r="AY41" s="567"/>
      <c r="BA41" s="580">
        <v>38</v>
      </c>
      <c r="BB41" s="565">
        <f>IF(ISNUMBER(System!$C41),PlotData!B41+ $BF$1*AB41,$CB$3)</f>
        <v>7.6500000953674316</v>
      </c>
      <c r="BC41" s="566">
        <f>IF(ISNUMBER(System!$C41),PlotData!C41+ $BF$1*AC41,$CB$3)</f>
        <v>7.6500000953674316</v>
      </c>
      <c r="BD41" s="566">
        <f>IF(ISNUMBER(System!$C41),PlotData!D41+ $BF$1*AD41,$CB$3)</f>
        <v>7.6500000953674316</v>
      </c>
      <c r="BE41" s="566">
        <f>IF(ISNUMBER(System!$C41),PlotData!E41+ $BF$1*AE41,$CB$3)</f>
        <v>7.6500000953674316</v>
      </c>
      <c r="BF41" s="566">
        <f>IF(ISNUMBER(System!$C41),PlotData!F41+ $BF$1*AF41,$CB$3)</f>
        <v>7.6500000953674316</v>
      </c>
      <c r="BG41" s="566">
        <f>IF(ISNUMBER(System!$C41),PlotData!G41+ $BF$1*AG41,$CB$3)</f>
        <v>7.6500000953674316</v>
      </c>
      <c r="BH41" s="566">
        <f>IF(ISNUMBER(System!$C41),PlotData!H41+ $BF$1*AH41,$CB$3)</f>
        <v>7.6500000953674316</v>
      </c>
      <c r="BI41" s="566">
        <f>IF(ISNUMBER(System!$C41),PlotData!I41+ $BF$1*AI41,$CB$3)</f>
        <v>7.6500000953674316</v>
      </c>
      <c r="BJ41" s="566">
        <f>IF(ISNUMBER(System!$C41),PlotData!J41+ $BF$1*AJ41,$CB$3)</f>
        <v>7.6500000953674316</v>
      </c>
      <c r="BK41" s="566">
        <f>IF(ISNUMBER(System!$C41),PlotData!K41+ $BF$1*AK41,$CB$3)</f>
        <v>7.6500000953674316</v>
      </c>
      <c r="BL41" s="567">
        <f>IF(ISNUMBER(System!$C41),PlotData!L41+ $BF$1*AL41,$CB$3)</f>
        <v>7.6500000953674316</v>
      </c>
      <c r="BM41" s="455"/>
      <c r="BN41" s="580">
        <v>38</v>
      </c>
      <c r="BO41" s="565">
        <f>IF(ISNUMBER(System!$C41),O41+ $BF$1*AO41,$CB$4)</f>
        <v>0.75</v>
      </c>
      <c r="BP41" s="566">
        <f>IF(ISNUMBER(System!$C41),P41+ $BF$1*AP41,$CB$4)</f>
        <v>0.75</v>
      </c>
      <c r="BQ41" s="566">
        <f>IF(ISNUMBER(System!$C41),Q41+ $BF$1*AQ41,$CB$4)</f>
        <v>0.75</v>
      </c>
      <c r="BR41" s="566">
        <f>IF(ISNUMBER(System!$C41),R41+ $BF$1*AR41,$CB$4)</f>
        <v>0.75</v>
      </c>
      <c r="BS41" s="566">
        <f>IF(ISNUMBER(System!$C41),S41+ $BF$1*AS41,$CB$4)</f>
        <v>0.75</v>
      </c>
      <c r="BT41" s="566">
        <f>IF(ISNUMBER(System!$C41),T41+ $BF$1*AT41,$CB$4)</f>
        <v>0.75</v>
      </c>
      <c r="BU41" s="566">
        <f>IF(ISNUMBER(System!$C41),U41+ $BF$1*AU41,$CB$4)</f>
        <v>0.75</v>
      </c>
      <c r="BV41" s="566">
        <f>IF(ISNUMBER(System!$C41),V41+ $BF$1*AV41,$CB$4)</f>
        <v>0.75</v>
      </c>
      <c r="BW41" s="566">
        <f>IF(ISNUMBER(System!$C41),W41+ $BF$1*AW41,$CB$4)</f>
        <v>0.75</v>
      </c>
      <c r="BX41" s="566">
        <f>IF(ISNUMBER(System!$C41),X41+ $BF$1*AX41,$CB$4)</f>
        <v>0.75</v>
      </c>
      <c r="BY41" s="567">
        <f>IF(ISNUMBER(System!$C41),Y41+ $BF$1*AY41,$CB$4)</f>
        <v>0.75</v>
      </c>
      <c r="BZ41" s="455"/>
    </row>
    <row r="42" spans="1:78" x14ac:dyDescent="0.35">
      <c r="A42" s="564">
        <v>39</v>
      </c>
      <c r="B42" s="581"/>
      <c r="C42" s="582"/>
      <c r="D42" s="582"/>
      <c r="E42" s="582"/>
      <c r="F42" s="582"/>
      <c r="G42" s="582"/>
      <c r="H42" s="582"/>
      <c r="I42" s="582"/>
      <c r="J42" s="582"/>
      <c r="K42" s="582"/>
      <c r="L42" s="583"/>
      <c r="M42" s="455"/>
      <c r="N42" s="564">
        <v>39</v>
      </c>
      <c r="O42" s="581"/>
      <c r="P42" s="582"/>
      <c r="Q42" s="582"/>
      <c r="R42" s="582"/>
      <c r="S42" s="582"/>
      <c r="T42" s="582"/>
      <c r="U42" s="582"/>
      <c r="V42" s="582"/>
      <c r="W42" s="582"/>
      <c r="X42" s="582"/>
      <c r="Y42" s="583"/>
      <c r="Z42" s="584"/>
      <c r="AA42" s="568">
        <v>39</v>
      </c>
      <c r="AB42" s="565"/>
      <c r="AC42" s="566"/>
      <c r="AD42" s="566"/>
      <c r="AE42" s="566"/>
      <c r="AF42" s="566"/>
      <c r="AG42" s="566"/>
      <c r="AH42" s="566"/>
      <c r="AI42" s="566"/>
      <c r="AJ42" s="566"/>
      <c r="AK42" s="566"/>
      <c r="AL42" s="567"/>
      <c r="AN42" s="568">
        <v>39</v>
      </c>
      <c r="AO42" s="565"/>
      <c r="AP42" s="566"/>
      <c r="AQ42" s="566"/>
      <c r="AR42" s="566"/>
      <c r="AS42" s="566"/>
      <c r="AT42" s="566"/>
      <c r="AU42" s="566"/>
      <c r="AV42" s="566"/>
      <c r="AW42" s="566"/>
      <c r="AX42" s="566"/>
      <c r="AY42" s="567"/>
      <c r="BA42" s="580">
        <v>39</v>
      </c>
      <c r="BB42" s="565">
        <f>IF(ISNUMBER(System!$C42),PlotData!B42+ $BF$1*AB42,$CB$3)</f>
        <v>7.6500000953674316</v>
      </c>
      <c r="BC42" s="566">
        <f>IF(ISNUMBER(System!$C42),PlotData!C42+ $BF$1*AC42,$CB$3)</f>
        <v>7.6500000953674316</v>
      </c>
      <c r="BD42" s="566">
        <f>IF(ISNUMBER(System!$C42),PlotData!D42+ $BF$1*AD42,$CB$3)</f>
        <v>7.6500000953674316</v>
      </c>
      <c r="BE42" s="566">
        <f>IF(ISNUMBER(System!$C42),PlotData!E42+ $BF$1*AE42,$CB$3)</f>
        <v>7.6500000953674316</v>
      </c>
      <c r="BF42" s="566">
        <f>IF(ISNUMBER(System!$C42),PlotData!F42+ $BF$1*AF42,$CB$3)</f>
        <v>7.6500000953674316</v>
      </c>
      <c r="BG42" s="566">
        <f>IF(ISNUMBER(System!$C42),PlotData!G42+ $BF$1*AG42,$CB$3)</f>
        <v>7.6500000953674316</v>
      </c>
      <c r="BH42" s="566">
        <f>IF(ISNUMBER(System!$C42),PlotData!H42+ $BF$1*AH42,$CB$3)</f>
        <v>7.6500000953674316</v>
      </c>
      <c r="BI42" s="566">
        <f>IF(ISNUMBER(System!$C42),PlotData!I42+ $BF$1*AI42,$CB$3)</f>
        <v>7.6500000953674316</v>
      </c>
      <c r="BJ42" s="566">
        <f>IF(ISNUMBER(System!$C42),PlotData!J42+ $BF$1*AJ42,$CB$3)</f>
        <v>7.6500000953674316</v>
      </c>
      <c r="BK42" s="566">
        <f>IF(ISNUMBER(System!$C42),PlotData!K42+ $BF$1*AK42,$CB$3)</f>
        <v>7.6500000953674316</v>
      </c>
      <c r="BL42" s="567">
        <f>IF(ISNUMBER(System!$C42),PlotData!L42+ $BF$1*AL42,$CB$3)</f>
        <v>7.6500000953674316</v>
      </c>
      <c r="BM42" s="455"/>
      <c r="BN42" s="580">
        <v>39</v>
      </c>
      <c r="BO42" s="565">
        <f>IF(ISNUMBER(System!$C42),O42+ $BF$1*AO42,$CB$4)</f>
        <v>0.75</v>
      </c>
      <c r="BP42" s="566">
        <f>IF(ISNUMBER(System!$C42),P42+ $BF$1*AP42,$CB$4)</f>
        <v>0.75</v>
      </c>
      <c r="BQ42" s="566">
        <f>IF(ISNUMBER(System!$C42),Q42+ $BF$1*AQ42,$CB$4)</f>
        <v>0.75</v>
      </c>
      <c r="BR42" s="566">
        <f>IF(ISNUMBER(System!$C42),R42+ $BF$1*AR42,$CB$4)</f>
        <v>0.75</v>
      </c>
      <c r="BS42" s="566">
        <f>IF(ISNUMBER(System!$C42),S42+ $BF$1*AS42,$CB$4)</f>
        <v>0.75</v>
      </c>
      <c r="BT42" s="566">
        <f>IF(ISNUMBER(System!$C42),T42+ $BF$1*AT42,$CB$4)</f>
        <v>0.75</v>
      </c>
      <c r="BU42" s="566">
        <f>IF(ISNUMBER(System!$C42),U42+ $BF$1*AU42,$CB$4)</f>
        <v>0.75</v>
      </c>
      <c r="BV42" s="566">
        <f>IF(ISNUMBER(System!$C42),V42+ $BF$1*AV42,$CB$4)</f>
        <v>0.75</v>
      </c>
      <c r="BW42" s="566">
        <f>IF(ISNUMBER(System!$C42),W42+ $BF$1*AW42,$CB$4)</f>
        <v>0.75</v>
      </c>
      <c r="BX42" s="566">
        <f>IF(ISNUMBER(System!$C42),X42+ $BF$1*AX42,$CB$4)</f>
        <v>0.75</v>
      </c>
      <c r="BY42" s="567">
        <f>IF(ISNUMBER(System!$C42),Y42+ $BF$1*AY42,$CB$4)</f>
        <v>0.75</v>
      </c>
      <c r="BZ42" s="455"/>
    </row>
    <row r="43" spans="1:78" ht="13.15" thickBot="1" x14ac:dyDescent="0.4">
      <c r="A43" s="587">
        <v>40</v>
      </c>
      <c r="B43" s="588"/>
      <c r="C43" s="589"/>
      <c r="D43" s="589"/>
      <c r="E43" s="589"/>
      <c r="F43" s="589"/>
      <c r="G43" s="589"/>
      <c r="H43" s="589"/>
      <c r="I43" s="589"/>
      <c r="J43" s="589"/>
      <c r="K43" s="589"/>
      <c r="L43" s="590"/>
      <c r="M43" s="455"/>
      <c r="N43" s="587">
        <v>40</v>
      </c>
      <c r="O43" s="588"/>
      <c r="P43" s="589"/>
      <c r="Q43" s="589"/>
      <c r="R43" s="589"/>
      <c r="S43" s="589"/>
      <c r="T43" s="589"/>
      <c r="U43" s="589"/>
      <c r="V43" s="589"/>
      <c r="W43" s="589"/>
      <c r="X43" s="589"/>
      <c r="Y43" s="590"/>
      <c r="Z43" s="584"/>
      <c r="AA43" s="591">
        <v>40</v>
      </c>
      <c r="AB43" s="507"/>
      <c r="AC43" s="503"/>
      <c r="AD43" s="503"/>
      <c r="AE43" s="503"/>
      <c r="AF43" s="503"/>
      <c r="AG43" s="503"/>
      <c r="AH43" s="503"/>
      <c r="AI43" s="503"/>
      <c r="AJ43" s="503"/>
      <c r="AK43" s="503"/>
      <c r="AL43" s="504"/>
      <c r="AN43" s="591">
        <v>40</v>
      </c>
      <c r="AO43" s="507"/>
      <c r="AP43" s="503"/>
      <c r="AQ43" s="503"/>
      <c r="AR43" s="503"/>
      <c r="AS43" s="503"/>
      <c r="AT43" s="503"/>
      <c r="AU43" s="503"/>
      <c r="AV43" s="503"/>
      <c r="AW43" s="503"/>
      <c r="AX43" s="503"/>
      <c r="AY43" s="504"/>
      <c r="BA43" s="592">
        <v>40</v>
      </c>
      <c r="BB43" s="507">
        <f>IF(ISNUMBER(System!$C43),PlotData!B43+ $BF$1*AB43,$CB$3)</f>
        <v>7.6500000953674316</v>
      </c>
      <c r="BC43" s="503">
        <f>IF(ISNUMBER(System!$C43),PlotData!C43+ $BF$1*AC43,$CB$3)</f>
        <v>7.6500000953674316</v>
      </c>
      <c r="BD43" s="503">
        <f>IF(ISNUMBER(System!$C43),PlotData!D43+ $BF$1*AD43,$CB$3)</f>
        <v>7.6500000953674316</v>
      </c>
      <c r="BE43" s="503">
        <f>IF(ISNUMBER(System!$C43),PlotData!E43+ $BF$1*AE43,$CB$3)</f>
        <v>7.6500000953674316</v>
      </c>
      <c r="BF43" s="503">
        <f>IF(ISNUMBER(System!$C43),PlotData!F43+ $BF$1*AF43,$CB$3)</f>
        <v>7.6500000953674316</v>
      </c>
      <c r="BG43" s="503">
        <f>IF(ISNUMBER(System!$C43),PlotData!G43+ $BF$1*AG43,$CB$3)</f>
        <v>7.6500000953674316</v>
      </c>
      <c r="BH43" s="503">
        <f>IF(ISNUMBER(System!$C43),PlotData!H43+ $BF$1*AH43,$CB$3)</f>
        <v>7.6500000953674316</v>
      </c>
      <c r="BI43" s="503">
        <f>IF(ISNUMBER(System!$C43),PlotData!I43+ $BF$1*AI43,$CB$3)</f>
        <v>7.6500000953674316</v>
      </c>
      <c r="BJ43" s="503">
        <f>IF(ISNUMBER(System!$C43),PlotData!J43+ $BF$1*AJ43,$CB$3)</f>
        <v>7.6500000953674316</v>
      </c>
      <c r="BK43" s="503">
        <f>IF(ISNUMBER(System!$C43),PlotData!K43+ $BF$1*AK43,$CB$3)</f>
        <v>7.6500000953674316</v>
      </c>
      <c r="BL43" s="504">
        <f>IF(ISNUMBER(System!$C43),PlotData!L43+ $BF$1*AL43,$CB$3)</f>
        <v>7.6500000953674316</v>
      </c>
      <c r="BM43" s="455"/>
      <c r="BN43" s="592">
        <v>40</v>
      </c>
      <c r="BO43" s="507">
        <f>IF(ISNUMBER(System!$C43),O43+ $BF$1*AO43,$CB$4)</f>
        <v>0.75</v>
      </c>
      <c r="BP43" s="503">
        <f>IF(ISNUMBER(System!$C43),P43+ $BF$1*AP43,$CB$4)</f>
        <v>0.75</v>
      </c>
      <c r="BQ43" s="503">
        <f>IF(ISNUMBER(System!$C43),Q43+ $BF$1*AQ43,$CB$4)</f>
        <v>0.75</v>
      </c>
      <c r="BR43" s="503">
        <f>IF(ISNUMBER(System!$C43),R43+ $BF$1*AR43,$CB$4)</f>
        <v>0.75</v>
      </c>
      <c r="BS43" s="503">
        <f>IF(ISNUMBER(System!$C43),S43+ $BF$1*AS43,$CB$4)</f>
        <v>0.75</v>
      </c>
      <c r="BT43" s="503">
        <f>IF(ISNUMBER(System!$C43),T43+ $BF$1*AT43,$CB$4)</f>
        <v>0.75</v>
      </c>
      <c r="BU43" s="503">
        <f>IF(ISNUMBER(System!$C43),U43+ $BF$1*AU43,$CB$4)</f>
        <v>0.75</v>
      </c>
      <c r="BV43" s="503">
        <f>IF(ISNUMBER(System!$C43),V43+ $BF$1*AV43,$CB$4)</f>
        <v>0.75</v>
      </c>
      <c r="BW43" s="503">
        <f>IF(ISNUMBER(System!$C43),W43+ $BF$1*AW43,$CB$4)</f>
        <v>0.75</v>
      </c>
      <c r="BX43" s="503">
        <f>IF(ISNUMBER(System!$C43),X43+ $BF$1*AX43,$CB$4)</f>
        <v>0.75</v>
      </c>
      <c r="BY43" s="504">
        <f>IF(ISNUMBER(System!$C43),Y43+ $BF$1*AY43,$CB$4)</f>
        <v>0.75</v>
      </c>
      <c r="BZ43" s="455"/>
    </row>
    <row r="44" spans="1:78" x14ac:dyDescent="0.35">
      <c r="A44" s="455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584"/>
      <c r="BM44" s="455"/>
      <c r="BN44" s="593"/>
      <c r="BO44" s="455"/>
      <c r="BP44" s="455"/>
      <c r="BQ44" s="455"/>
      <c r="BR44" s="455"/>
      <c r="BS44" s="455"/>
      <c r="BT44" s="455"/>
      <c r="BU44" s="455"/>
      <c r="BV44" s="455"/>
      <c r="BW44" s="455"/>
      <c r="BX44" s="455"/>
      <c r="BY44" s="455"/>
      <c r="BZ44" s="455"/>
    </row>
    <row r="45" spans="1:78" x14ac:dyDescent="0.35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584"/>
      <c r="BM45" s="455"/>
      <c r="BN45" s="455"/>
      <c r="BO45" s="455"/>
      <c r="BP45" s="455"/>
      <c r="BQ45" s="455"/>
      <c r="BR45" s="455"/>
      <c r="BS45" s="455"/>
      <c r="BT45" s="455"/>
      <c r="BU45" s="455"/>
      <c r="BV45" s="455"/>
      <c r="BW45" s="455"/>
      <c r="BX45" s="455"/>
      <c r="BY45" s="455"/>
      <c r="BZ45" s="455"/>
    </row>
    <row r="46" spans="1:78" x14ac:dyDescent="0.35">
      <c r="A46" s="455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594"/>
      <c r="BM46" s="455"/>
      <c r="BN46" s="455"/>
      <c r="BO46" s="455"/>
      <c r="BP46" s="455"/>
      <c r="BQ46" s="455"/>
      <c r="BR46" s="455"/>
      <c r="BS46" s="455"/>
      <c r="BT46" s="455"/>
      <c r="BU46" s="455"/>
      <c r="BV46" s="455"/>
      <c r="BW46" s="455"/>
      <c r="BX46" s="455"/>
      <c r="BY46" s="455"/>
      <c r="BZ46" s="455"/>
    </row>
    <row r="47" spans="1:78" x14ac:dyDescent="0.35">
      <c r="A47" s="455"/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594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594"/>
      <c r="BA47" s="455"/>
      <c r="BB47" s="455"/>
    </row>
    <row r="48" spans="1:78" x14ac:dyDescent="0.35">
      <c r="A48" s="455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584"/>
    </row>
    <row r="49" spans="1:33" x14ac:dyDescent="0.35">
      <c r="A49" s="455"/>
      <c r="B49" s="595"/>
      <c r="C49" s="595"/>
      <c r="D49" s="455"/>
      <c r="E49" s="595"/>
      <c r="F49" s="455"/>
      <c r="G49" s="455"/>
      <c r="H49" s="595"/>
      <c r="I49" s="455"/>
      <c r="J49" s="455"/>
      <c r="K49" s="455"/>
      <c r="L49" s="455"/>
      <c r="M49" s="455"/>
      <c r="N49" s="455"/>
      <c r="O49" s="455"/>
      <c r="P49" s="455"/>
      <c r="Q49" s="455"/>
      <c r="R49" s="595"/>
      <c r="S49" s="455"/>
      <c r="T49" s="455"/>
      <c r="U49" s="455"/>
      <c r="V49" s="455"/>
      <c r="W49" s="455"/>
      <c r="X49" s="455"/>
      <c r="Y49" s="455"/>
      <c r="Z49" s="584"/>
    </row>
    <row r="50" spans="1:33" x14ac:dyDescent="0.35">
      <c r="A50" s="595"/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595"/>
      <c r="R50" s="455"/>
      <c r="S50" s="455"/>
      <c r="T50" s="455"/>
      <c r="U50" s="455"/>
      <c r="V50" s="455"/>
      <c r="W50" s="455"/>
      <c r="X50" s="455"/>
      <c r="Y50" s="455"/>
      <c r="Z50" s="584"/>
    </row>
    <row r="51" spans="1:33" x14ac:dyDescent="0.35">
      <c r="A51" s="455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59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584"/>
      <c r="AA51" s="455"/>
      <c r="AB51" s="455"/>
      <c r="AC51" s="455"/>
      <c r="AD51" s="455"/>
      <c r="AE51" s="455"/>
      <c r="AF51" s="455"/>
      <c r="AG51" s="455"/>
    </row>
    <row r="52" spans="1:33" x14ac:dyDescent="0.35">
      <c r="A52" s="455"/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59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584"/>
      <c r="AA52" s="455"/>
      <c r="AB52" s="455"/>
      <c r="AC52" s="455"/>
      <c r="AD52" s="455"/>
      <c r="AE52" s="455"/>
      <c r="AF52" s="455"/>
      <c r="AG52" s="455"/>
    </row>
    <row r="53" spans="1:33" x14ac:dyDescent="0.35">
      <c r="A53" s="455"/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59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584"/>
      <c r="AA53" s="455"/>
      <c r="AB53" s="455"/>
      <c r="AC53" s="455"/>
      <c r="AD53" s="455"/>
      <c r="AE53" s="455"/>
      <c r="AF53" s="455"/>
      <c r="AG53" s="455"/>
    </row>
    <row r="54" spans="1:33" x14ac:dyDescent="0.35">
      <c r="A54" s="455"/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59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584"/>
      <c r="AA54" s="455"/>
      <c r="AB54" s="455"/>
      <c r="AC54" s="455"/>
      <c r="AD54" s="455"/>
      <c r="AE54" s="455"/>
      <c r="AF54" s="455"/>
      <c r="AG54" s="455"/>
    </row>
    <row r="55" spans="1:33" x14ac:dyDescent="0.35">
      <c r="A55" s="455"/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59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584"/>
      <c r="AA55" s="455"/>
      <c r="AB55" s="455"/>
      <c r="AC55" s="455"/>
      <c r="AD55" s="455"/>
      <c r="AE55" s="455"/>
      <c r="AF55" s="455"/>
      <c r="AG55" s="455"/>
    </row>
    <row r="56" spans="1:33" x14ac:dyDescent="0.35">
      <c r="A56" s="455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59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584"/>
      <c r="AA56" s="455"/>
      <c r="AB56" s="455"/>
      <c r="AC56" s="455"/>
      <c r="AD56" s="455"/>
      <c r="AE56" s="455"/>
      <c r="AF56" s="455"/>
      <c r="AG56" s="455"/>
    </row>
    <row r="57" spans="1:33" x14ac:dyDescent="0.35">
      <c r="A57" s="455"/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59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584"/>
      <c r="AA57" s="455"/>
      <c r="AB57" s="455"/>
      <c r="AC57" s="455"/>
      <c r="AD57" s="455"/>
      <c r="AE57" s="455"/>
      <c r="AF57" s="455"/>
      <c r="AG57" s="455"/>
    </row>
    <row r="58" spans="1:33" x14ac:dyDescent="0.35">
      <c r="A58" s="455"/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59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584"/>
      <c r="AA58" s="455"/>
      <c r="AB58" s="455"/>
      <c r="AC58" s="455"/>
      <c r="AD58" s="455"/>
      <c r="AE58" s="455"/>
      <c r="AF58" s="455"/>
      <c r="AG58" s="455"/>
    </row>
    <row r="59" spans="1:33" x14ac:dyDescent="0.35">
      <c r="A59" s="455"/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59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584"/>
      <c r="AA59" s="455"/>
      <c r="AB59" s="455"/>
      <c r="AC59" s="455"/>
      <c r="AD59" s="455"/>
      <c r="AE59" s="455"/>
      <c r="AF59" s="455"/>
      <c r="AG59" s="455"/>
    </row>
    <row r="60" spans="1:33" x14ac:dyDescent="0.35">
      <c r="A60" s="455"/>
      <c r="B60" s="455"/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59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584"/>
      <c r="AA60" s="455"/>
      <c r="AB60" s="455"/>
      <c r="AC60" s="455"/>
      <c r="AD60" s="455"/>
      <c r="AE60" s="455"/>
      <c r="AF60" s="455"/>
      <c r="AG60" s="455"/>
    </row>
    <row r="61" spans="1:33" x14ac:dyDescent="0.35">
      <c r="A61" s="455"/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59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584"/>
      <c r="AA61" s="455"/>
      <c r="AB61" s="455"/>
      <c r="AC61" s="455"/>
      <c r="AD61" s="455"/>
      <c r="AE61" s="455"/>
      <c r="AF61" s="455"/>
      <c r="AG61" s="455"/>
    </row>
    <row r="62" spans="1:33" x14ac:dyDescent="0.35">
      <c r="A62" s="455"/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59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584"/>
      <c r="AA62" s="455"/>
      <c r="AB62" s="455"/>
      <c r="AC62" s="455"/>
      <c r="AD62" s="455"/>
      <c r="AE62" s="455"/>
      <c r="AF62" s="455"/>
      <c r="AG62" s="455"/>
    </row>
    <row r="63" spans="1:33" x14ac:dyDescent="0.35">
      <c r="A63" s="455"/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59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584"/>
      <c r="AA63" s="455"/>
      <c r="AB63" s="455"/>
      <c r="AC63" s="455"/>
      <c r="AD63" s="455"/>
      <c r="AE63" s="455"/>
      <c r="AF63" s="455"/>
      <c r="AG63" s="455"/>
    </row>
    <row r="64" spans="1:33" x14ac:dyDescent="0.35">
      <c r="A64" s="455"/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59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584"/>
      <c r="AA64" s="455"/>
      <c r="AB64" s="455"/>
      <c r="AC64" s="455"/>
      <c r="AD64" s="455"/>
      <c r="AE64" s="455"/>
      <c r="AF64" s="455"/>
      <c r="AG64" s="455"/>
    </row>
    <row r="65" spans="1:33" x14ac:dyDescent="0.35">
      <c r="A65" s="455"/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59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584"/>
      <c r="AA65" s="455"/>
      <c r="AB65" s="455"/>
      <c r="AC65" s="455"/>
      <c r="AD65" s="455"/>
      <c r="AE65" s="455"/>
      <c r="AF65" s="455"/>
      <c r="AG65" s="455"/>
    </row>
    <row r="66" spans="1:33" x14ac:dyDescent="0.35">
      <c r="A66" s="455"/>
      <c r="B66" s="45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59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584"/>
      <c r="AA66" s="455"/>
      <c r="AB66" s="455"/>
      <c r="AC66" s="455"/>
      <c r="AD66" s="455"/>
      <c r="AE66" s="455"/>
      <c r="AF66" s="455"/>
      <c r="AG66" s="455"/>
    </row>
    <row r="67" spans="1:33" x14ac:dyDescent="0.35">
      <c r="A67" s="455"/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59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584"/>
      <c r="AA67" s="455"/>
      <c r="AB67" s="455"/>
      <c r="AC67" s="455"/>
      <c r="AD67" s="455"/>
      <c r="AE67" s="455"/>
      <c r="AF67" s="455"/>
      <c r="AG67" s="455"/>
    </row>
    <row r="68" spans="1:33" x14ac:dyDescent="0.35">
      <c r="A68" s="455"/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59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584"/>
      <c r="AA68" s="455"/>
      <c r="AB68" s="455"/>
      <c r="AC68" s="455"/>
      <c r="AD68" s="455"/>
      <c r="AE68" s="455"/>
      <c r="AF68" s="455"/>
      <c r="AG68" s="455"/>
    </row>
    <row r="69" spans="1:33" x14ac:dyDescent="0.35">
      <c r="A69" s="455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59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584"/>
      <c r="AA69" s="455"/>
      <c r="AB69" s="455"/>
      <c r="AC69" s="455"/>
      <c r="AD69" s="455"/>
      <c r="AE69" s="455"/>
      <c r="AF69" s="455"/>
      <c r="AG69" s="455"/>
    </row>
    <row r="70" spans="1:33" x14ac:dyDescent="0.35">
      <c r="A70" s="455"/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59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584"/>
      <c r="AA70" s="455"/>
      <c r="AB70" s="455"/>
      <c r="AC70" s="455"/>
      <c r="AD70" s="455"/>
      <c r="AE70" s="455"/>
      <c r="AF70" s="455"/>
      <c r="AG70" s="455"/>
    </row>
    <row r="71" spans="1:33" x14ac:dyDescent="0.35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584"/>
      <c r="AA71" s="455"/>
      <c r="AB71" s="455"/>
      <c r="AC71" s="455"/>
      <c r="AD71" s="455"/>
      <c r="AE71" s="455"/>
      <c r="AF71" s="455"/>
      <c r="AG71" s="455"/>
    </row>
    <row r="72" spans="1:33" x14ac:dyDescent="0.35">
      <c r="A72" s="455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584"/>
      <c r="AA72" s="455"/>
      <c r="AB72" s="455"/>
      <c r="AC72" s="455"/>
      <c r="AD72" s="455"/>
      <c r="AE72" s="455"/>
      <c r="AF72" s="455"/>
      <c r="AG72" s="455"/>
    </row>
    <row r="73" spans="1:33" x14ac:dyDescent="0.35">
      <c r="A73" s="455"/>
      <c r="B73" s="59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584"/>
      <c r="AA73" s="455"/>
      <c r="AB73" s="455"/>
      <c r="AC73" s="455"/>
      <c r="AD73" s="455"/>
      <c r="AE73" s="455"/>
      <c r="AF73" s="455"/>
      <c r="AG73" s="455"/>
    </row>
    <row r="74" spans="1:33" x14ac:dyDescent="0.35">
      <c r="A74" s="59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595"/>
      <c r="R74" s="455"/>
      <c r="S74" s="455"/>
      <c r="T74" s="455"/>
      <c r="U74" s="455"/>
      <c r="V74" s="455"/>
      <c r="W74" s="455"/>
      <c r="X74" s="455"/>
      <c r="Y74" s="455"/>
      <c r="Z74" s="584"/>
      <c r="AA74" s="455"/>
      <c r="AB74" s="455"/>
      <c r="AC74" s="455"/>
      <c r="AD74" s="455"/>
      <c r="AE74" s="455"/>
      <c r="AF74" s="455"/>
      <c r="AG74" s="455"/>
    </row>
    <row r="75" spans="1:33" x14ac:dyDescent="0.35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584"/>
      <c r="AA75" s="455"/>
      <c r="AB75" s="455"/>
      <c r="AC75" s="455"/>
      <c r="AD75" s="455"/>
      <c r="AE75" s="455"/>
      <c r="AF75" s="455"/>
      <c r="AG75" s="455"/>
    </row>
    <row r="76" spans="1:33" x14ac:dyDescent="0.35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584"/>
      <c r="AA76" s="455"/>
      <c r="AB76" s="455"/>
      <c r="AC76" s="455"/>
      <c r="AD76" s="455"/>
      <c r="AE76" s="455"/>
      <c r="AF76" s="455"/>
      <c r="AG76" s="455"/>
    </row>
    <row r="77" spans="1:33" x14ac:dyDescent="0.35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584"/>
      <c r="AA77" s="455"/>
      <c r="AB77" s="455"/>
      <c r="AC77" s="455"/>
      <c r="AD77" s="455"/>
      <c r="AE77" s="455"/>
      <c r="AF77" s="455"/>
      <c r="AG77" s="455"/>
    </row>
    <row r="78" spans="1:33" x14ac:dyDescent="0.35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584"/>
      <c r="AA78" s="455"/>
      <c r="AB78" s="455"/>
      <c r="AC78" s="455"/>
      <c r="AD78" s="455"/>
      <c r="AE78" s="455"/>
      <c r="AF78" s="455"/>
      <c r="AG78" s="455"/>
    </row>
    <row r="79" spans="1:33" x14ac:dyDescent="0.3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584"/>
      <c r="AA79" s="455"/>
      <c r="AB79" s="455"/>
      <c r="AC79" s="455"/>
      <c r="AD79" s="455"/>
      <c r="AE79" s="455"/>
      <c r="AF79" s="455"/>
      <c r="AG79" s="455"/>
    </row>
    <row r="80" spans="1:33" x14ac:dyDescent="0.35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584"/>
      <c r="AA80" s="455"/>
      <c r="AB80" s="455"/>
      <c r="AC80" s="455"/>
      <c r="AD80" s="455"/>
      <c r="AE80" s="455"/>
      <c r="AF80" s="455"/>
      <c r="AG80" s="455"/>
    </row>
    <row r="81" spans="1:33" x14ac:dyDescent="0.35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584"/>
      <c r="AA81" s="455"/>
      <c r="AB81" s="455"/>
      <c r="AC81" s="455"/>
      <c r="AD81" s="455"/>
      <c r="AE81" s="455"/>
      <c r="AF81" s="455"/>
      <c r="AG81" s="455"/>
    </row>
    <row r="82" spans="1:33" x14ac:dyDescent="0.35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584"/>
      <c r="AA82" s="455"/>
      <c r="AB82" s="455"/>
      <c r="AC82" s="455"/>
      <c r="AD82" s="455"/>
      <c r="AE82" s="455"/>
      <c r="AF82" s="455"/>
      <c r="AG82" s="455"/>
    </row>
    <row r="83" spans="1:33" x14ac:dyDescent="0.3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584"/>
      <c r="AA83" s="455"/>
      <c r="AB83" s="455"/>
      <c r="AC83" s="455"/>
      <c r="AD83" s="455"/>
      <c r="AE83" s="455"/>
      <c r="AF83" s="455"/>
      <c r="AG83" s="455"/>
    </row>
    <row r="84" spans="1:33" x14ac:dyDescent="0.35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584"/>
      <c r="AA84" s="455"/>
      <c r="AB84" s="455"/>
      <c r="AC84" s="455"/>
      <c r="AD84" s="455"/>
      <c r="AE84" s="455"/>
      <c r="AF84" s="455"/>
      <c r="AG84" s="455"/>
    </row>
    <row r="85" spans="1:33" x14ac:dyDescent="0.3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584"/>
      <c r="AA85" s="455"/>
      <c r="AB85" s="455"/>
      <c r="AC85" s="455"/>
      <c r="AD85" s="455"/>
      <c r="AE85" s="455"/>
      <c r="AF85" s="455"/>
      <c r="AG85" s="455"/>
    </row>
    <row r="86" spans="1:33" x14ac:dyDescent="0.35">
      <c r="A86" s="455"/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584"/>
      <c r="AA86" s="455"/>
      <c r="AB86" s="455"/>
      <c r="AC86" s="455"/>
      <c r="AD86" s="455"/>
      <c r="AE86" s="455"/>
      <c r="AF86" s="455"/>
      <c r="AG86" s="455"/>
    </row>
    <row r="87" spans="1:33" x14ac:dyDescent="0.35">
      <c r="A87" s="455"/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584"/>
      <c r="AA87" s="455"/>
      <c r="AB87" s="455"/>
      <c r="AC87" s="455"/>
      <c r="AD87" s="455"/>
      <c r="AE87" s="455"/>
      <c r="AF87" s="455"/>
      <c r="AG87" s="455"/>
    </row>
    <row r="88" spans="1:33" x14ac:dyDescent="0.35">
      <c r="A88" s="455"/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584"/>
      <c r="AA88" s="455"/>
      <c r="AB88" s="455"/>
      <c r="AC88" s="455"/>
      <c r="AD88" s="455"/>
      <c r="AE88" s="455"/>
      <c r="AF88" s="455"/>
      <c r="AG88" s="455"/>
    </row>
    <row r="89" spans="1:33" x14ac:dyDescent="0.35">
      <c r="A89" s="455"/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584"/>
      <c r="AA89" s="455"/>
      <c r="AB89" s="455"/>
      <c r="AC89" s="455"/>
      <c r="AD89" s="455"/>
      <c r="AE89" s="455"/>
      <c r="AF89" s="455"/>
      <c r="AG89" s="455"/>
    </row>
    <row r="90" spans="1:33" x14ac:dyDescent="0.35">
      <c r="A90" s="455"/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584"/>
      <c r="AA90" s="455"/>
      <c r="AB90" s="455"/>
      <c r="AC90" s="455"/>
      <c r="AD90" s="455"/>
      <c r="AE90" s="455"/>
      <c r="AF90" s="455"/>
      <c r="AG90" s="455"/>
    </row>
    <row r="91" spans="1:33" x14ac:dyDescent="0.3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584"/>
      <c r="AA91" s="455"/>
      <c r="AB91" s="455"/>
      <c r="AC91" s="455"/>
      <c r="AD91" s="455"/>
      <c r="AE91" s="455"/>
      <c r="AF91" s="455"/>
      <c r="AG91" s="455"/>
    </row>
    <row r="92" spans="1:33" x14ac:dyDescent="0.35">
      <c r="A92" s="455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584"/>
      <c r="AA92" s="455"/>
      <c r="AB92" s="455"/>
      <c r="AC92" s="455"/>
      <c r="AD92" s="455"/>
      <c r="AE92" s="455"/>
      <c r="AF92" s="455"/>
      <c r="AG92" s="455"/>
    </row>
    <row r="93" spans="1:33" x14ac:dyDescent="0.35">
      <c r="A93" s="455"/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584"/>
      <c r="AA93" s="455"/>
      <c r="AB93" s="455"/>
      <c r="AC93" s="455"/>
      <c r="AD93" s="455"/>
      <c r="AE93" s="455"/>
      <c r="AF93" s="455"/>
      <c r="AG93" s="455"/>
    </row>
    <row r="94" spans="1:33" x14ac:dyDescent="0.35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584"/>
      <c r="AA94" s="455"/>
      <c r="AB94" s="455"/>
      <c r="AC94" s="455"/>
      <c r="AD94" s="455"/>
      <c r="AE94" s="455"/>
      <c r="AF94" s="455"/>
      <c r="AG94" s="455"/>
    </row>
    <row r="95" spans="1:33" x14ac:dyDescent="0.35">
      <c r="A95" s="455"/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584"/>
      <c r="AA95" s="455"/>
      <c r="AB95" s="455"/>
      <c r="AC95" s="455"/>
      <c r="AD95" s="455"/>
      <c r="AE95" s="455"/>
      <c r="AF95" s="455"/>
      <c r="AG95" s="455"/>
    </row>
    <row r="96" spans="1:33" x14ac:dyDescent="0.35">
      <c r="A96" s="455"/>
      <c r="B96" s="595"/>
      <c r="C96" s="595"/>
      <c r="D96" s="455"/>
      <c r="E96" s="595"/>
      <c r="F96" s="455"/>
      <c r="G96" s="455"/>
      <c r="H96" s="595"/>
      <c r="I96" s="455"/>
      <c r="J96" s="455"/>
      <c r="K96" s="455"/>
      <c r="L96" s="455"/>
      <c r="M96" s="455"/>
      <c r="N96" s="455"/>
      <c r="O96" s="455"/>
      <c r="P96" s="455"/>
      <c r="Q96" s="455"/>
      <c r="R96" s="595"/>
      <c r="S96" s="455"/>
      <c r="T96" s="455"/>
      <c r="U96" s="455"/>
      <c r="V96" s="455"/>
      <c r="W96" s="455"/>
      <c r="X96" s="455"/>
      <c r="Y96" s="455"/>
      <c r="Z96" s="584"/>
      <c r="AA96" s="455"/>
      <c r="AB96" s="455"/>
      <c r="AC96" s="455"/>
      <c r="AD96" s="455"/>
      <c r="AE96" s="455"/>
      <c r="AF96" s="455"/>
      <c r="AG96" s="455"/>
    </row>
    <row r="97" spans="1:33" x14ac:dyDescent="0.35">
      <c r="A97" s="595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595"/>
      <c r="R97" s="455"/>
      <c r="S97" s="455"/>
      <c r="T97" s="455"/>
      <c r="U97" s="455"/>
      <c r="V97" s="455"/>
      <c r="W97" s="455"/>
      <c r="X97" s="455"/>
      <c r="Y97" s="455"/>
      <c r="Z97" s="584"/>
      <c r="AA97" s="455"/>
      <c r="AB97" s="455"/>
      <c r="AC97" s="455"/>
      <c r="AD97" s="455"/>
      <c r="AE97" s="455"/>
      <c r="AF97" s="455"/>
      <c r="AG97" s="455"/>
    </row>
    <row r="98" spans="1:33" x14ac:dyDescent="0.35">
      <c r="A98" s="455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59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584"/>
      <c r="AA98" s="455"/>
      <c r="AB98" s="455"/>
      <c r="AC98" s="455"/>
      <c r="AD98" s="455"/>
      <c r="AE98" s="455"/>
      <c r="AF98" s="455"/>
      <c r="AG98" s="455"/>
    </row>
    <row r="99" spans="1:33" x14ac:dyDescent="0.35">
      <c r="A99" s="455"/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59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584"/>
      <c r="AA99" s="455"/>
      <c r="AB99" s="455"/>
      <c r="AC99" s="455"/>
      <c r="AD99" s="455"/>
      <c r="AE99" s="455"/>
      <c r="AF99" s="455"/>
      <c r="AG99" s="455"/>
    </row>
    <row r="100" spans="1:33" x14ac:dyDescent="0.35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59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584"/>
      <c r="AA100" s="455"/>
      <c r="AB100" s="455"/>
      <c r="AC100" s="455"/>
      <c r="AD100" s="455"/>
      <c r="AE100" s="455"/>
      <c r="AF100" s="455"/>
      <c r="AG100" s="455"/>
    </row>
    <row r="101" spans="1:33" x14ac:dyDescent="0.35">
      <c r="A101" s="455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59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584"/>
      <c r="AA101" s="455"/>
      <c r="AB101" s="455"/>
      <c r="AC101" s="455"/>
      <c r="AD101" s="455"/>
      <c r="AE101" s="455"/>
      <c r="AF101" s="455"/>
      <c r="AG101" s="455"/>
    </row>
    <row r="102" spans="1:33" x14ac:dyDescent="0.35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59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584"/>
      <c r="AA102" s="455"/>
      <c r="AB102" s="455"/>
      <c r="AC102" s="455"/>
      <c r="AD102" s="455"/>
      <c r="AE102" s="455"/>
      <c r="AF102" s="455"/>
      <c r="AG102" s="455"/>
    </row>
    <row r="103" spans="1:33" x14ac:dyDescent="0.35">
      <c r="A103" s="455"/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59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584"/>
      <c r="AA103" s="455"/>
      <c r="AB103" s="455"/>
      <c r="AC103" s="455"/>
      <c r="AD103" s="455"/>
      <c r="AE103" s="455"/>
      <c r="AF103" s="455"/>
      <c r="AG103" s="455"/>
    </row>
    <row r="104" spans="1:33" x14ac:dyDescent="0.35">
      <c r="A104" s="455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59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584"/>
      <c r="AA104" s="455"/>
      <c r="AB104" s="455"/>
      <c r="AC104" s="455"/>
      <c r="AD104" s="455"/>
      <c r="AE104" s="455"/>
      <c r="AF104" s="455"/>
      <c r="AG104" s="455"/>
    </row>
    <row r="105" spans="1:33" x14ac:dyDescent="0.35">
      <c r="A105" s="455"/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59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584"/>
      <c r="AA105" s="455"/>
      <c r="AB105" s="455"/>
      <c r="AC105" s="455"/>
      <c r="AD105" s="455"/>
      <c r="AE105" s="455"/>
      <c r="AF105" s="455"/>
      <c r="AG105" s="455"/>
    </row>
    <row r="106" spans="1:33" x14ac:dyDescent="0.35">
      <c r="A106" s="455"/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59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584"/>
      <c r="AA106" s="455"/>
      <c r="AB106" s="455"/>
      <c r="AC106" s="455"/>
      <c r="AD106" s="455"/>
      <c r="AE106" s="455"/>
      <c r="AF106" s="455"/>
      <c r="AG106" s="455"/>
    </row>
    <row r="107" spans="1:33" x14ac:dyDescent="0.35">
      <c r="A107" s="455"/>
      <c r="B107" s="455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59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584"/>
      <c r="AA107" s="455"/>
      <c r="AB107" s="455"/>
      <c r="AC107" s="455"/>
      <c r="AD107" s="455"/>
      <c r="AE107" s="455"/>
      <c r="AF107" s="455"/>
      <c r="AG107" s="455"/>
    </row>
    <row r="108" spans="1:33" x14ac:dyDescent="0.35">
      <c r="A108" s="455"/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59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584"/>
      <c r="AA108" s="455"/>
      <c r="AB108" s="455"/>
      <c r="AC108" s="455"/>
      <c r="AD108" s="455"/>
      <c r="AE108" s="455"/>
      <c r="AF108" s="455"/>
      <c r="AG108" s="455"/>
    </row>
    <row r="109" spans="1:33" x14ac:dyDescent="0.35">
      <c r="A109" s="455"/>
      <c r="B109" s="455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59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584"/>
      <c r="AA109" s="455"/>
      <c r="AB109" s="455"/>
      <c r="AC109" s="455"/>
      <c r="AD109" s="455"/>
      <c r="AE109" s="455"/>
      <c r="AF109" s="455"/>
      <c r="AG109" s="455"/>
    </row>
    <row r="110" spans="1:33" x14ac:dyDescent="0.35">
      <c r="A110" s="455"/>
      <c r="B110" s="455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59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584"/>
      <c r="AA110" s="455"/>
      <c r="AB110" s="455"/>
      <c r="AC110" s="455"/>
      <c r="AD110" s="455"/>
      <c r="AE110" s="455"/>
      <c r="AF110" s="455"/>
      <c r="AG110" s="455"/>
    </row>
    <row r="111" spans="1:33" x14ac:dyDescent="0.35">
      <c r="A111" s="455"/>
      <c r="B111" s="455"/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59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584"/>
      <c r="AA111" s="455"/>
      <c r="AB111" s="455"/>
      <c r="AC111" s="455"/>
      <c r="AD111" s="455"/>
      <c r="AE111" s="455"/>
      <c r="AF111" s="455"/>
      <c r="AG111" s="455"/>
    </row>
    <row r="112" spans="1:33" x14ac:dyDescent="0.35">
      <c r="A112" s="455"/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59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584"/>
      <c r="AA112" s="455"/>
      <c r="AB112" s="455"/>
      <c r="AC112" s="455"/>
      <c r="AD112" s="455"/>
      <c r="AE112" s="455"/>
      <c r="AF112" s="455"/>
      <c r="AG112" s="455"/>
    </row>
    <row r="113" spans="1:33" x14ac:dyDescent="0.35">
      <c r="A113" s="455"/>
      <c r="B113" s="455"/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59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584"/>
      <c r="AA113" s="455"/>
      <c r="AB113" s="455"/>
      <c r="AC113" s="455"/>
      <c r="AD113" s="455"/>
      <c r="AE113" s="455"/>
      <c r="AF113" s="455"/>
      <c r="AG113" s="455"/>
    </row>
    <row r="114" spans="1:33" x14ac:dyDescent="0.35">
      <c r="A114" s="455"/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59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584"/>
      <c r="AA114" s="455"/>
      <c r="AB114" s="455"/>
      <c r="AC114" s="455"/>
      <c r="AD114" s="455"/>
      <c r="AE114" s="455"/>
      <c r="AF114" s="455"/>
      <c r="AG114" s="455"/>
    </row>
    <row r="115" spans="1:33" x14ac:dyDescent="0.35">
      <c r="A115" s="455"/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59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584"/>
      <c r="AA115" s="455"/>
      <c r="AB115" s="455"/>
      <c r="AC115" s="455"/>
      <c r="AD115" s="455"/>
      <c r="AE115" s="455"/>
      <c r="AF115" s="455"/>
      <c r="AG115" s="455"/>
    </row>
    <row r="116" spans="1:33" x14ac:dyDescent="0.35">
      <c r="A116" s="455"/>
      <c r="B116" s="455"/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59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584"/>
      <c r="AA116" s="455"/>
      <c r="AB116" s="455"/>
      <c r="AC116" s="455"/>
      <c r="AD116" s="455"/>
      <c r="AE116" s="455"/>
      <c r="AF116" s="455"/>
      <c r="AG116" s="455"/>
    </row>
    <row r="117" spans="1:33" x14ac:dyDescent="0.35">
      <c r="A117" s="455"/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59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584"/>
      <c r="AA117" s="455"/>
      <c r="AB117" s="455"/>
      <c r="AC117" s="455"/>
      <c r="AD117" s="455"/>
      <c r="AE117" s="455"/>
      <c r="AF117" s="455"/>
      <c r="AG117" s="455"/>
    </row>
    <row r="118" spans="1:33" x14ac:dyDescent="0.35">
      <c r="A118" s="455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584"/>
      <c r="AA118" s="455"/>
      <c r="AB118" s="455"/>
      <c r="AC118" s="455"/>
      <c r="AD118" s="455"/>
      <c r="AE118" s="455"/>
      <c r="AF118" s="455"/>
      <c r="AG118" s="455"/>
    </row>
    <row r="119" spans="1:33" x14ac:dyDescent="0.35">
      <c r="A119" s="455"/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584"/>
      <c r="AA119" s="455"/>
      <c r="AB119" s="455"/>
      <c r="AC119" s="455"/>
      <c r="AD119" s="455"/>
      <c r="AE119" s="455"/>
      <c r="AF119" s="455"/>
      <c r="AG119" s="455"/>
    </row>
    <row r="120" spans="1:33" x14ac:dyDescent="0.35">
      <c r="A120" s="455"/>
      <c r="B120" s="455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584"/>
      <c r="AA120" s="455"/>
      <c r="AB120" s="455"/>
      <c r="AC120" s="455"/>
      <c r="AD120" s="455"/>
      <c r="AE120" s="455"/>
      <c r="AF120" s="455"/>
      <c r="AG120" s="455"/>
    </row>
    <row r="121" spans="1:33" x14ac:dyDescent="0.35">
      <c r="A121" s="455"/>
      <c r="B121" s="455"/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W121" s="455"/>
      <c r="X121" s="455"/>
      <c r="Y121" s="455"/>
      <c r="Z121" s="584"/>
      <c r="AA121" s="455"/>
      <c r="AB121" s="455"/>
      <c r="AC121" s="455"/>
      <c r="AD121" s="455"/>
      <c r="AE121" s="455"/>
      <c r="AF121" s="455"/>
      <c r="AG121" s="455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topLeftCell="AI1" zoomScale="60" zoomScaleNormal="60" workbookViewId="0">
      <selection activeCell="AT4" sqref="AT4"/>
    </sheetView>
  </sheetViews>
  <sheetFormatPr baseColWidth="10" defaultColWidth="11.46484375" defaultRowHeight="12.75" x14ac:dyDescent="0.35"/>
  <cols>
    <col min="1" max="1" width="4" style="425" bestFit="1" customWidth="1"/>
    <col min="2" max="12" width="11.46484375" style="425"/>
    <col min="13" max="13" width="4.19921875" style="425" customWidth="1"/>
    <col min="14" max="15" width="10.46484375" style="425" customWidth="1"/>
    <col min="16" max="17" width="11.46484375" style="425" customWidth="1"/>
    <col min="18" max="25" width="11.46484375" style="425"/>
    <col min="26" max="26" width="3.46484375" style="596" customWidth="1"/>
    <col min="27" max="41" width="11.46484375" style="425"/>
    <col min="42" max="42" width="3.53125" style="425" customWidth="1"/>
    <col min="43" max="54" width="11.46484375" style="425"/>
    <col min="55" max="55" width="14.46484375" style="425" bestFit="1" customWidth="1"/>
    <col min="56" max="57" width="11.46484375" style="425"/>
    <col min="58" max="58" width="3.796875" style="425" customWidth="1"/>
    <col min="59" max="16384" width="11.46484375" style="425"/>
  </cols>
  <sheetData>
    <row r="1" spans="1:61" ht="13.15" thickBot="1" x14ac:dyDescent="0.4">
      <c r="B1" s="527" t="s">
        <v>172</v>
      </c>
      <c r="O1" s="425">
        <f>COLUMN(O5)</f>
        <v>15</v>
      </c>
      <c r="AB1" s="527">
        <f>COLUMN(AB5)</f>
        <v>28</v>
      </c>
      <c r="AC1" s="527" t="s">
        <v>155</v>
      </c>
      <c r="AE1" s="597" t="s">
        <v>156</v>
      </c>
      <c r="AF1" s="550">
        <f>Momente!D6</f>
        <v>3.1578671998658971E-2</v>
      </c>
      <c r="AH1" s="597" t="s">
        <v>157</v>
      </c>
      <c r="AI1" s="598">
        <f>(MAX(AB3:AL42)+MIN(AB3:AL42))/2</f>
        <v>7.6500000000000075</v>
      </c>
      <c r="AJ1" s="597" t="s">
        <v>158</v>
      </c>
      <c r="AK1" s="550">
        <f>(MAX(AB3:AL42)-MIN(AB3:AL42))/2</f>
        <v>14.100000000000007</v>
      </c>
      <c r="AR1" s="599">
        <f>COLUMN(AR4)</f>
        <v>44</v>
      </c>
      <c r="AS1" s="597" t="s">
        <v>159</v>
      </c>
      <c r="AT1" s="598">
        <f>(MAX(AR3:BB42)+MIN(AR3:BB42))/2</f>
        <v>0.90000000000000124</v>
      </c>
      <c r="AU1" s="597" t="s">
        <v>160</v>
      </c>
      <c r="AV1" s="550">
        <f>(MAX(AR3:BB42)-MIN(AR3:BB42))/2</f>
        <v>5.1786534524921528</v>
      </c>
      <c r="AW1" s="527" t="s">
        <v>122</v>
      </c>
      <c r="AX1" s="425">
        <f>SQRT(AK1^2+AV1^2)</f>
        <v>15.020933778597424</v>
      </c>
      <c r="BG1" s="527" t="s">
        <v>173</v>
      </c>
    </row>
    <row r="2" spans="1:61" ht="13.15" thickBot="1" x14ac:dyDescent="0.4">
      <c r="A2" s="545" t="s">
        <v>13</v>
      </c>
      <c r="B2" s="486">
        <v>0</v>
      </c>
      <c r="C2" s="547">
        <v>0</v>
      </c>
      <c r="D2" s="547">
        <v>0.2</v>
      </c>
      <c r="E2" s="547">
        <v>0.3</v>
      </c>
      <c r="F2" s="547">
        <v>0.4</v>
      </c>
      <c r="G2" s="547">
        <v>0.5</v>
      </c>
      <c r="H2" s="547">
        <v>0.6</v>
      </c>
      <c r="I2" s="547">
        <v>0.7</v>
      </c>
      <c r="J2" s="547">
        <v>0.8</v>
      </c>
      <c r="K2" s="547">
        <v>0.9</v>
      </c>
      <c r="L2" s="487">
        <v>1</v>
      </c>
      <c r="N2" s="545" t="s">
        <v>165</v>
      </c>
      <c r="O2" s="486">
        <v>0</v>
      </c>
      <c r="P2" s="547">
        <v>0.1</v>
      </c>
      <c r="Q2" s="547">
        <v>0.2</v>
      </c>
      <c r="R2" s="547">
        <v>0.3</v>
      </c>
      <c r="S2" s="547">
        <v>0.4</v>
      </c>
      <c r="T2" s="547">
        <v>0.5</v>
      </c>
      <c r="U2" s="547">
        <v>0.6</v>
      </c>
      <c r="V2" s="547">
        <v>0.7</v>
      </c>
      <c r="W2" s="547">
        <v>0.8</v>
      </c>
      <c r="X2" s="547">
        <v>0.9</v>
      </c>
      <c r="Y2" s="487">
        <v>1</v>
      </c>
      <c r="AA2" s="545" t="s">
        <v>13</v>
      </c>
      <c r="AB2" s="486">
        <v>0</v>
      </c>
      <c r="AC2" s="547">
        <v>0.1</v>
      </c>
      <c r="AD2" s="547">
        <v>0.2</v>
      </c>
      <c r="AE2" s="547">
        <v>0.3</v>
      </c>
      <c r="AF2" s="547">
        <v>0.4</v>
      </c>
      <c r="AG2" s="547">
        <v>0.5</v>
      </c>
      <c r="AH2" s="547">
        <v>0.6</v>
      </c>
      <c r="AI2" s="547">
        <v>0.7</v>
      </c>
      <c r="AJ2" s="547">
        <v>0.8</v>
      </c>
      <c r="AK2" s="547">
        <v>0.9</v>
      </c>
      <c r="AL2" s="487">
        <v>1</v>
      </c>
      <c r="AM2" s="600">
        <v>1</v>
      </c>
      <c r="AN2" s="547">
        <v>0</v>
      </c>
      <c r="AO2" s="487">
        <v>0</v>
      </c>
      <c r="AQ2" s="545" t="s">
        <v>165</v>
      </c>
      <c r="AR2" s="486">
        <v>0</v>
      </c>
      <c r="AS2" s="547">
        <v>0.1</v>
      </c>
      <c r="AT2" s="547">
        <v>0.2</v>
      </c>
      <c r="AU2" s="547">
        <v>0.3</v>
      </c>
      <c r="AV2" s="547">
        <v>0.4</v>
      </c>
      <c r="AW2" s="547">
        <v>0.5</v>
      </c>
      <c r="AX2" s="547">
        <v>0.6</v>
      </c>
      <c r="AY2" s="547">
        <v>0.7</v>
      </c>
      <c r="AZ2" s="547">
        <v>0.8</v>
      </c>
      <c r="BA2" s="547">
        <v>0.9</v>
      </c>
      <c r="BB2" s="487">
        <v>1</v>
      </c>
      <c r="BC2" s="601">
        <v>1</v>
      </c>
      <c r="BD2" s="497">
        <v>0</v>
      </c>
      <c r="BE2" s="498">
        <v>0</v>
      </c>
      <c r="BG2" s="602" t="s">
        <v>157</v>
      </c>
      <c r="BH2" s="500">
        <f>PlotM!$AI$1</f>
        <v>7.6500000000000075</v>
      </c>
      <c r="BI2" s="506"/>
    </row>
    <row r="3" spans="1:61" x14ac:dyDescent="0.35">
      <c r="A3" s="559">
        <v>1</v>
      </c>
      <c r="B3" s="505">
        <v>0</v>
      </c>
      <c r="C3" s="557">
        <v>0</v>
      </c>
      <c r="D3" s="557">
        <v>0</v>
      </c>
      <c r="E3" s="557">
        <v>0</v>
      </c>
      <c r="F3" s="557">
        <v>0</v>
      </c>
      <c r="G3" s="557">
        <v>0</v>
      </c>
      <c r="H3" s="557">
        <v>0</v>
      </c>
      <c r="I3" s="557">
        <v>0</v>
      </c>
      <c r="J3" s="557">
        <v>0</v>
      </c>
      <c r="K3" s="557">
        <v>0</v>
      </c>
      <c r="L3" s="506">
        <v>0</v>
      </c>
      <c r="N3" s="559">
        <v>1</v>
      </c>
      <c r="O3" s="505">
        <v>-3.8881347806333588</v>
      </c>
      <c r="P3" s="557">
        <v>-3.1105078245066871</v>
      </c>
      <c r="Q3" s="557">
        <v>-2.3328808683800153</v>
      </c>
      <c r="R3" s="557">
        <v>-1.5552539122533431</v>
      </c>
      <c r="S3" s="557">
        <v>-0.77762695612667154</v>
      </c>
      <c r="T3" s="557">
        <v>0</v>
      </c>
      <c r="U3" s="557">
        <v>0.77762695612667154</v>
      </c>
      <c r="V3" s="557">
        <v>1.5552539122533431</v>
      </c>
      <c r="W3" s="557">
        <v>2.3328808683800148</v>
      </c>
      <c r="X3" s="557">
        <v>3.1105078245066862</v>
      </c>
      <c r="Y3" s="506">
        <v>3.8881347806333579</v>
      </c>
      <c r="AA3" s="560">
        <v>1</v>
      </c>
      <c r="AB3" s="603">
        <f>IF(ISNUMBER(System!$C4),PlotData!B4+Momente!$E$2* $AF$1*B3,PlotData!$CB$3)</f>
        <v>-3.75</v>
      </c>
      <c r="AC3" s="604">
        <f>IF(ISNUMBER(System!$C4),PlotData!C4+ Momente!$E$2*$AF$1*C3,PlotData!$CB$3)</f>
        <v>-3.4649999999999999</v>
      </c>
      <c r="AD3" s="604">
        <f>IF(ISNUMBER(System!$C4),PlotData!D4+ Momente!$E$2*$AF$1*D3,PlotData!$CB$3)</f>
        <v>-3.1799999999999997</v>
      </c>
      <c r="AE3" s="604">
        <f>IF(ISNUMBER(System!$C4),PlotData!E4+Momente!$E$2* $AF$1*E3,PlotData!$CB$3)</f>
        <v>-2.8949999999999996</v>
      </c>
      <c r="AF3" s="604">
        <f>IF(ISNUMBER(System!$C4),PlotData!F4+Momente!$E$2* $AF$1*F3,PlotData!$CB$3)</f>
        <v>-2.6099999999999994</v>
      </c>
      <c r="AG3" s="604">
        <f>IF(ISNUMBER(System!$C4),PlotData!G4+ Momente!$E$2*$AF$1*G3,PlotData!$CB$3)</f>
        <v>-2.3249999999999993</v>
      </c>
      <c r="AH3" s="604">
        <f>IF(ISNUMBER(System!$C4),PlotData!H4+ Momente!$E$2*$AF$1*H3,PlotData!$CB$3)</f>
        <v>-2.0399999999999991</v>
      </c>
      <c r="AI3" s="604">
        <f>IF(ISNUMBER(System!$C4),PlotData!I4+ Momente!$E$2*$AF$1*I3,PlotData!$CB$3)</f>
        <v>-1.754999999999999</v>
      </c>
      <c r="AJ3" s="604">
        <f>IF(ISNUMBER(System!$C4),PlotData!J4+ Momente!$E$2*$AF$1*J3,PlotData!$CB$3)</f>
        <v>-1.4699999999999989</v>
      </c>
      <c r="AK3" s="604">
        <f>IF(ISNUMBER(System!$C4),PlotData!K4+ Momente!$E$2*$AF$1*K3,PlotData!$CB$3)</f>
        <v>-1.1849999999999987</v>
      </c>
      <c r="AL3" s="605">
        <f>IF(ISNUMBER(System!$C4),PlotData!L4+Momente!$E$2* $AF$1*L3,PlotData!$CB$3)</f>
        <v>-0.89999999999999869</v>
      </c>
      <c r="AM3" s="505">
        <f>IF(ISNUMBER(System!$C4),PlotData!L4,PlotData!$CB$3)</f>
        <v>-0.89999999999999869</v>
      </c>
      <c r="AN3" s="557">
        <f>IF(ISNUMBER(System!$C4),PlotData!B4,PlotData!$CB$3)</f>
        <v>-3.75</v>
      </c>
      <c r="AO3" s="440">
        <f>IF(ISNUMBER(System!$C4),AB3,PlotData!$CB$3)</f>
        <v>-3.75</v>
      </c>
      <c r="AQ3" s="560">
        <v>1</v>
      </c>
      <c r="AR3" s="603">
        <f>IF(ISNUMBER(System!$C4),PlotData!O4+ Momente!$E$2*$AF$1*O3,PlotData!$CB$4)</f>
        <v>0.77721786707580132</v>
      </c>
      <c r="AS3" s="604">
        <f>IF(ISNUMBER(System!$C4),PlotData!P4+Momente!$E$2* $AF$1*P3,PlotData!$CB$4)</f>
        <v>0.80177429366064112</v>
      </c>
      <c r="AT3" s="604">
        <f>IF(ISNUMBER(System!$C4),PlotData!Q4+ Momente!$E$2*$AF$1*Q3,PlotData!$CB$4)</f>
        <v>0.82633072024548082</v>
      </c>
      <c r="AU3" s="604">
        <f>IF(ISNUMBER(System!$C4),PlotData!R4+Momente!$E$2* $AF$1*R3,PlotData!$CB$4)</f>
        <v>0.85088714683032052</v>
      </c>
      <c r="AV3" s="604">
        <f>IF(ISNUMBER(System!$C4),PlotData!S4+ Momente!$E$2*$AF$1*S3,PlotData!$CB$4)</f>
        <v>0.87544357341516033</v>
      </c>
      <c r="AW3" s="604">
        <f>IF(ISNUMBER(System!$C4),PlotData!T4+ Momente!$E$2*$AF$1*T3,PlotData!$CB$4)</f>
        <v>0.9</v>
      </c>
      <c r="AX3" s="604">
        <f>IF(ISNUMBER(System!$C4),PlotData!U4+ Momente!$E$2*$AF$1*U3,PlotData!$CB$4)</f>
        <v>0.92455642658483972</v>
      </c>
      <c r="AY3" s="604">
        <f>IF(ISNUMBER(System!$C4),PlotData!V4+ Momente!$E$2*$AF$1*V3,PlotData!$CB$4)</f>
        <v>0.94911285316967953</v>
      </c>
      <c r="AZ3" s="604">
        <f>IF(ISNUMBER(System!$C4),PlotData!W4+ Momente!$E$2*$AF$1*W3,PlotData!$CB$4)</f>
        <v>0.97366927975451922</v>
      </c>
      <c r="BA3" s="604">
        <f>IF(ISNUMBER(System!$C4),PlotData!X4+ Momente!$E$2*$AF$1*X3,PlotData!$CB$4)</f>
        <v>0.99822570633935892</v>
      </c>
      <c r="BB3" s="605">
        <f>IF(ISNUMBER(System!$C4),PlotData!Y4+ Momente!$E$2*$AF$1*Y3,PlotData!$CB$4)</f>
        <v>1.0227821329241986</v>
      </c>
      <c r="BC3" s="606">
        <f>IF(ISNUMBER(System!$C4),PlotData!Y4, PlotData!CB$4)</f>
        <v>0.9</v>
      </c>
      <c r="BD3" s="604">
        <f>IF(ISNUMBER(System!$C4),PlotData!O4, PlotData!$CB$4)</f>
        <v>0.9</v>
      </c>
      <c r="BE3" s="605">
        <f>IF(ISNUMBER(System!$C4), AR3,PlotData!$CB$4)</f>
        <v>0.77721786707580132</v>
      </c>
      <c r="BG3" s="480" t="s">
        <v>166</v>
      </c>
      <c r="BH3" s="566">
        <f>PlotM!$AT$1</f>
        <v>0.90000000000000124</v>
      </c>
      <c r="BI3" s="567"/>
    </row>
    <row r="4" spans="1:61" x14ac:dyDescent="0.35">
      <c r="A4" s="568">
        <v>2</v>
      </c>
      <c r="B4" s="565">
        <v>0</v>
      </c>
      <c r="C4" s="566">
        <v>4.1989423484443219E-5</v>
      </c>
      <c r="D4" s="566">
        <v>8.3978846968886411E-5</v>
      </c>
      <c r="E4" s="566">
        <v>1.2596827045332966E-4</v>
      </c>
      <c r="F4" s="566">
        <v>1.6795769393777288E-4</v>
      </c>
      <c r="G4" s="566">
        <v>2.0994711742221606E-4</v>
      </c>
      <c r="H4" s="566">
        <v>2.5193654090665922E-4</v>
      </c>
      <c r="I4" s="566">
        <v>2.9392596439110241E-4</v>
      </c>
      <c r="J4" s="566">
        <v>3.3591538787554575E-4</v>
      </c>
      <c r="K4" s="566">
        <v>3.7790481135998888E-4</v>
      </c>
      <c r="L4" s="567">
        <v>4.1989423484443185E-4</v>
      </c>
      <c r="N4" s="568">
        <v>2</v>
      </c>
      <c r="O4" s="565">
        <v>0</v>
      </c>
      <c r="P4" s="566">
        <v>0.88352327061139668</v>
      </c>
      <c r="Q4" s="566">
        <v>1.7670465412227929</v>
      </c>
      <c r="R4" s="566">
        <v>2.65056981183419</v>
      </c>
      <c r="S4" s="566">
        <v>3.5340930824455867</v>
      </c>
      <c r="T4" s="566">
        <v>4.4176163530569825</v>
      </c>
      <c r="U4" s="566">
        <v>5.3011396236683783</v>
      </c>
      <c r="V4" s="566">
        <v>6.1846628942797741</v>
      </c>
      <c r="W4" s="566">
        <v>7.0681861648911735</v>
      </c>
      <c r="X4" s="566">
        <v>7.9517094355025684</v>
      </c>
      <c r="Y4" s="567">
        <v>8.8352327061139597</v>
      </c>
      <c r="AA4" s="569">
        <v>2</v>
      </c>
      <c r="AB4" s="565">
        <f>IF(ISNUMBER(System!$C5),PlotData!B5+Momente!$E$2* $AF$1*B4,PlotData!$CB$3)</f>
        <v>-0.9</v>
      </c>
      <c r="AC4" s="566">
        <f>IF(ISNUMBER(System!$C5),PlotData!C5+ Momente!$E$2*$AF$1*C4,PlotData!$CB$3)</f>
        <v>-0.55491697402976836</v>
      </c>
      <c r="AD4" s="566">
        <f>IF(ISNUMBER(System!$C5),PlotData!D5+ Momente!$E$2*$AF$1*D4,PlotData!$CB$3)</f>
        <v>-0.20983394805953673</v>
      </c>
      <c r="AE4" s="566">
        <f>IF(ISNUMBER(System!$C5),PlotData!E5+Momente!$E$2* $AF$1*E4,PlotData!$CB$3)</f>
        <v>0.1352490779106949</v>
      </c>
      <c r="AF4" s="566">
        <f>IF(ISNUMBER(System!$C5),PlotData!F5+Momente!$E$2* $AF$1*F4,PlotData!$CB$3)</f>
        <v>0.48033210388092651</v>
      </c>
      <c r="AG4" s="566">
        <f>IF(ISNUMBER(System!$C5),PlotData!G5+ Momente!$E$2*$AF$1*G4,PlotData!$CB$3)</f>
        <v>0.82541512985115817</v>
      </c>
      <c r="AH4" s="566">
        <f>IF(ISNUMBER(System!$C5),PlotData!H5+ Momente!$E$2*$AF$1*H4,PlotData!$CB$3)</f>
        <v>1.1704981558213896</v>
      </c>
      <c r="AI4" s="566">
        <f>IF(ISNUMBER(System!$C5),PlotData!I5+ Momente!$E$2*$AF$1*I4,PlotData!$CB$3)</f>
        <v>1.5155811817916212</v>
      </c>
      <c r="AJ4" s="566">
        <f>IF(ISNUMBER(System!$C5),PlotData!J5+ Momente!$E$2*$AF$1*J4,PlotData!$CB$3)</f>
        <v>1.8606642077618529</v>
      </c>
      <c r="AK4" s="566">
        <f>IF(ISNUMBER(System!$C5),PlotData!K5+ Momente!$E$2*$AF$1*K4,PlotData!$CB$3)</f>
        <v>2.2057472337320845</v>
      </c>
      <c r="AL4" s="567">
        <f>IF(ISNUMBER(System!$C5),PlotData!L5+Momente!$E$2* $AF$1*L4,PlotData!$CB$3)</f>
        <v>2.550830259702316</v>
      </c>
      <c r="AM4" s="565">
        <f>IF(ISNUMBER(System!$C5),PlotData!L5,PlotData!$CB$3)</f>
        <v>2.5508169999999999</v>
      </c>
      <c r="AN4" s="566">
        <f>IF(ISNUMBER(System!$C5),PlotData!B5,PlotData!$CB$3)</f>
        <v>-0.9</v>
      </c>
      <c r="AO4" s="447">
        <f>IF(ISNUMBER(System!$C5),AB4,PlotData!$CB$3)</f>
        <v>-0.9</v>
      </c>
      <c r="AQ4" s="569">
        <v>2</v>
      </c>
      <c r="AR4" s="565">
        <f>IF(ISNUMBER(System!$C5),PlotData!O5+ Momente!$E$2*$AF$1*O4,PlotData!$CB$4)</f>
        <v>0.9</v>
      </c>
      <c r="AS4" s="566">
        <f>IF(ISNUMBER(System!$C5),PlotData!P5+Momente!$E$2* $AF$1*P4,PlotData!$CB$4)</f>
        <v>0.92788409156581975</v>
      </c>
      <c r="AT4" s="566">
        <f>IF(ISNUMBER(System!$C5),PlotData!Q5+ Momente!$E$2*$AF$1*Q4,PlotData!$CB$4)</f>
        <v>0.95576818313163936</v>
      </c>
      <c r="AU4" s="566">
        <f>IF(ISNUMBER(System!$C5),PlotData!R5+Momente!$E$2* $AF$1*R4,PlotData!$CB$4)</f>
        <v>0.98365227469745908</v>
      </c>
      <c r="AV4" s="566">
        <f>IF(ISNUMBER(System!$C5),PlotData!S5+ Momente!$E$2*$AF$1*S4,PlotData!$CB$4)</f>
        <v>1.0115363662632788</v>
      </c>
      <c r="AW4" s="566">
        <f>IF(ISNUMBER(System!$C5),PlotData!T5+ Momente!$E$2*$AF$1*T4,PlotData!$CB$4)</f>
        <v>1.0394204578290984</v>
      </c>
      <c r="AX4" s="566">
        <f>IF(ISNUMBER(System!$C5),PlotData!U5+ Momente!$E$2*$AF$1*U4,PlotData!$CB$4)</f>
        <v>1.067304549394918</v>
      </c>
      <c r="AY4" s="566">
        <f>IF(ISNUMBER(System!$C5),PlotData!V5+ Momente!$E$2*$AF$1*V4,PlotData!$CB$4)</f>
        <v>1.0951886409607376</v>
      </c>
      <c r="AZ4" s="566">
        <f>IF(ISNUMBER(System!$C5),PlotData!W5+ Momente!$E$2*$AF$1*W4,PlotData!$CB$4)</f>
        <v>1.1230727325265575</v>
      </c>
      <c r="BA4" s="566">
        <f>IF(ISNUMBER(System!$C5),PlotData!X5+ Momente!$E$2*$AF$1*X4,PlotData!$CB$4)</f>
        <v>1.1509568240923771</v>
      </c>
      <c r="BB4" s="567">
        <f>IF(ISNUMBER(System!$C5),PlotData!Y5+ Momente!$E$2*$AF$1*Y4,PlotData!$CB$4)</f>
        <v>1.1788409156581965</v>
      </c>
      <c r="BC4" s="607">
        <f>IF(ISNUMBER(System!$C5),PlotData!Y5, PlotData!CB$4)</f>
        <v>0.89983599999999975</v>
      </c>
      <c r="BD4" s="566">
        <f>IF(ISNUMBER(System!$C5),PlotData!O5, PlotData!$CB$4)</f>
        <v>0.9</v>
      </c>
      <c r="BE4" s="567">
        <f>IF(ISNUMBER(System!$C5), AR4,PlotData!$CB$4)</f>
        <v>0.9</v>
      </c>
      <c r="BG4" s="480" t="s">
        <v>122</v>
      </c>
      <c r="BH4" s="566">
        <f>BH5 * PlotM!$AX$1</f>
        <v>15.020933778597424</v>
      </c>
      <c r="BI4" s="567"/>
    </row>
    <row r="5" spans="1:61" x14ac:dyDescent="0.35">
      <c r="A5" s="568">
        <v>3</v>
      </c>
      <c r="B5" s="565">
        <v>0.44326829427137204</v>
      </c>
      <c r="C5" s="566">
        <v>0.35461463541709765</v>
      </c>
      <c r="D5" s="566">
        <v>0.26596097656282319</v>
      </c>
      <c r="E5" s="566">
        <v>0.1773073177085488</v>
      </c>
      <c r="F5" s="566">
        <v>8.8653658854274398E-2</v>
      </c>
      <c r="G5" s="566">
        <v>0</v>
      </c>
      <c r="H5" s="566">
        <v>-8.8653658854274398E-2</v>
      </c>
      <c r="I5" s="566">
        <v>-0.1773073177085488</v>
      </c>
      <c r="J5" s="566">
        <v>-0.26596097656282314</v>
      </c>
      <c r="K5" s="566">
        <v>-0.35461463541709759</v>
      </c>
      <c r="L5" s="567">
        <v>-0.44326829427137199</v>
      </c>
      <c r="N5" s="568">
        <v>3</v>
      </c>
      <c r="O5" s="565">
        <v>0.70922927083419529</v>
      </c>
      <c r="P5" s="566">
        <v>0.56738341666735626</v>
      </c>
      <c r="Q5" s="566">
        <v>0.42553756250051711</v>
      </c>
      <c r="R5" s="566">
        <v>0.28369170833367807</v>
      </c>
      <c r="S5" s="566">
        <v>0.14184585416683904</v>
      </c>
      <c r="T5" s="566">
        <v>0</v>
      </c>
      <c r="U5" s="566">
        <v>-0.14184585416683904</v>
      </c>
      <c r="V5" s="566">
        <v>-0.28369170833367807</v>
      </c>
      <c r="W5" s="566">
        <v>-0.425537562500517</v>
      </c>
      <c r="X5" s="566">
        <v>-0.56738341666735614</v>
      </c>
      <c r="Y5" s="567">
        <v>-0.70922927083419518</v>
      </c>
      <c r="AA5" s="569">
        <v>3</v>
      </c>
      <c r="AB5" s="565">
        <f>IF(ISNUMBER(System!$C6),PlotData!B6+Momente!$E$2* $AF$1*B5,PlotData!$CB$3)</f>
        <v>-0.88600217592779928</v>
      </c>
      <c r="AC5" s="566">
        <f>IF(ISNUMBER(System!$C6),PlotData!C6+ Momente!$E$2*$AF$1*C5,PlotData!$CB$3)</f>
        <v>-0.40880174074223941</v>
      </c>
      <c r="AD5" s="566">
        <f>IF(ISNUMBER(System!$C6),PlotData!D6+ Momente!$E$2*$AF$1*D5,PlotData!$CB$3)</f>
        <v>6.8398694443320474E-2</v>
      </c>
      <c r="AE5" s="566">
        <f>IF(ISNUMBER(System!$C6),PlotData!E6+Momente!$E$2* $AF$1*E5,PlotData!$CB$3)</f>
        <v>0.54559912962888035</v>
      </c>
      <c r="AF5" s="566">
        <f>IF(ISNUMBER(System!$C6),PlotData!F6+Momente!$E$2* $AF$1*F5,PlotData!$CB$3)</f>
        <v>1.0227995648144401</v>
      </c>
      <c r="AG5" s="566">
        <f>IF(ISNUMBER(System!$C6),PlotData!G6+ Momente!$E$2*$AF$1*G5,PlotData!$CB$3)</f>
        <v>1.5</v>
      </c>
      <c r="AH5" s="566">
        <f>IF(ISNUMBER(System!$C6),PlotData!H6+ Momente!$E$2*$AF$1*H5,PlotData!$CB$3)</f>
        <v>1.9772004351855599</v>
      </c>
      <c r="AI5" s="566">
        <f>IF(ISNUMBER(System!$C6),PlotData!I6+ Momente!$E$2*$AF$1*I5,PlotData!$CB$3)</f>
        <v>2.4544008703711198</v>
      </c>
      <c r="AJ5" s="566">
        <f>IF(ISNUMBER(System!$C6),PlotData!J6+ Momente!$E$2*$AF$1*J5,PlotData!$CB$3)</f>
        <v>2.9316013055566796</v>
      </c>
      <c r="AK5" s="566">
        <f>IF(ISNUMBER(System!$C6),PlotData!K6+ Momente!$E$2*$AF$1*K5,PlotData!$CB$3)</f>
        <v>3.4088017407422395</v>
      </c>
      <c r="AL5" s="567">
        <f>IF(ISNUMBER(System!$C6),PlotData!L6+Momente!$E$2* $AF$1*L5,PlotData!$CB$3)</f>
        <v>3.8860021759277994</v>
      </c>
      <c r="AM5" s="565">
        <f>IF(ISNUMBER(System!$C6),PlotData!L6,PlotData!$CB$3)</f>
        <v>3.9</v>
      </c>
      <c r="AN5" s="566">
        <f>IF(ISNUMBER(System!$C6),PlotData!B6,PlotData!$CB$3)</f>
        <v>-0.9</v>
      </c>
      <c r="AO5" s="447">
        <f>IF(ISNUMBER(System!$C6),AB5,PlotData!$CB$3)</f>
        <v>-0.88600217592779928</v>
      </c>
      <c r="AQ5" s="569">
        <v>3</v>
      </c>
      <c r="AR5" s="565">
        <f>IF(ISNUMBER(System!$C6),PlotData!O6+ Momente!$E$2*$AF$1*O5,PlotData!$CB$4)</f>
        <v>0.92239651851552118</v>
      </c>
      <c r="AS5" s="566">
        <f>IF(ISNUMBER(System!$C6),PlotData!P6+Momente!$E$2* $AF$1*P5,PlotData!$CB$4)</f>
        <v>0.6179172148124169</v>
      </c>
      <c r="AT5" s="566">
        <f>IF(ISNUMBER(System!$C6),PlotData!Q6+ Momente!$E$2*$AF$1*Q5,PlotData!$CB$4)</f>
        <v>0.31343791110931263</v>
      </c>
      <c r="AU5" s="566">
        <f>IF(ISNUMBER(System!$C6),PlotData!R6+Momente!$E$2* $AF$1*R5,PlotData!$CB$4)</f>
        <v>8.9586074062083364E-3</v>
      </c>
      <c r="AV5" s="566">
        <f>IF(ISNUMBER(System!$C6),PlotData!S6+ Momente!$E$2*$AF$1*S5,PlotData!$CB$4)</f>
        <v>-0.29552069629689592</v>
      </c>
      <c r="AW5" s="566">
        <f>IF(ISNUMBER(System!$C6),PlotData!T6+ Momente!$E$2*$AF$1*T5,PlotData!$CB$4)</f>
        <v>-0.6000000000000002</v>
      </c>
      <c r="AX5" s="566">
        <f>IF(ISNUMBER(System!$C6),PlotData!U6+ Momente!$E$2*$AF$1*U5,PlotData!$CB$4)</f>
        <v>-0.90447930370310448</v>
      </c>
      <c r="AY5" s="566">
        <f>IF(ISNUMBER(System!$C6),PlotData!V6+ Momente!$E$2*$AF$1*V5,PlotData!$CB$4)</f>
        <v>-1.2089586074062086</v>
      </c>
      <c r="AZ5" s="566">
        <f>IF(ISNUMBER(System!$C6),PlotData!W6+ Momente!$E$2*$AF$1*W5,PlotData!$CB$4)</f>
        <v>-1.5134379111093128</v>
      </c>
      <c r="BA5" s="566">
        <f>IF(ISNUMBER(System!$C6),PlotData!X6+ Momente!$E$2*$AF$1*X5,PlotData!$CB$4)</f>
        <v>-1.8179172148124172</v>
      </c>
      <c r="BB5" s="567">
        <f>IF(ISNUMBER(System!$C6),PlotData!Y6+ Momente!$E$2*$AF$1*Y5,PlotData!$CB$4)</f>
        <v>-2.1223965185155218</v>
      </c>
      <c r="BC5" s="607">
        <f>IF(ISNUMBER(System!$C6),PlotData!Y6, PlotData!CB$4)</f>
        <v>-2.1000000000000005</v>
      </c>
      <c r="BD5" s="566">
        <f>IF(ISNUMBER(System!$C6),PlotData!O6, PlotData!$CB$4)</f>
        <v>0.9</v>
      </c>
      <c r="BE5" s="567">
        <f>IF(ISNUMBER(System!$C6), AR5,PlotData!$CB$4)</f>
        <v>0.92239651851552118</v>
      </c>
      <c r="BG5" s="480" t="s">
        <v>167</v>
      </c>
      <c r="BH5" s="566">
        <f>1/Momente!$G$2</f>
        <v>1</v>
      </c>
      <c r="BI5" s="567"/>
    </row>
    <row r="6" spans="1:61" x14ac:dyDescent="0.35">
      <c r="A6" s="568">
        <v>4</v>
      </c>
      <c r="B6" s="565">
        <v>-27.375905394523624</v>
      </c>
      <c r="C6" s="566">
        <v>-21.900724315618898</v>
      </c>
      <c r="D6" s="566">
        <v>-16.425543236714173</v>
      </c>
      <c r="E6" s="566">
        <v>-10.950362157809447</v>
      </c>
      <c r="F6" s="566">
        <v>-5.4751810789047237</v>
      </c>
      <c r="G6" s="566">
        <v>0</v>
      </c>
      <c r="H6" s="566">
        <v>5.4751810789047237</v>
      </c>
      <c r="I6" s="566">
        <v>10.950362157809447</v>
      </c>
      <c r="J6" s="566">
        <v>16.425543236714169</v>
      </c>
      <c r="K6" s="566">
        <v>21.900724315618895</v>
      </c>
      <c r="L6" s="567">
        <v>27.37590539452361</v>
      </c>
      <c r="N6" s="568">
        <v>4</v>
      </c>
      <c r="O6" s="565">
        <v>43.80144863123779</v>
      </c>
      <c r="P6" s="566">
        <v>35.041158904990233</v>
      </c>
      <c r="Q6" s="566">
        <v>26.28086917874267</v>
      </c>
      <c r="R6" s="566">
        <v>17.520579452495113</v>
      </c>
      <c r="S6" s="566">
        <v>8.7602897262475565</v>
      </c>
      <c r="T6" s="566">
        <v>0</v>
      </c>
      <c r="U6" s="566">
        <v>-8.7602897262475565</v>
      </c>
      <c r="V6" s="566">
        <v>-17.520579452495113</v>
      </c>
      <c r="W6" s="566">
        <v>-26.280869178742666</v>
      </c>
      <c r="X6" s="566">
        <v>-35.041158904990226</v>
      </c>
      <c r="Y6" s="567">
        <v>-43.801448631237768</v>
      </c>
      <c r="AA6" s="569">
        <v>4</v>
      </c>
      <c r="AB6" s="565">
        <f>IF(ISNUMBER(System!$C7),PlotData!B7+Momente!$E$2* $AF$1*B6,PlotData!$CB$3)</f>
        <v>7.8355052628800195</v>
      </c>
      <c r="AC6" s="566">
        <f>IF(ISNUMBER(System!$C7),PlotData!C7+ Momente!$E$2*$AF$1*C6,PlotData!$CB$3)</f>
        <v>7.5284042103040143</v>
      </c>
      <c r="AD6" s="566">
        <f>IF(ISNUMBER(System!$C7),PlotData!D7+ Momente!$E$2*$AF$1*D6,PlotData!$CB$3)</f>
        <v>7.22130315772801</v>
      </c>
      <c r="AE6" s="566">
        <f>IF(ISNUMBER(System!$C7),PlotData!E7+Momente!$E$2* $AF$1*E6,PlotData!$CB$3)</f>
        <v>6.9142021051520057</v>
      </c>
      <c r="AF6" s="566">
        <f>IF(ISNUMBER(System!$C7),PlotData!F7+Momente!$E$2* $AF$1*F6,PlotData!$CB$3)</f>
        <v>6.6071010525760014</v>
      </c>
      <c r="AG6" s="566">
        <f>IF(ISNUMBER(System!$C7),PlotData!G7+ Momente!$E$2*$AF$1*G6,PlotData!$CB$3)</f>
        <v>6.2999999999999972</v>
      </c>
      <c r="AH6" s="566">
        <f>IF(ISNUMBER(System!$C7),PlotData!H7+ Momente!$E$2*$AF$1*H6,PlotData!$CB$3)</f>
        <v>5.9928989474239929</v>
      </c>
      <c r="AI6" s="566">
        <f>IF(ISNUMBER(System!$C7),PlotData!I7+ Momente!$E$2*$AF$1*I6,PlotData!$CB$3)</f>
        <v>5.6857978948479886</v>
      </c>
      <c r="AJ6" s="566">
        <f>IF(ISNUMBER(System!$C7),PlotData!J7+ Momente!$E$2*$AF$1*J6,PlotData!$CB$3)</f>
        <v>5.3786968422719834</v>
      </c>
      <c r="AK6" s="566">
        <f>IF(ISNUMBER(System!$C7),PlotData!K7+ Momente!$E$2*$AF$1*K6,PlotData!$CB$3)</f>
        <v>5.0715957896959791</v>
      </c>
      <c r="AL6" s="567">
        <f>IF(ISNUMBER(System!$C7),PlotData!L7+Momente!$E$2* $AF$1*L6,PlotData!$CB$3)</f>
        <v>4.7644947371199748</v>
      </c>
      <c r="AM6" s="565">
        <f>IF(ISNUMBER(System!$C7),PlotData!L7,PlotData!$CB$3)</f>
        <v>3.8999999999999955</v>
      </c>
      <c r="AN6" s="566">
        <f>IF(ISNUMBER(System!$C7),PlotData!B7,PlotData!$CB$3)</f>
        <v>8.6999999999999993</v>
      </c>
      <c r="AO6" s="447">
        <f>IF(ISNUMBER(System!$C7),AB6,PlotData!$CB$3)</f>
        <v>7.8355052628800195</v>
      </c>
      <c r="AQ6" s="569">
        <v>4</v>
      </c>
      <c r="AR6" s="565">
        <f>IF(ISNUMBER(System!$C7),PlotData!O7+ Momente!$E$2*$AF$1*O6,PlotData!$CB$4)</f>
        <v>2.2831915793919682</v>
      </c>
      <c r="AS6" s="566">
        <f>IF(ISNUMBER(System!$C7),PlotData!P7+Momente!$E$2* $AF$1*P6,PlotData!$CB$4)</f>
        <v>1.7065532635135745</v>
      </c>
      <c r="AT6" s="566">
        <f>IF(ISNUMBER(System!$C7),PlotData!Q7+ Momente!$E$2*$AF$1*Q6,PlotData!$CB$4)</f>
        <v>1.1299149476351806</v>
      </c>
      <c r="AU6" s="566">
        <f>IF(ISNUMBER(System!$C7),PlotData!R7+Momente!$E$2* $AF$1*R6,PlotData!$CB$4)</f>
        <v>0.55327663175678699</v>
      </c>
      <c r="AV6" s="566">
        <f>IF(ISNUMBER(System!$C7),PlotData!S7+ Momente!$E$2*$AF$1*S6,PlotData!$CB$4)</f>
        <v>-2.3361684121606607E-2</v>
      </c>
      <c r="AW6" s="566">
        <f>IF(ISNUMBER(System!$C7),PlotData!T7+ Momente!$E$2*$AF$1*T6,PlotData!$CB$4)</f>
        <v>-0.6000000000000002</v>
      </c>
      <c r="AX6" s="566">
        <f>IF(ISNUMBER(System!$C7),PlotData!U7+ Momente!$E$2*$AF$1*U6,PlotData!$CB$4)</f>
        <v>-1.1766383158783937</v>
      </c>
      <c r="AY6" s="566">
        <f>IF(ISNUMBER(System!$C7),PlotData!V7+ Momente!$E$2*$AF$1*V6,PlotData!$CB$4)</f>
        <v>-1.7532766317567874</v>
      </c>
      <c r="AZ6" s="566">
        <f>IF(ISNUMBER(System!$C7),PlotData!W7+ Momente!$E$2*$AF$1*W6,PlotData!$CB$4)</f>
        <v>-2.3299149476351806</v>
      </c>
      <c r="BA6" s="566">
        <f>IF(ISNUMBER(System!$C7),PlotData!X7+ Momente!$E$2*$AF$1*X6,PlotData!$CB$4)</f>
        <v>-2.9065532635135742</v>
      </c>
      <c r="BB6" s="567">
        <f>IF(ISNUMBER(System!$C7),PlotData!Y7+ Momente!$E$2*$AF$1*Y6,PlotData!$CB$4)</f>
        <v>-3.4831915793919679</v>
      </c>
      <c r="BC6" s="607">
        <f>IF(ISNUMBER(System!$C7),PlotData!Y7, PlotData!CB$4)</f>
        <v>-2.1000000000000005</v>
      </c>
      <c r="BD6" s="566">
        <f>IF(ISNUMBER(System!$C7),PlotData!O7, PlotData!$CB$4)</f>
        <v>0.9</v>
      </c>
      <c r="BE6" s="567">
        <f>IF(ISNUMBER(System!$C7), AR6,PlotData!$CB$4)</f>
        <v>2.2831915793919682</v>
      </c>
      <c r="BG6" s="480" t="s">
        <v>168</v>
      </c>
      <c r="BH6" s="566">
        <f>BH2-BH4</f>
        <v>-7.3709337785974167</v>
      </c>
      <c r="BI6" s="567">
        <f>BH3+BH4</f>
        <v>15.920933778597426</v>
      </c>
    </row>
    <row r="7" spans="1:61" x14ac:dyDescent="0.35">
      <c r="A7" s="568">
        <v>5</v>
      </c>
      <c r="B7" s="565">
        <v>-2.2719797816833161E-3</v>
      </c>
      <c r="C7" s="566">
        <v>-2.6113399773906188E-3</v>
      </c>
      <c r="D7" s="566">
        <v>-2.9507001730979194E-3</v>
      </c>
      <c r="E7" s="566">
        <v>-3.2900603688052203E-3</v>
      </c>
      <c r="F7" s="566">
        <v>-3.6294205645125213E-3</v>
      </c>
      <c r="G7" s="566">
        <v>-3.9687807602198227E-3</v>
      </c>
      <c r="H7" s="566">
        <v>-4.3081409559271233E-3</v>
      </c>
      <c r="I7" s="566">
        <v>-4.6475011516344238E-3</v>
      </c>
      <c r="J7" s="566">
        <v>-4.9868613473417261E-3</v>
      </c>
      <c r="K7" s="566">
        <v>-5.3262215430490275E-3</v>
      </c>
      <c r="L7" s="567">
        <v>-5.6655817387563272E-3</v>
      </c>
      <c r="N7" s="568">
        <v>5</v>
      </c>
      <c r="O7" s="565">
        <v>-19.003670106108366</v>
      </c>
      <c r="P7" s="566">
        <v>-21.842202939172488</v>
      </c>
      <c r="Q7" s="566">
        <v>-24.680735772236595</v>
      </c>
      <c r="R7" s="566">
        <v>-27.519268605300702</v>
      </c>
      <c r="S7" s="566">
        <v>-30.357801438364813</v>
      </c>
      <c r="T7" s="566">
        <v>-33.196334271428924</v>
      </c>
      <c r="U7" s="566">
        <v>-36.034867104493031</v>
      </c>
      <c r="V7" s="566">
        <v>-38.873399937557139</v>
      </c>
      <c r="W7" s="566">
        <v>-41.711932770621253</v>
      </c>
      <c r="X7" s="566">
        <v>-44.550465603685367</v>
      </c>
      <c r="Y7" s="567">
        <v>-47.388998436749468</v>
      </c>
      <c r="AA7" s="569">
        <v>5</v>
      </c>
      <c r="AB7" s="565">
        <f>IF(ISNUMBER(System!$C8),PlotData!B8+Momente!$E$2* $AF$1*B7,PlotData!$CB$3)</f>
        <v>3.8999282538956868</v>
      </c>
      <c r="AC7" s="566">
        <f>IF(ISNUMBER(System!$C8),PlotData!C8+ Momente!$E$2*$AF$1*C7,PlotData!$CB$3)</f>
        <v>4.037093137351377</v>
      </c>
      <c r="AD7" s="566">
        <f>IF(ISNUMBER(System!$C8),PlotData!D8+ Momente!$E$2*$AF$1*D7,PlotData!$CB$3)</f>
        <v>4.1742580208070672</v>
      </c>
      <c r="AE7" s="566">
        <f>IF(ISNUMBER(System!$C8),PlotData!E8+Momente!$E$2* $AF$1*E7,PlotData!$CB$3)</f>
        <v>4.3114229042627583</v>
      </c>
      <c r="AF7" s="566">
        <f>IF(ISNUMBER(System!$C8),PlotData!F8+Momente!$E$2* $AF$1*F7,PlotData!$CB$3)</f>
        <v>4.4485877877184485</v>
      </c>
      <c r="AG7" s="566">
        <f>IF(ISNUMBER(System!$C8),PlotData!G8+ Momente!$E$2*$AF$1*G7,PlotData!$CB$3)</f>
        <v>4.5857526711741388</v>
      </c>
      <c r="AH7" s="566">
        <f>IF(ISNUMBER(System!$C8),PlotData!H8+ Momente!$E$2*$AF$1*H7,PlotData!$CB$3)</f>
        <v>4.722917554629829</v>
      </c>
      <c r="AI7" s="566">
        <f>IF(ISNUMBER(System!$C8),PlotData!I8+ Momente!$E$2*$AF$1*I7,PlotData!$CB$3)</f>
        <v>4.8600824380855192</v>
      </c>
      <c r="AJ7" s="566">
        <f>IF(ISNUMBER(System!$C8),PlotData!J8+ Momente!$E$2*$AF$1*J7,PlotData!$CB$3)</f>
        <v>4.9972473215412094</v>
      </c>
      <c r="AK7" s="566">
        <f>IF(ISNUMBER(System!$C8),PlotData!K8+ Momente!$E$2*$AF$1*K7,PlotData!$CB$3)</f>
        <v>5.1344122049968997</v>
      </c>
      <c r="AL7" s="567">
        <f>IF(ISNUMBER(System!$C8),PlotData!L8+Momente!$E$2* $AF$1*L7,PlotData!$CB$3)</f>
        <v>5.2715770884525899</v>
      </c>
      <c r="AM7" s="565">
        <f>IF(ISNUMBER(System!$C8),PlotData!L8,PlotData!$CB$3)</f>
        <v>5.2717559999999999</v>
      </c>
      <c r="AN7" s="566">
        <f>IF(ISNUMBER(System!$C8),PlotData!B8,PlotData!$CB$3)</f>
        <v>3.9</v>
      </c>
      <c r="AO7" s="447">
        <f>IF(ISNUMBER(System!$C8),AB7,PlotData!$CB$3)</f>
        <v>3.8999282538956868</v>
      </c>
      <c r="AQ7" s="569">
        <v>5</v>
      </c>
      <c r="AR7" s="565">
        <f>IF(ISNUMBER(System!$C8),PlotData!O8+ Momente!$E$2*$AF$1*O7,PlotData!$CB$4)</f>
        <v>0.29988933494848324</v>
      </c>
      <c r="AS7" s="566">
        <f>IF(ISNUMBER(System!$C8),PlotData!P8+Momente!$E$2* $AF$1*P7,PlotData!$CB$4)</f>
        <v>0.21023583765572706</v>
      </c>
      <c r="AT7" s="566">
        <f>IF(ISNUMBER(System!$C8),PlotData!Q8+ Momente!$E$2*$AF$1*Q7,PlotData!$CB$4)</f>
        <v>0.12058234036297144</v>
      </c>
      <c r="AU7" s="566">
        <f>IF(ISNUMBER(System!$C8),PlotData!R8+Momente!$E$2* $AF$1*R7,PlotData!$CB$4)</f>
        <v>3.0928843070215706E-2</v>
      </c>
      <c r="AV7" s="566">
        <f>IF(ISNUMBER(System!$C8),PlotData!S8+ Momente!$E$2*$AF$1*S7,PlotData!$CB$4)</f>
        <v>-5.8724654222540029E-2</v>
      </c>
      <c r="AW7" s="566">
        <f>IF(ISNUMBER(System!$C8),PlotData!T8+ Momente!$E$2*$AF$1*T7,PlotData!$CB$4)</f>
        <v>-0.14837815151529588</v>
      </c>
      <c r="AX7" s="566">
        <f>IF(ISNUMBER(System!$C8),PlotData!U8+ Momente!$E$2*$AF$1*U7,PlotData!$CB$4)</f>
        <v>-0.2380316488080515</v>
      </c>
      <c r="AY7" s="566">
        <f>IF(ISNUMBER(System!$C8),PlotData!V8+ Momente!$E$2*$AF$1*V7,PlotData!$CB$4)</f>
        <v>-0.32768514610080712</v>
      </c>
      <c r="AZ7" s="566">
        <f>IF(ISNUMBER(System!$C8),PlotData!W8+ Momente!$E$2*$AF$1*W7,PlotData!$CB$4)</f>
        <v>-0.41733864339356297</v>
      </c>
      <c r="BA7" s="566">
        <f>IF(ISNUMBER(System!$C8),PlotData!X8+ Momente!$E$2*$AF$1*X7,PlotData!$CB$4)</f>
        <v>-0.50699214068631904</v>
      </c>
      <c r="BB7" s="567">
        <f>IF(ISNUMBER(System!$C8),PlotData!Y8+ Momente!$E$2*$AF$1*Y7,PlotData!$CB$4)</f>
        <v>-0.59664563797907444</v>
      </c>
      <c r="BC7" s="607">
        <f>IF(ISNUMBER(System!$C8),PlotData!Y8, PlotData!CB$4)</f>
        <v>0.89983599999999975</v>
      </c>
      <c r="BD7" s="566">
        <f>IF(ISNUMBER(System!$C8),PlotData!O8, PlotData!$CB$4)</f>
        <v>0.9</v>
      </c>
      <c r="BE7" s="567">
        <f>IF(ISNUMBER(System!$C8), AR7,PlotData!$CB$4)</f>
        <v>0.29988933494848324</v>
      </c>
      <c r="BG7" s="480" t="s">
        <v>169</v>
      </c>
      <c r="BH7" s="566">
        <f>BH2+BH4</f>
        <v>22.67093377859743</v>
      </c>
      <c r="BI7" s="567">
        <f>BH3+BH4</f>
        <v>15.920933778597426</v>
      </c>
    </row>
    <row r="8" spans="1:61" x14ac:dyDescent="0.35">
      <c r="A8" s="568">
        <v>6</v>
      </c>
      <c r="B8" s="565">
        <v>0</v>
      </c>
      <c r="C8" s="566">
        <v>-1.0340116655874236</v>
      </c>
      <c r="D8" s="566">
        <v>-2.0680233311748535</v>
      </c>
      <c r="E8" s="566">
        <v>-3.1020349967622836</v>
      </c>
      <c r="F8" s="566">
        <v>-4.1360466623497132</v>
      </c>
      <c r="G8" s="566">
        <v>-5.1700583279371415</v>
      </c>
      <c r="H8" s="566">
        <v>-6.2040699935245707</v>
      </c>
      <c r="I8" s="566">
        <v>-7.2380816591119999</v>
      </c>
      <c r="J8" s="566">
        <v>-8.2720933246994282</v>
      </c>
      <c r="K8" s="566">
        <v>-9.3061049902868582</v>
      </c>
      <c r="L8" s="567">
        <v>-10.340116655874281</v>
      </c>
      <c r="N8" s="568">
        <v>6</v>
      </c>
      <c r="O8" s="565">
        <v>0</v>
      </c>
      <c r="P8" s="566">
        <v>-0.10171844771958469</v>
      </c>
      <c r="Q8" s="566">
        <v>-0.20343689543916998</v>
      </c>
      <c r="R8" s="566">
        <v>-0.30515534315875531</v>
      </c>
      <c r="S8" s="566">
        <v>-0.40687379087834058</v>
      </c>
      <c r="T8" s="566">
        <v>-0.50859223859792568</v>
      </c>
      <c r="U8" s="566">
        <v>-0.61031068631751095</v>
      </c>
      <c r="V8" s="566">
        <v>-0.71202913403709622</v>
      </c>
      <c r="W8" s="566">
        <v>-0.81374758175668138</v>
      </c>
      <c r="X8" s="566">
        <v>-0.91546602947626654</v>
      </c>
      <c r="Y8" s="567">
        <v>-1.0171844771958511</v>
      </c>
      <c r="AA8" s="569">
        <v>6</v>
      </c>
      <c r="AB8" s="565">
        <f>IF(ISNUMBER(System!$C9),PlotData!B9+Momente!$E$2* $AF$1*B8,PlotData!$CB$3)</f>
        <v>3.3</v>
      </c>
      <c r="AC8" s="566">
        <f>IF(ISNUMBER(System!$C9),PlotData!C9+ Momente!$E$2*$AF$1*C8,PlotData!$CB$3)</f>
        <v>3.2759122847696274</v>
      </c>
      <c r="AD8" s="566">
        <f>IF(ISNUMBER(System!$C9),PlotData!D9+ Momente!$E$2*$AF$1*D8,PlotData!$CB$3)</f>
        <v>3.2518245695392549</v>
      </c>
      <c r="AE8" s="566">
        <f>IF(ISNUMBER(System!$C9),PlotData!E9+Momente!$E$2* $AF$1*E8,PlotData!$CB$3)</f>
        <v>3.2277368543088825</v>
      </c>
      <c r="AF8" s="566">
        <f>IF(ISNUMBER(System!$C9),PlotData!F9+Momente!$E$2* $AF$1*F8,PlotData!$CB$3)</f>
        <v>3.20364913907851</v>
      </c>
      <c r="AG8" s="566">
        <f>IF(ISNUMBER(System!$C9),PlotData!G9+ Momente!$E$2*$AF$1*G8,PlotData!$CB$3)</f>
        <v>3.1795614238481371</v>
      </c>
      <c r="AH8" s="566">
        <f>IF(ISNUMBER(System!$C9),PlotData!H9+ Momente!$E$2*$AF$1*H8,PlotData!$CB$3)</f>
        <v>3.1554737086177647</v>
      </c>
      <c r="AI8" s="566">
        <f>IF(ISNUMBER(System!$C9),PlotData!I9+ Momente!$E$2*$AF$1*I8,PlotData!$CB$3)</f>
        <v>3.1313859933873922</v>
      </c>
      <c r="AJ8" s="566">
        <f>IF(ISNUMBER(System!$C9),PlotData!J9+ Momente!$E$2*$AF$1*J8,PlotData!$CB$3)</f>
        <v>3.1072982781570198</v>
      </c>
      <c r="AK8" s="566">
        <f>IF(ISNUMBER(System!$C9),PlotData!K9+ Momente!$E$2*$AF$1*K8,PlotData!$CB$3)</f>
        <v>3.0832105629266469</v>
      </c>
      <c r="AL8" s="567">
        <f>IF(ISNUMBER(System!$C9),PlotData!L9+Momente!$E$2* $AF$1*L8,PlotData!$CB$3)</f>
        <v>3.0591228476962748</v>
      </c>
      <c r="AM8" s="565">
        <f>IF(ISNUMBER(System!$C9),PlotData!L9,PlotData!$CB$3)</f>
        <v>3.3856499999999992</v>
      </c>
      <c r="AN8" s="566">
        <f>IF(ISNUMBER(System!$C9),PlotData!B9,PlotData!$CB$3)</f>
        <v>3.3</v>
      </c>
      <c r="AO8" s="447">
        <f>IF(ISNUMBER(System!$C9),AB8,PlotData!$CB$3)</f>
        <v>3.3</v>
      </c>
      <c r="AQ8" s="569">
        <v>6</v>
      </c>
      <c r="AR8" s="565">
        <f>IF(ISNUMBER(System!$C9),PlotData!O9+ Momente!$E$2*$AF$1*O8,PlotData!$CB$4)</f>
        <v>3.6</v>
      </c>
      <c r="AS8" s="566">
        <f>IF(ISNUMBER(System!$C9),PlotData!P9+Momente!$E$2* $AF$1*P8,PlotData!$CB$4)</f>
        <v>3.5097209665032505</v>
      </c>
      <c r="AT8" s="566">
        <f>IF(ISNUMBER(System!$C9),PlotData!Q9+ Momente!$E$2*$AF$1*Q8,PlotData!$CB$4)</f>
        <v>3.4194419330065013</v>
      </c>
      <c r="AU8" s="566">
        <f>IF(ISNUMBER(System!$C9),PlotData!R9+Momente!$E$2* $AF$1*R8,PlotData!$CB$4)</f>
        <v>3.3291628995097517</v>
      </c>
      <c r="AV8" s="566">
        <f>IF(ISNUMBER(System!$C9),PlotData!S9+ Momente!$E$2*$AF$1*S8,PlotData!$CB$4)</f>
        <v>3.2388838660130022</v>
      </c>
      <c r="AW8" s="566">
        <f>IF(ISNUMBER(System!$C9),PlotData!T9+ Momente!$E$2*$AF$1*T8,PlotData!$CB$4)</f>
        <v>3.1486048325162526</v>
      </c>
      <c r="AX8" s="566">
        <f>IF(ISNUMBER(System!$C9),PlotData!U9+ Momente!$E$2*$AF$1*U8,PlotData!$CB$4)</f>
        <v>3.0583257990195034</v>
      </c>
      <c r="AY8" s="566">
        <f>IF(ISNUMBER(System!$C9),PlotData!V9+ Momente!$E$2*$AF$1*V8,PlotData!$CB$4)</f>
        <v>2.9680467655227538</v>
      </c>
      <c r="AZ8" s="566">
        <f>IF(ISNUMBER(System!$C9),PlotData!W9+ Momente!$E$2*$AF$1*W8,PlotData!$CB$4)</f>
        <v>2.8777677320260042</v>
      </c>
      <c r="BA8" s="566">
        <f>IF(ISNUMBER(System!$C9),PlotData!X9+ Momente!$E$2*$AF$1*X8,PlotData!$CB$4)</f>
        <v>2.7874886985292551</v>
      </c>
      <c r="BB8" s="567">
        <f>IF(ISNUMBER(System!$C9),PlotData!Y9+ Momente!$E$2*$AF$1*Y8,PlotData!$CB$4)</f>
        <v>2.6972096650325055</v>
      </c>
      <c r="BC8" s="607">
        <f>IF(ISNUMBER(System!$C9),PlotData!Y9, PlotData!CB$4)</f>
        <v>2.7293310000000006</v>
      </c>
      <c r="BD8" s="566">
        <f>IF(ISNUMBER(System!$C9),PlotData!O9, PlotData!$CB$4)</f>
        <v>3.6</v>
      </c>
      <c r="BE8" s="567">
        <f>IF(ISNUMBER(System!$C9), AR8,PlotData!$CB$4)</f>
        <v>3.6</v>
      </c>
      <c r="BG8" s="480" t="s">
        <v>170</v>
      </c>
      <c r="BH8" s="566">
        <f>BH7</f>
        <v>22.67093377859743</v>
      </c>
      <c r="BI8" s="567">
        <f>BH3-BH4</f>
        <v>-14.120933778597422</v>
      </c>
    </row>
    <row r="9" spans="1:61" ht="13.15" thickBot="1" x14ac:dyDescent="0.4">
      <c r="A9" s="568">
        <v>7</v>
      </c>
      <c r="B9" s="565">
        <v>0</v>
      </c>
      <c r="C9" s="566">
        <v>-1.0541977862308318</v>
      </c>
      <c r="D9" s="566">
        <v>-2.1083955724616632</v>
      </c>
      <c r="E9" s="566">
        <v>-3.1625933586924941</v>
      </c>
      <c r="F9" s="566">
        <v>-4.2167911449233273</v>
      </c>
      <c r="G9" s="566">
        <v>-5.2709889311541582</v>
      </c>
      <c r="H9" s="566">
        <v>-6.3251867173849901</v>
      </c>
      <c r="I9" s="566">
        <v>-7.3793845036158219</v>
      </c>
      <c r="J9" s="566">
        <v>-8.4335822898466546</v>
      </c>
      <c r="K9" s="566">
        <v>-9.4877800760774846</v>
      </c>
      <c r="L9" s="567">
        <v>-10.541977862308311</v>
      </c>
      <c r="N9" s="568">
        <v>7</v>
      </c>
      <c r="O9" s="565">
        <v>0</v>
      </c>
      <c r="P9" s="566">
        <v>0.11587296291199482</v>
      </c>
      <c r="Q9" s="566">
        <v>0.23174592582398959</v>
      </c>
      <c r="R9" s="566">
        <v>0.34761888873598434</v>
      </c>
      <c r="S9" s="566">
        <v>0.46349185164797929</v>
      </c>
      <c r="T9" s="566">
        <v>0.57936481455997402</v>
      </c>
      <c r="U9" s="566">
        <v>0.69523777747196891</v>
      </c>
      <c r="V9" s="566">
        <v>0.81111074038396369</v>
      </c>
      <c r="W9" s="566">
        <v>0.92698370329595858</v>
      </c>
      <c r="X9" s="566">
        <v>1.0428566662079533</v>
      </c>
      <c r="Y9" s="567">
        <v>1.1587296291199476</v>
      </c>
      <c r="AA9" s="569">
        <v>7</v>
      </c>
      <c r="AB9" s="565">
        <f>IF(ISNUMBER(System!$C10),PlotData!B10+Momente!$E$2* $AF$1*B9,PlotData!$CB$3)</f>
        <v>4.5</v>
      </c>
      <c r="AC9" s="566">
        <f>IF(ISNUMBER(System!$C10),PlotData!C10+ Momente!$E$2*$AF$1*C9,PlotData!$CB$3)</f>
        <v>4.4573101338869039</v>
      </c>
      <c r="AD9" s="566">
        <f>IF(ISNUMBER(System!$C10),PlotData!D10+ Momente!$E$2*$AF$1*D9,PlotData!$CB$3)</f>
        <v>4.4146202677738078</v>
      </c>
      <c r="AE9" s="566">
        <f>IF(ISNUMBER(System!$C10),PlotData!E10+Momente!$E$2* $AF$1*E9,PlotData!$CB$3)</f>
        <v>4.3719304016607117</v>
      </c>
      <c r="AF9" s="566">
        <f>IF(ISNUMBER(System!$C10),PlotData!F10+Momente!$E$2* $AF$1*F9,PlotData!$CB$3)</f>
        <v>4.3292405355476156</v>
      </c>
      <c r="AG9" s="566">
        <f>IF(ISNUMBER(System!$C10),PlotData!G10+ Momente!$E$2*$AF$1*G9,PlotData!$CB$3)</f>
        <v>4.2865506694345195</v>
      </c>
      <c r="AH9" s="566">
        <f>IF(ISNUMBER(System!$C10),PlotData!H10+ Momente!$E$2*$AF$1*H9,PlotData!$CB$3)</f>
        <v>4.2438608033214233</v>
      </c>
      <c r="AI9" s="566">
        <f>IF(ISNUMBER(System!$C10),PlotData!I10+ Momente!$E$2*$AF$1*I9,PlotData!$CB$3)</f>
        <v>4.2011709372083264</v>
      </c>
      <c r="AJ9" s="566">
        <f>IF(ISNUMBER(System!$C10),PlotData!J10+ Momente!$E$2*$AF$1*J9,PlotData!$CB$3)</f>
        <v>4.1584810710952302</v>
      </c>
      <c r="AK9" s="566">
        <f>IF(ISNUMBER(System!$C10),PlotData!K10+ Momente!$E$2*$AF$1*K9,PlotData!$CB$3)</f>
        <v>4.1157912049821341</v>
      </c>
      <c r="AL9" s="567">
        <f>IF(ISNUMBER(System!$C10),PlotData!L10+Momente!$E$2* $AF$1*L9,PlotData!$CB$3)</f>
        <v>4.073101338869038</v>
      </c>
      <c r="AM9" s="565">
        <f>IF(ISNUMBER(System!$C10),PlotData!L10,PlotData!$CB$3)</f>
        <v>4.4060029999999966</v>
      </c>
      <c r="AN9" s="566">
        <f>IF(ISNUMBER(System!$C10),PlotData!B10,PlotData!$CB$3)</f>
        <v>4.5</v>
      </c>
      <c r="AO9" s="447">
        <f>IF(ISNUMBER(System!$C10),AB9,PlotData!$CB$3)</f>
        <v>4.5</v>
      </c>
      <c r="AQ9" s="569">
        <v>7</v>
      </c>
      <c r="AR9" s="565">
        <f>IF(ISNUMBER(System!$C10),PlotData!O10+ Momente!$E$2*$AF$1*O9,PlotData!$CB$4)</f>
        <v>3.6</v>
      </c>
      <c r="AS9" s="566">
        <f>IF(ISNUMBER(System!$C10),PlotData!P10+Momente!$E$2* $AF$1*P9,PlotData!$CB$4)</f>
        <v>3.5181418142893111</v>
      </c>
      <c r="AT9" s="566">
        <f>IF(ISNUMBER(System!$C10),PlotData!Q10+ Momente!$E$2*$AF$1*Q9,PlotData!$CB$4)</f>
        <v>3.4362836285786216</v>
      </c>
      <c r="AU9" s="566">
        <f>IF(ISNUMBER(System!$C10),PlotData!R10+Momente!$E$2* $AF$1*R9,PlotData!$CB$4)</f>
        <v>3.3544254428679317</v>
      </c>
      <c r="AV9" s="566">
        <f>IF(ISNUMBER(System!$C10),PlotData!S10+ Momente!$E$2*$AF$1*S9,PlotData!$CB$4)</f>
        <v>3.2725672571572422</v>
      </c>
      <c r="AW9" s="566">
        <f>IF(ISNUMBER(System!$C10),PlotData!T10+ Momente!$E$2*$AF$1*T9,PlotData!$CB$4)</f>
        <v>3.1907090714465527</v>
      </c>
      <c r="AX9" s="566">
        <f>IF(ISNUMBER(System!$C10),PlotData!U10+ Momente!$E$2*$AF$1*U9,PlotData!$CB$4)</f>
        <v>3.1088508857358632</v>
      </c>
      <c r="AY9" s="566">
        <f>IF(ISNUMBER(System!$C10),PlotData!V10+ Momente!$E$2*$AF$1*V9,PlotData!$CB$4)</f>
        <v>3.0269927000251733</v>
      </c>
      <c r="AZ9" s="566">
        <f>IF(ISNUMBER(System!$C10),PlotData!W10+ Momente!$E$2*$AF$1*W9,PlotData!$CB$4)</f>
        <v>2.9451345143144838</v>
      </c>
      <c r="BA9" s="566">
        <f>IF(ISNUMBER(System!$C10),PlotData!X10+ Momente!$E$2*$AF$1*X9,PlotData!$CB$4)</f>
        <v>2.8632763286037943</v>
      </c>
      <c r="BB9" s="567">
        <f>IF(ISNUMBER(System!$C10),PlotData!Y10+ Momente!$E$2*$AF$1*Y9,PlotData!$CB$4)</f>
        <v>2.7814181428931049</v>
      </c>
      <c r="BC9" s="607">
        <f>IF(ISNUMBER(System!$C10),PlotData!Y10, PlotData!CB$4)</f>
        <v>2.7448269999999981</v>
      </c>
      <c r="BD9" s="566">
        <f>IF(ISNUMBER(System!$C10),PlotData!O10, PlotData!$CB$4)</f>
        <v>3.6</v>
      </c>
      <c r="BE9" s="567">
        <f>IF(ISNUMBER(System!$C10), AR9,PlotData!$CB$4)</f>
        <v>3.6</v>
      </c>
      <c r="BG9" s="481" t="s">
        <v>171</v>
      </c>
      <c r="BH9" s="503">
        <f>BH6</f>
        <v>-7.3709337785974167</v>
      </c>
      <c r="BI9" s="504">
        <f>BI8</f>
        <v>-14.120933778597422</v>
      </c>
    </row>
    <row r="10" spans="1:61" x14ac:dyDescent="0.35">
      <c r="A10" s="568">
        <v>8</v>
      </c>
      <c r="B10" s="565">
        <v>-1.0739671006340379E-3</v>
      </c>
      <c r="C10" s="566">
        <v>-7.3557119352685033E-4</v>
      </c>
      <c r="D10" s="566">
        <v>-3.9717528641966196E-4</v>
      </c>
      <c r="E10" s="566">
        <v>-5.8779379312473013E-5</v>
      </c>
      <c r="F10" s="566">
        <v>2.7961652779471505E-4</v>
      </c>
      <c r="G10" s="566">
        <v>6.1801243490190304E-4</v>
      </c>
      <c r="H10" s="566">
        <v>9.5640834200909082E-4</v>
      </c>
      <c r="I10" s="566">
        <v>1.2948042491162789E-3</v>
      </c>
      <c r="J10" s="566">
        <v>1.6332001562234678E-3</v>
      </c>
      <c r="K10" s="566">
        <v>1.9715960633306549E-3</v>
      </c>
      <c r="L10" s="567">
        <v>2.3099919704378442E-3</v>
      </c>
      <c r="N10" s="568">
        <v>8</v>
      </c>
      <c r="O10" s="565">
        <v>8.8352326508186891</v>
      </c>
      <c r="P10" s="566">
        <v>6.0513423755842428</v>
      </c>
      <c r="Q10" s="566">
        <v>3.2674521003497903</v>
      </c>
      <c r="R10" s="566">
        <v>0.48356182511533319</v>
      </c>
      <c r="S10" s="566">
        <v>-2.3003284501191166</v>
      </c>
      <c r="T10" s="566">
        <v>-5.0842187253535656</v>
      </c>
      <c r="U10" s="566">
        <v>-7.8681090005880137</v>
      </c>
      <c r="V10" s="566">
        <v>-10.651999275822464</v>
      </c>
      <c r="W10" s="566">
        <v>-13.435889551056921</v>
      </c>
      <c r="X10" s="566">
        <v>-16.219779826291362</v>
      </c>
      <c r="Y10" s="567">
        <v>-19.003670101525824</v>
      </c>
      <c r="AA10" s="569">
        <v>8</v>
      </c>
      <c r="AB10" s="565">
        <f>IF(ISNUMBER(System!$C11),PlotData!B11+Momente!$E$2* $AF$1*B10,PlotData!$CB$3)</f>
        <v>2.5507830855451914</v>
      </c>
      <c r="AC10" s="566">
        <f>IF(ISNUMBER(System!$C11),PlotData!C11+ Momente!$E$2*$AF$1*C10,PlotData!$CB$3)</f>
        <v>2.6857120716385476</v>
      </c>
      <c r="AD10" s="566">
        <f>IF(ISNUMBER(System!$C11),PlotData!D11+ Momente!$E$2*$AF$1*D10,PlotData!$CB$3)</f>
        <v>2.8206410577319039</v>
      </c>
      <c r="AE10" s="566">
        <f>IF(ISNUMBER(System!$C11),PlotData!E11+Momente!$E$2* $AF$1*E10,PlotData!$CB$3)</f>
        <v>2.9555700438252597</v>
      </c>
      <c r="AF10" s="566">
        <f>IF(ISNUMBER(System!$C11),PlotData!F11+Momente!$E$2* $AF$1*F10,PlotData!$CB$3)</f>
        <v>3.0904990299186159</v>
      </c>
      <c r="AG10" s="566">
        <f>IF(ISNUMBER(System!$C11),PlotData!G11+ Momente!$E$2*$AF$1*G10,PlotData!$CB$3)</f>
        <v>3.2254280160119717</v>
      </c>
      <c r="AH10" s="566">
        <f>IF(ISNUMBER(System!$C11),PlotData!H11+ Momente!$E$2*$AF$1*H10,PlotData!$CB$3)</f>
        <v>3.360357002105328</v>
      </c>
      <c r="AI10" s="566">
        <f>IF(ISNUMBER(System!$C11),PlotData!I11+ Momente!$E$2*$AF$1*I10,PlotData!$CB$3)</f>
        <v>3.4952859881986842</v>
      </c>
      <c r="AJ10" s="566">
        <f>IF(ISNUMBER(System!$C11),PlotData!J11+ Momente!$E$2*$AF$1*J10,PlotData!$CB$3)</f>
        <v>3.63021497429204</v>
      </c>
      <c r="AK10" s="566">
        <f>IF(ISNUMBER(System!$C11),PlotData!K11+ Momente!$E$2*$AF$1*K10,PlotData!$CB$3)</f>
        <v>3.7651439603853962</v>
      </c>
      <c r="AL10" s="567">
        <f>IF(ISNUMBER(System!$C11),PlotData!L11+Momente!$E$2* $AF$1*L10,PlotData!$CB$3)</f>
        <v>3.900072946478752</v>
      </c>
      <c r="AM10" s="565">
        <f>IF(ISNUMBER(System!$C11),PlotData!L11,PlotData!$CB$3)</f>
        <v>3.8999999999999981</v>
      </c>
      <c r="AN10" s="566">
        <f>IF(ISNUMBER(System!$C11),PlotData!B11,PlotData!$CB$3)</f>
        <v>2.5508169999999999</v>
      </c>
      <c r="AO10" s="447">
        <f>IF(ISNUMBER(System!$C11),AB10,PlotData!$CB$3)</f>
        <v>2.5507830855451914</v>
      </c>
      <c r="AQ10" s="569">
        <v>8</v>
      </c>
      <c r="AR10" s="565">
        <f>IF(ISNUMBER(System!$C11),PlotData!O11+ Momente!$E$2*$AF$1*O10,PlotData!$CB$4)</f>
        <v>1.1788409139120457</v>
      </c>
      <c r="AS10" s="566">
        <f>IF(ISNUMBER(System!$C11),PlotData!P11+Momente!$E$2* $AF$1*P10,PlotData!$CB$4)</f>
        <v>1.0909457560301605</v>
      </c>
      <c r="AT10" s="566">
        <f>IF(ISNUMBER(System!$C11),PlotData!Q11+ Momente!$E$2*$AF$1*Q10,PlotData!$CB$4)</f>
        <v>1.0030505981482754</v>
      </c>
      <c r="AU10" s="566">
        <f>IF(ISNUMBER(System!$C11),PlotData!R11+Momente!$E$2* $AF$1*R10,PlotData!$CB$4)</f>
        <v>0.91515544026639006</v>
      </c>
      <c r="AV10" s="566">
        <f>IF(ISNUMBER(System!$C11),PlotData!S11+ Momente!$E$2*$AF$1*S10,PlotData!$CB$4)</f>
        <v>0.827260282384505</v>
      </c>
      <c r="AW10" s="566">
        <f>IF(ISNUMBER(System!$C11),PlotData!T11+ Momente!$E$2*$AF$1*T10,PlotData!$CB$4)</f>
        <v>0.73936512450261982</v>
      </c>
      <c r="AX10" s="566">
        <f>IF(ISNUMBER(System!$C11),PlotData!U11+ Momente!$E$2*$AF$1*U10,PlotData!$CB$4)</f>
        <v>0.65146996662073486</v>
      </c>
      <c r="AY10" s="566">
        <f>IF(ISNUMBER(System!$C11),PlotData!V11+ Momente!$E$2*$AF$1*V10,PlotData!$CB$4)</f>
        <v>0.56357480873884969</v>
      </c>
      <c r="AZ10" s="566">
        <f>IF(ISNUMBER(System!$C11),PlotData!W11+ Momente!$E$2*$AF$1*W10,PlotData!$CB$4)</f>
        <v>0.47567965085696434</v>
      </c>
      <c r="BA10" s="566">
        <f>IF(ISNUMBER(System!$C11),PlotData!X11+ Momente!$E$2*$AF$1*X10,PlotData!$CB$4)</f>
        <v>0.38778449297507955</v>
      </c>
      <c r="BB10" s="567">
        <f>IF(ISNUMBER(System!$C11),PlotData!Y11+ Momente!$E$2*$AF$1*Y10,PlotData!$CB$4)</f>
        <v>0.29988933509319404</v>
      </c>
      <c r="BC10" s="607">
        <f>IF(ISNUMBER(System!$C11),PlotData!Y11, PlotData!CB$4)</f>
        <v>0.90000000000000024</v>
      </c>
      <c r="BD10" s="566">
        <f>IF(ISNUMBER(System!$C11),PlotData!O11, PlotData!$CB$4)</f>
        <v>0.89983599999999997</v>
      </c>
      <c r="BE10" s="567">
        <f>IF(ISNUMBER(System!$C11), AR10,PlotData!$CB$4)</f>
        <v>1.1788409139120457</v>
      </c>
    </row>
    <row r="11" spans="1:61" x14ac:dyDescent="0.35">
      <c r="A11" s="568">
        <v>9</v>
      </c>
      <c r="B11" s="565">
        <v>2.266990269735526E-3</v>
      </c>
      <c r="C11" s="566">
        <v>2.0402912427619729E-3</v>
      </c>
      <c r="D11" s="566">
        <v>1.8135922157884198E-3</v>
      </c>
      <c r="E11" s="566">
        <v>1.5868931888148672E-3</v>
      </c>
      <c r="F11" s="566">
        <v>1.3601941618413148E-3</v>
      </c>
      <c r="G11" s="566">
        <v>1.1334951348677621E-3</v>
      </c>
      <c r="H11" s="566">
        <v>9.0679610789420916E-4</v>
      </c>
      <c r="I11" s="566">
        <v>6.8009708092065652E-4</v>
      </c>
      <c r="J11" s="566">
        <v>4.5339805394710431E-4</v>
      </c>
      <c r="K11" s="566">
        <v>2.266990269735511E-4</v>
      </c>
      <c r="L11" s="567">
        <v>0</v>
      </c>
      <c r="N11" s="568">
        <v>9</v>
      </c>
      <c r="O11" s="565">
        <v>-47.388998721199314</v>
      </c>
      <c r="P11" s="566">
        <v>-42.650098849079363</v>
      </c>
      <c r="Q11" s="566">
        <v>-37.911198976959426</v>
      </c>
      <c r="R11" s="566">
        <v>-33.172299104839496</v>
      </c>
      <c r="S11" s="566">
        <v>-28.433399232719566</v>
      </c>
      <c r="T11" s="566">
        <v>-23.694499360599636</v>
      </c>
      <c r="U11" s="566">
        <v>-18.955599488479695</v>
      </c>
      <c r="V11" s="566">
        <v>-14.216699616359765</v>
      </c>
      <c r="W11" s="566">
        <v>-9.4777997442398423</v>
      </c>
      <c r="X11" s="566">
        <v>-4.7388998721198989</v>
      </c>
      <c r="Y11" s="567">
        <v>0</v>
      </c>
      <c r="AA11" s="569">
        <v>9</v>
      </c>
      <c r="AB11" s="565">
        <f>IF(ISNUMBER(System!$C12),PlotData!B12+Momente!$E$2* $AF$1*B11,PlotData!$CB$3)</f>
        <v>5.2718275885421519</v>
      </c>
      <c r="AC11" s="566">
        <f>IF(ISNUMBER(System!$C12),PlotData!C12+ Momente!$E$2*$AF$1*C11,PlotData!$CB$3)</f>
        <v>5.6146448296879363</v>
      </c>
      <c r="AD11" s="566">
        <f>IF(ISNUMBER(System!$C12),PlotData!D12+ Momente!$E$2*$AF$1*D11,PlotData!$CB$3)</f>
        <v>5.9574620708337207</v>
      </c>
      <c r="AE11" s="566">
        <f>IF(ISNUMBER(System!$C12),PlotData!E12+Momente!$E$2* $AF$1*E11,PlotData!$CB$3)</f>
        <v>6.3002793119795051</v>
      </c>
      <c r="AF11" s="566">
        <f>IF(ISNUMBER(System!$C12),PlotData!F12+Momente!$E$2* $AF$1*F11,PlotData!$CB$3)</f>
        <v>6.6430965531252895</v>
      </c>
      <c r="AG11" s="566">
        <f>IF(ISNUMBER(System!$C12),PlotData!G12+ Momente!$E$2*$AF$1*G11,PlotData!$CB$3)</f>
        <v>6.9859137942710738</v>
      </c>
      <c r="AH11" s="566">
        <f>IF(ISNUMBER(System!$C12),PlotData!H12+ Momente!$E$2*$AF$1*H11,PlotData!$CB$3)</f>
        <v>7.3287310354168582</v>
      </c>
      <c r="AI11" s="566">
        <f>IF(ISNUMBER(System!$C12),PlotData!I12+ Momente!$E$2*$AF$1*I11,PlotData!$CB$3)</f>
        <v>7.6715482765626426</v>
      </c>
      <c r="AJ11" s="566">
        <f>IF(ISNUMBER(System!$C12),PlotData!J12+ Momente!$E$2*$AF$1*J11,PlotData!$CB$3)</f>
        <v>8.014365517708427</v>
      </c>
      <c r="AK11" s="566">
        <f>IF(ISNUMBER(System!$C12),PlotData!K12+ Momente!$E$2*$AF$1*K11,PlotData!$CB$3)</f>
        <v>8.3571827588542114</v>
      </c>
      <c r="AL11" s="567">
        <f>IF(ISNUMBER(System!$C12),PlotData!L12+Momente!$E$2* $AF$1*L11,PlotData!$CB$3)</f>
        <v>8.6999999999999957</v>
      </c>
      <c r="AM11" s="565">
        <f>IF(ISNUMBER(System!$C12),PlotData!L12,PlotData!$CB$3)</f>
        <v>8.6999999999999957</v>
      </c>
      <c r="AN11" s="566">
        <f>IF(ISNUMBER(System!$C12),PlotData!B12,PlotData!$CB$3)</f>
        <v>5.2717559999999999</v>
      </c>
      <c r="AO11" s="447">
        <f>IF(ISNUMBER(System!$C12),AB11,PlotData!$CB$3)</f>
        <v>5.2718275885421519</v>
      </c>
      <c r="AQ11" s="569">
        <v>9</v>
      </c>
      <c r="AR11" s="565">
        <f>IF(ISNUMBER(System!$C12),PlotData!O12+ Momente!$E$2*$AF$1*O11,PlotData!$CB$4)</f>
        <v>-0.59664564696162248</v>
      </c>
      <c r="AS11" s="566">
        <f>IF(ISNUMBER(System!$C12),PlotData!P12+Momente!$E$2* $AF$1*P11,PlotData!$CB$4)</f>
        <v>-0.44698108226545974</v>
      </c>
      <c r="AT11" s="566">
        <f>IF(ISNUMBER(System!$C12),PlotData!Q12+ Momente!$E$2*$AF$1*Q11,PlotData!$CB$4)</f>
        <v>-0.29731651756929722</v>
      </c>
      <c r="AU11" s="566">
        <f>IF(ISNUMBER(System!$C12),PlotData!R12+Momente!$E$2* $AF$1*R11,PlotData!$CB$4)</f>
        <v>-0.14765195287313493</v>
      </c>
      <c r="AV11" s="566">
        <f>IF(ISNUMBER(System!$C12),PlotData!S12+ Momente!$E$2*$AF$1*S11,PlotData!$CB$4)</f>
        <v>2.0126118230272549E-3</v>
      </c>
      <c r="AW11" s="566">
        <f>IF(ISNUMBER(System!$C12),PlotData!T12+ Momente!$E$2*$AF$1*T11,PlotData!$CB$4)</f>
        <v>0.15167717651918955</v>
      </c>
      <c r="AX11" s="566">
        <f>IF(ISNUMBER(System!$C12),PlotData!U12+ Momente!$E$2*$AF$1*U11,PlotData!$CB$4)</f>
        <v>0.30134174121535207</v>
      </c>
      <c r="AY11" s="566">
        <f>IF(ISNUMBER(System!$C12),PlotData!V12+ Momente!$E$2*$AF$1*V11,PlotData!$CB$4)</f>
        <v>0.4510063059115143</v>
      </c>
      <c r="AZ11" s="566">
        <f>IF(ISNUMBER(System!$C12),PlotData!W12+ Momente!$E$2*$AF$1*W11,PlotData!$CB$4)</f>
        <v>0.60067087060767632</v>
      </c>
      <c r="BA11" s="566">
        <f>IF(ISNUMBER(System!$C12),PlotData!X12+ Momente!$E$2*$AF$1*X11,PlotData!$CB$4)</f>
        <v>0.75033543530383895</v>
      </c>
      <c r="BB11" s="567">
        <f>IF(ISNUMBER(System!$C12),PlotData!Y12+ Momente!$E$2*$AF$1*Y11,PlotData!$CB$4)</f>
        <v>0.90000000000000024</v>
      </c>
      <c r="BC11" s="607">
        <f>IF(ISNUMBER(System!$C12),PlotData!Y12, PlotData!CB$4)</f>
        <v>0.90000000000000024</v>
      </c>
      <c r="BD11" s="566">
        <f>IF(ISNUMBER(System!$C12),PlotData!O12, PlotData!$CB$4)</f>
        <v>0.89983599999999997</v>
      </c>
      <c r="BE11" s="567">
        <f>IF(ISNUMBER(System!$C12), AR11,PlotData!$CB$4)</f>
        <v>-0.59664564696162248</v>
      </c>
    </row>
    <row r="12" spans="1:61" x14ac:dyDescent="0.35">
      <c r="A12" s="568">
        <v>10</v>
      </c>
      <c r="B12" s="565">
        <v>-0.66381591529208195</v>
      </c>
      <c r="C12" s="566">
        <v>-0.59872803617903358</v>
      </c>
      <c r="D12" s="566">
        <v>-0.53364015706598511</v>
      </c>
      <c r="E12" s="566">
        <v>-0.46855227795293675</v>
      </c>
      <c r="F12" s="566">
        <v>-0.40346439883988838</v>
      </c>
      <c r="G12" s="566">
        <v>-0.33837651972684007</v>
      </c>
      <c r="H12" s="566">
        <v>-0.2732886406137916</v>
      </c>
      <c r="I12" s="566">
        <v>-0.20820076150074332</v>
      </c>
      <c r="J12" s="566">
        <v>-0.14311288238769498</v>
      </c>
      <c r="K12" s="566">
        <v>-7.802500327464662E-2</v>
      </c>
      <c r="L12" s="567">
        <v>-1.2937124161598409E-2</v>
      </c>
      <c r="N12" s="568">
        <v>10</v>
      </c>
      <c r="O12" s="565">
        <v>-7.0700002967384559E-2</v>
      </c>
      <c r="P12" s="566">
        <v>-6.3767790074585037E-2</v>
      </c>
      <c r="Q12" s="566">
        <v>-5.6835577181785502E-2</v>
      </c>
      <c r="R12" s="566">
        <v>-4.990336428898598E-2</v>
      </c>
      <c r="S12" s="566">
        <v>-4.2971151396186451E-2</v>
      </c>
      <c r="T12" s="566">
        <v>-3.6038938503386936E-2</v>
      </c>
      <c r="U12" s="566">
        <v>-2.9106725610587404E-2</v>
      </c>
      <c r="V12" s="566">
        <v>-2.2174512717787885E-2</v>
      </c>
      <c r="W12" s="566">
        <v>-1.5242299824988368E-2</v>
      </c>
      <c r="X12" s="566">
        <v>-8.310086932188843E-3</v>
      </c>
      <c r="Y12" s="567">
        <v>-1.3778740393893356E-3</v>
      </c>
      <c r="AA12" s="569">
        <v>10</v>
      </c>
      <c r="AB12" s="565">
        <f>IF(ISNUMBER(System!$C13),PlotData!B13+Momente!$E$2* $AF$1*B12,PlotData!$CB$3)</f>
        <v>3.3646875749435017</v>
      </c>
      <c r="AC12" s="566">
        <f>IF(ISNUMBER(System!$C13),PlotData!C13+ Momente!$E$2*$AF$1*C12,PlotData!$CB$3)</f>
        <v>3.4181779637291014</v>
      </c>
      <c r="AD12" s="566">
        <f>IF(ISNUMBER(System!$C13),PlotData!D13+ Momente!$E$2*$AF$1*D12,PlotData!$CB$3)</f>
        <v>3.4716683525147007</v>
      </c>
      <c r="AE12" s="566">
        <f>IF(ISNUMBER(System!$C13),PlotData!E13+Momente!$E$2* $AF$1*E12,PlotData!$CB$3)</f>
        <v>3.5251587413003</v>
      </c>
      <c r="AF12" s="566">
        <f>IF(ISNUMBER(System!$C13),PlotData!F13+Momente!$E$2* $AF$1*F12,PlotData!$CB$3)</f>
        <v>3.5786491300858994</v>
      </c>
      <c r="AG12" s="566">
        <f>IF(ISNUMBER(System!$C13),PlotData!G13+ Momente!$E$2*$AF$1*G12,PlotData!$CB$3)</f>
        <v>3.6321395188714991</v>
      </c>
      <c r="AH12" s="566">
        <f>IF(ISNUMBER(System!$C13),PlotData!H13+ Momente!$E$2*$AF$1*H12,PlotData!$CB$3)</f>
        <v>3.6856299076570984</v>
      </c>
      <c r="AI12" s="566">
        <f>IF(ISNUMBER(System!$C13),PlotData!I13+ Momente!$E$2*$AF$1*I12,PlotData!$CB$3)</f>
        <v>3.7391202964426977</v>
      </c>
      <c r="AJ12" s="566">
        <f>IF(ISNUMBER(System!$C13),PlotData!J13+ Momente!$E$2*$AF$1*J12,PlotData!$CB$3)</f>
        <v>3.7926106852282975</v>
      </c>
      <c r="AK12" s="566">
        <f>IF(ISNUMBER(System!$C13),PlotData!K13+ Momente!$E$2*$AF$1*K12,PlotData!$CB$3)</f>
        <v>3.8461010740138968</v>
      </c>
      <c r="AL12" s="567">
        <f>IF(ISNUMBER(System!$C13),PlotData!L13+Momente!$E$2* $AF$1*L12,PlotData!$CB$3)</f>
        <v>3.8995914627994961</v>
      </c>
      <c r="AM12" s="565">
        <f>IF(ISNUMBER(System!$C13),PlotData!L13,PlotData!$CB$3)</f>
        <v>3.9000000000000012</v>
      </c>
      <c r="AN12" s="566">
        <f>IF(ISNUMBER(System!$C13),PlotData!B13,PlotData!$CB$3)</f>
        <v>3.38565</v>
      </c>
      <c r="AO12" s="447">
        <f>IF(ISNUMBER(System!$C13),AB12,PlotData!$CB$3)</f>
        <v>3.3646875749435017</v>
      </c>
      <c r="AQ12" s="569">
        <v>10</v>
      </c>
      <c r="AR12" s="565">
        <f>IF(ISNUMBER(System!$C13),PlotData!O13+ Momente!$E$2*$AF$1*O12,PlotData!$CB$4)</f>
        <v>2.7270983877959889</v>
      </c>
      <c r="AS12" s="566">
        <f>IF(ISNUMBER(System!$C13),PlotData!P13+Momente!$E$2* $AF$1*P12,PlotData!$CB$4)</f>
        <v>2.2443841978731558</v>
      </c>
      <c r="AT12" s="566">
        <f>IF(ISNUMBER(System!$C13),PlotData!Q13+ Momente!$E$2*$AF$1*Q12,PlotData!$CB$4)</f>
        <v>1.761670007950322</v>
      </c>
      <c r="AU12" s="566">
        <f>IF(ISNUMBER(System!$C13),PlotData!R13+Momente!$E$2* $AF$1*R12,PlotData!$CB$4)</f>
        <v>1.2789558180274885</v>
      </c>
      <c r="AV12" s="566">
        <f>IF(ISNUMBER(System!$C13),PlotData!S13+ Momente!$E$2*$AF$1*S12,PlotData!$CB$4)</f>
        <v>0.79624162810465504</v>
      </c>
      <c r="AW12" s="566">
        <f>IF(ISNUMBER(System!$C13),PlotData!T13+ Momente!$E$2*$AF$1*T12,PlotData!$CB$4)</f>
        <v>0.3135274381818216</v>
      </c>
      <c r="AX12" s="566">
        <f>IF(ISNUMBER(System!$C13),PlotData!U13+ Momente!$E$2*$AF$1*U12,PlotData!$CB$4)</f>
        <v>-0.16918675174101189</v>
      </c>
      <c r="AY12" s="566">
        <f>IF(ISNUMBER(System!$C13),PlotData!V13+ Momente!$E$2*$AF$1*V12,PlotData!$CB$4)</f>
        <v>-0.65190094166384527</v>
      </c>
      <c r="AZ12" s="566">
        <f>IF(ISNUMBER(System!$C13),PlotData!W13+ Momente!$E$2*$AF$1*W12,PlotData!$CB$4)</f>
        <v>-1.1346151315866788</v>
      </c>
      <c r="BA12" s="566">
        <f>IF(ISNUMBER(System!$C13),PlotData!X13+ Momente!$E$2*$AF$1*X12,PlotData!$CB$4)</f>
        <v>-1.6173293215095124</v>
      </c>
      <c r="BB12" s="567">
        <f>IF(ISNUMBER(System!$C13),PlotData!Y13+ Momente!$E$2*$AF$1*Y12,PlotData!$CB$4)</f>
        <v>-2.1000435114323457</v>
      </c>
      <c r="BC12" s="607">
        <f>IF(ISNUMBER(System!$C13),PlotData!Y13, PlotData!CB$4)</f>
        <v>-2.1000000000000005</v>
      </c>
      <c r="BD12" s="566">
        <f>IF(ISNUMBER(System!$C13),PlotData!O13, PlotData!$CB$4)</f>
        <v>2.7293310000000002</v>
      </c>
      <c r="BE12" s="567">
        <f>IF(ISNUMBER(System!$C13), AR12,PlotData!$CB$4)</f>
        <v>2.7270983877959889</v>
      </c>
    </row>
    <row r="13" spans="1:61" x14ac:dyDescent="0.35">
      <c r="A13" s="568">
        <v>11</v>
      </c>
      <c r="B13" s="565">
        <v>-0.71366006255792647</v>
      </c>
      <c r="C13" s="566">
        <v>-0.64100006538126542</v>
      </c>
      <c r="D13" s="566">
        <v>-0.56834006820460437</v>
      </c>
      <c r="E13" s="566">
        <v>-0.49568007102794326</v>
      </c>
      <c r="F13" s="566">
        <v>-0.42302007385128221</v>
      </c>
      <c r="G13" s="566">
        <v>-0.35036007667462116</v>
      </c>
      <c r="H13" s="566">
        <v>-0.27770007949796011</v>
      </c>
      <c r="I13" s="566">
        <v>-0.20504008232129914</v>
      </c>
      <c r="J13" s="566">
        <v>-0.13238008514463798</v>
      </c>
      <c r="K13" s="566">
        <v>-5.9720087967976961E-2</v>
      </c>
      <c r="L13" s="567">
        <v>1.2939909208684035E-2</v>
      </c>
      <c r="N13" s="568">
        <v>11</v>
      </c>
      <c r="O13" s="565">
        <v>7.4536022160233709E-2</v>
      </c>
      <c r="P13" s="566">
        <v>6.6947273057039292E-2</v>
      </c>
      <c r="Q13" s="566">
        <v>5.9358523953844888E-2</v>
      </c>
      <c r="R13" s="566">
        <v>5.1769774850650485E-2</v>
      </c>
      <c r="S13" s="566">
        <v>4.4181025747456075E-2</v>
      </c>
      <c r="T13" s="566">
        <v>3.6592276644261679E-2</v>
      </c>
      <c r="U13" s="566">
        <v>2.9003527541067272E-2</v>
      </c>
      <c r="V13" s="566">
        <v>2.1414778437872879E-2</v>
      </c>
      <c r="W13" s="566">
        <v>1.3826029334678466E-2</v>
      </c>
      <c r="X13" s="566">
        <v>6.2372802314840659E-3</v>
      </c>
      <c r="Y13" s="567">
        <v>-1.3514688717103313E-3</v>
      </c>
      <c r="AA13" s="569">
        <v>11</v>
      </c>
      <c r="AB13" s="565">
        <f>IF(ISNUMBER(System!$C14),PlotData!B14+Momente!$E$2* $AF$1*B13,PlotData!$CB$3)</f>
        <v>4.3834665629659408</v>
      </c>
      <c r="AC13" s="566">
        <f>IF(ISNUMBER(System!$C14),PlotData!C14+ Momente!$E$2*$AF$1*C13,PlotData!$CB$3)</f>
        <v>4.3351607691842062</v>
      </c>
      <c r="AD13" s="566">
        <f>IF(ISNUMBER(System!$C14),PlotData!D14+ Momente!$E$2*$AF$1*D13,PlotData!$CB$3)</f>
        <v>4.2868549754024707</v>
      </c>
      <c r="AE13" s="566">
        <f>IF(ISNUMBER(System!$C14),PlotData!E14+Momente!$E$2* $AF$1*E13,PlotData!$CB$3)</f>
        <v>4.2385491816207361</v>
      </c>
      <c r="AF13" s="566">
        <f>IF(ISNUMBER(System!$C14),PlotData!F14+Momente!$E$2* $AF$1*F13,PlotData!$CB$3)</f>
        <v>4.1902433878390015</v>
      </c>
      <c r="AG13" s="566">
        <f>IF(ISNUMBER(System!$C14),PlotData!G14+ Momente!$E$2*$AF$1*G13,PlotData!$CB$3)</f>
        <v>4.1419375940572669</v>
      </c>
      <c r="AH13" s="566">
        <f>IF(ISNUMBER(System!$C14),PlotData!H14+ Momente!$E$2*$AF$1*H13,PlotData!$CB$3)</f>
        <v>4.0936318002755314</v>
      </c>
      <c r="AI13" s="566">
        <f>IF(ISNUMBER(System!$C14),PlotData!I14+ Momente!$E$2*$AF$1*I13,PlotData!$CB$3)</f>
        <v>4.0453260064937968</v>
      </c>
      <c r="AJ13" s="566">
        <f>IF(ISNUMBER(System!$C14),PlotData!J14+ Momente!$E$2*$AF$1*J13,PlotData!$CB$3)</f>
        <v>3.9970202127120618</v>
      </c>
      <c r="AK13" s="566">
        <f>IF(ISNUMBER(System!$C14),PlotData!K14+ Momente!$E$2*$AF$1*K13,PlotData!$CB$3)</f>
        <v>3.9487144189303267</v>
      </c>
      <c r="AL13" s="567">
        <f>IF(ISNUMBER(System!$C14),PlotData!L14+Momente!$E$2* $AF$1*L13,PlotData!$CB$3)</f>
        <v>3.9004086251485921</v>
      </c>
      <c r="AM13" s="565">
        <f>IF(ISNUMBER(System!$C14),PlotData!L14,PlotData!$CB$3)</f>
        <v>3.8999999999999986</v>
      </c>
      <c r="AN13" s="566">
        <f>IF(ISNUMBER(System!$C14),PlotData!B14,PlotData!$CB$3)</f>
        <v>4.4060030000000001</v>
      </c>
      <c r="AO13" s="447">
        <f>IF(ISNUMBER(System!$C14),AB13,PlotData!$CB$3)</f>
        <v>4.3834665629659408</v>
      </c>
      <c r="AQ13" s="569">
        <v>11</v>
      </c>
      <c r="AR13" s="565">
        <f>IF(ISNUMBER(System!$C14),PlotData!O14+ Momente!$E$2*$AF$1*O13,PlotData!$CB$4)</f>
        <v>2.7471807485958828</v>
      </c>
      <c r="AS13" s="566">
        <f>IF(ISNUMBER(System!$C14),PlotData!P14+Momente!$E$2* $AF$1*P13,PlotData!$CB$4)</f>
        <v>2.2624584059770729</v>
      </c>
      <c r="AT13" s="566">
        <f>IF(ISNUMBER(System!$C14),PlotData!Q14+ Momente!$E$2*$AF$1*Q13,PlotData!$CB$4)</f>
        <v>1.7777360633582628</v>
      </c>
      <c r="AU13" s="566">
        <f>IF(ISNUMBER(System!$C14),PlotData!R14+Momente!$E$2* $AF$1*R13,PlotData!$CB$4)</f>
        <v>1.293013720739453</v>
      </c>
      <c r="AV13" s="566">
        <f>IF(ISNUMBER(System!$C14),PlotData!S14+ Momente!$E$2*$AF$1*S13,PlotData!$CB$4)</f>
        <v>0.808291378120643</v>
      </c>
      <c r="AW13" s="566">
        <f>IF(ISNUMBER(System!$C14),PlotData!T14+ Momente!$E$2*$AF$1*T13,PlotData!$CB$4)</f>
        <v>0.32356903550183302</v>
      </c>
      <c r="AX13" s="566">
        <f>IF(ISNUMBER(System!$C14),PlotData!U14+ Momente!$E$2*$AF$1*U13,PlotData!$CB$4)</f>
        <v>-0.16115330711697692</v>
      </c>
      <c r="AY13" s="566">
        <f>IF(ISNUMBER(System!$C14),PlotData!V14+ Momente!$E$2*$AF$1*V13,PlotData!$CB$4)</f>
        <v>-0.64587564973578682</v>
      </c>
      <c r="AZ13" s="566">
        <f>IF(ISNUMBER(System!$C14),PlotData!W14+ Momente!$E$2*$AF$1*W13,PlotData!$CB$4)</f>
        <v>-1.1305979923545968</v>
      </c>
      <c r="BA13" s="566">
        <f>IF(ISNUMBER(System!$C14),PlotData!X14+ Momente!$E$2*$AF$1*X13,PlotData!$CB$4)</f>
        <v>-1.6153203349734067</v>
      </c>
      <c r="BB13" s="567">
        <f>IF(ISNUMBER(System!$C14),PlotData!Y14+ Momente!$E$2*$AF$1*Y13,PlotData!$CB$4)</f>
        <v>-2.1000426775922167</v>
      </c>
      <c r="BC13" s="607">
        <f>IF(ISNUMBER(System!$C14),PlotData!Y14, PlotData!CB$4)</f>
        <v>-2.1000000000000005</v>
      </c>
      <c r="BD13" s="566">
        <f>IF(ISNUMBER(System!$C14),PlotData!O14, PlotData!$CB$4)</f>
        <v>2.7448269999999999</v>
      </c>
      <c r="BE13" s="567">
        <f>IF(ISNUMBER(System!$C14), AR13,PlotData!$CB$4)</f>
        <v>2.7471807485958828</v>
      </c>
    </row>
    <row r="14" spans="1:61" x14ac:dyDescent="0.35">
      <c r="A14" s="568">
        <v>12</v>
      </c>
      <c r="B14" s="565">
        <v>-5.3663924837919508</v>
      </c>
      <c r="C14" s="566">
        <v>-4.3354970040718186</v>
      </c>
      <c r="D14" s="566">
        <v>-3.3046015243516877</v>
      </c>
      <c r="E14" s="566">
        <v>-2.2737060446315569</v>
      </c>
      <c r="F14" s="566">
        <v>-1.2428105649114263</v>
      </c>
      <c r="G14" s="566">
        <v>-0.21191508519129587</v>
      </c>
      <c r="H14" s="566">
        <v>0.81898039452883464</v>
      </c>
      <c r="I14" s="566">
        <v>1.8498758742489649</v>
      </c>
      <c r="J14" s="566">
        <v>2.8807713539690956</v>
      </c>
      <c r="K14" s="566">
        <v>3.911666833689226</v>
      </c>
      <c r="L14" s="567">
        <v>4.9425623134093568</v>
      </c>
      <c r="N14" s="568">
        <v>12</v>
      </c>
      <c r="O14" s="565">
        <v>2.4487858870461445</v>
      </c>
      <c r="P14" s="566">
        <v>1.978368877969215</v>
      </c>
      <c r="Q14" s="566">
        <v>1.5079518688922862</v>
      </c>
      <c r="R14" s="566">
        <v>1.0375348598153571</v>
      </c>
      <c r="S14" s="566">
        <v>0.56711785073842824</v>
      </c>
      <c r="T14" s="566">
        <v>9.6700841661499559E-2</v>
      </c>
      <c r="U14" s="566">
        <v>-0.37371616741542923</v>
      </c>
      <c r="V14" s="566">
        <v>-0.84413317649235797</v>
      </c>
      <c r="W14" s="566">
        <v>-1.3145501855692867</v>
      </c>
      <c r="X14" s="566">
        <v>-1.7849671946462156</v>
      </c>
      <c r="Y14" s="567">
        <v>-2.2553842037231444</v>
      </c>
      <c r="AA14" s="569">
        <v>12</v>
      </c>
      <c r="AB14" s="565">
        <f>IF(ISNUMBER(System!$C15),PlotData!B15+Momente!$E$2* $AF$1*B14,PlotData!$CB$3)</f>
        <v>3.216186451938265</v>
      </c>
      <c r="AC14" s="566">
        <f>IF(ISNUMBER(System!$C15),PlotData!C15+ Momente!$E$2*$AF$1*C14,PlotData!$CB$3)</f>
        <v>3.1652574621572471</v>
      </c>
      <c r="AD14" s="566">
        <f>IF(ISNUMBER(System!$C15),PlotData!D15+ Momente!$E$2*$AF$1*D14,PlotData!$CB$3)</f>
        <v>3.1143284723762292</v>
      </c>
      <c r="AE14" s="566">
        <f>IF(ISNUMBER(System!$C15),PlotData!E15+Momente!$E$2* $AF$1*E14,PlotData!$CB$3)</f>
        <v>3.0633994825952113</v>
      </c>
      <c r="AF14" s="566">
        <f>IF(ISNUMBER(System!$C15),PlotData!F15+Momente!$E$2* $AF$1*F14,PlotData!$CB$3)</f>
        <v>3.0124704928141934</v>
      </c>
      <c r="AG14" s="566">
        <f>IF(ISNUMBER(System!$C15),PlotData!G15+ Momente!$E$2*$AF$1*G14,PlotData!$CB$3)</f>
        <v>2.9615415030331755</v>
      </c>
      <c r="AH14" s="566">
        <f>IF(ISNUMBER(System!$C15),PlotData!H15+ Momente!$E$2*$AF$1*H14,PlotData!$CB$3)</f>
        <v>2.9106125132521576</v>
      </c>
      <c r="AI14" s="566">
        <f>IF(ISNUMBER(System!$C15),PlotData!I15+ Momente!$E$2*$AF$1*I14,PlotData!$CB$3)</f>
        <v>2.8596835234711397</v>
      </c>
      <c r="AJ14" s="566">
        <f>IF(ISNUMBER(System!$C15),PlotData!J15+ Momente!$E$2*$AF$1*J14,PlotData!$CB$3)</f>
        <v>2.8087545336901218</v>
      </c>
      <c r="AK14" s="566">
        <f>IF(ISNUMBER(System!$C15),PlotData!K15+ Momente!$E$2*$AF$1*K14,PlotData!$CB$3)</f>
        <v>2.7578255439091035</v>
      </c>
      <c r="AL14" s="567">
        <f>IF(ISNUMBER(System!$C15),PlotData!L15+Momente!$E$2* $AF$1*L14,PlotData!$CB$3)</f>
        <v>2.7068965541280856</v>
      </c>
      <c r="AM14" s="565">
        <f>IF(ISNUMBER(System!$C15),PlotData!L15,PlotData!$CB$3)</f>
        <v>2.5508169999999986</v>
      </c>
      <c r="AN14" s="566">
        <f>IF(ISNUMBER(System!$C15),PlotData!B15,PlotData!$CB$3)</f>
        <v>3.38565</v>
      </c>
      <c r="AO14" s="447">
        <f>IF(ISNUMBER(System!$C15),AB14,PlotData!$CB$3)</f>
        <v>3.216186451938265</v>
      </c>
      <c r="AQ14" s="569">
        <v>12</v>
      </c>
      <c r="AR14" s="565">
        <f>IF(ISNUMBER(System!$C15),PlotData!O15+ Momente!$E$2*$AF$1*O14,PlotData!$CB$4)</f>
        <v>2.8066604063219756</v>
      </c>
      <c r="AS14" s="566">
        <f>IF(ISNUMBER(System!$C15),PlotData!P15+Momente!$E$2* $AF$1*P14,PlotData!$CB$4)</f>
        <v>2.6088557618897452</v>
      </c>
      <c r="AT14" s="566">
        <f>IF(ISNUMBER(System!$C15),PlotData!Q15+ Momente!$E$2*$AF$1*Q14,PlotData!$CB$4)</f>
        <v>2.4110511174575149</v>
      </c>
      <c r="AU14" s="566">
        <f>IF(ISNUMBER(System!$C15),PlotData!R15+Momente!$E$2* $AF$1*R14,PlotData!$CB$4)</f>
        <v>2.2132464730252845</v>
      </c>
      <c r="AV14" s="566">
        <f>IF(ISNUMBER(System!$C15),PlotData!S15+ Momente!$E$2*$AF$1*S14,PlotData!$CB$4)</f>
        <v>2.0154418285930538</v>
      </c>
      <c r="AW14" s="566">
        <f>IF(ISNUMBER(System!$C15),PlotData!T15+ Momente!$E$2*$AF$1*T14,PlotData!$CB$4)</f>
        <v>1.8176371841608232</v>
      </c>
      <c r="AX14" s="566">
        <f>IF(ISNUMBER(System!$C15),PlotData!U15+ Momente!$E$2*$AF$1*U14,PlotData!$CB$4)</f>
        <v>1.6198325397285924</v>
      </c>
      <c r="AY14" s="566">
        <f>IF(ISNUMBER(System!$C15),PlotData!V15+ Momente!$E$2*$AF$1*V14,PlotData!$CB$4)</f>
        <v>1.4220278952963619</v>
      </c>
      <c r="AZ14" s="566">
        <f>IF(ISNUMBER(System!$C15),PlotData!W15+ Momente!$E$2*$AF$1*W14,PlotData!$CB$4)</f>
        <v>1.2242232508641313</v>
      </c>
      <c r="BA14" s="566">
        <f>IF(ISNUMBER(System!$C15),PlotData!X15+ Momente!$E$2*$AF$1*X14,PlotData!$CB$4)</f>
        <v>1.0264186064319007</v>
      </c>
      <c r="BB14" s="567">
        <f>IF(ISNUMBER(System!$C15),PlotData!Y15+ Momente!$E$2*$AF$1*Y14,PlotData!$CB$4)</f>
        <v>0.82861396199967008</v>
      </c>
      <c r="BC14" s="607">
        <f>IF(ISNUMBER(System!$C15),PlotData!Y15, PlotData!CB$4)</f>
        <v>0.89983599999999986</v>
      </c>
      <c r="BD14" s="566">
        <f>IF(ISNUMBER(System!$C15),PlotData!O15, PlotData!$CB$4)</f>
        <v>2.7293310000000002</v>
      </c>
      <c r="BE14" s="567">
        <f>IF(ISNUMBER(System!$C15), AR14,PlotData!$CB$4)</f>
        <v>2.8066604063219756</v>
      </c>
    </row>
    <row r="15" spans="1:61" x14ac:dyDescent="0.35">
      <c r="A15" s="568">
        <v>13</v>
      </c>
      <c r="B15" s="565">
        <v>-5.3644379353727683</v>
      </c>
      <c r="C15" s="566">
        <v>-4.3387871811533847</v>
      </c>
      <c r="D15" s="566">
        <v>-3.313136426934002</v>
      </c>
      <c r="E15" s="566">
        <v>-2.2874856727146184</v>
      </c>
      <c r="F15" s="566">
        <v>-1.2618349184952358</v>
      </c>
      <c r="G15" s="566">
        <v>-0.2361841642758527</v>
      </c>
      <c r="H15" s="566">
        <v>0.78946658994353025</v>
      </c>
      <c r="I15" s="566">
        <v>1.8151173441629134</v>
      </c>
      <c r="J15" s="566">
        <v>2.8407680983822963</v>
      </c>
      <c r="K15" s="566">
        <v>3.8664188526016794</v>
      </c>
      <c r="L15" s="567">
        <v>4.8920696068210612</v>
      </c>
      <c r="N15" s="568">
        <v>13</v>
      </c>
      <c r="O15" s="565">
        <v>-2.5172362552786329</v>
      </c>
      <c r="P15" s="566">
        <v>-2.0359546569306226</v>
      </c>
      <c r="Q15" s="566">
        <v>-1.5546730585826125</v>
      </c>
      <c r="R15" s="566">
        <v>-1.0733914602346022</v>
      </c>
      <c r="S15" s="566">
        <v>-0.5921098618865922</v>
      </c>
      <c r="T15" s="566">
        <v>-0.11082826353858218</v>
      </c>
      <c r="U15" s="566">
        <v>0.37045333480942783</v>
      </c>
      <c r="V15" s="566">
        <v>0.85173493315743787</v>
      </c>
      <c r="W15" s="566">
        <v>1.3330165315054479</v>
      </c>
      <c r="X15" s="566">
        <v>1.814298129853458</v>
      </c>
      <c r="Y15" s="567">
        <v>2.2955797282014676</v>
      </c>
      <c r="AA15" s="569">
        <v>13</v>
      </c>
      <c r="AB15" s="565">
        <f>IF(ISNUMBER(System!$C16),PlotData!B16+Momente!$E$2* $AF$1*B15,PlotData!$CB$3)</f>
        <v>4.2366011739817004</v>
      </c>
      <c r="AC15" s="566">
        <f>IF(ISNUMBER(System!$C16),PlotData!C16+ Momente!$E$2*$AF$1*C15,PlotData!$CB$3)</f>
        <v>4.3555651627343712</v>
      </c>
      <c r="AD15" s="566">
        <f>IF(ISNUMBER(System!$C16),PlotData!D16+ Momente!$E$2*$AF$1*D15,PlotData!$CB$3)</f>
        <v>4.474529151487042</v>
      </c>
      <c r="AE15" s="566">
        <f>IF(ISNUMBER(System!$C16),PlotData!E16+Momente!$E$2* $AF$1*E15,PlotData!$CB$3)</f>
        <v>4.5934931402397128</v>
      </c>
      <c r="AF15" s="566">
        <f>IF(ISNUMBER(System!$C16),PlotData!F16+Momente!$E$2* $AF$1*F15,PlotData!$CB$3)</f>
        <v>4.7124571289923836</v>
      </c>
      <c r="AG15" s="566">
        <f>IF(ISNUMBER(System!$C16),PlotData!G16+ Momente!$E$2*$AF$1*G15,PlotData!$CB$3)</f>
        <v>4.8314211177450543</v>
      </c>
      <c r="AH15" s="566">
        <f>IF(ISNUMBER(System!$C16),PlotData!H16+ Momente!$E$2*$AF$1*H15,PlotData!$CB$3)</f>
        <v>4.9503851064977251</v>
      </c>
      <c r="AI15" s="566">
        <f>IF(ISNUMBER(System!$C16),PlotData!I16+ Momente!$E$2*$AF$1*I15,PlotData!$CB$3)</f>
        <v>5.0693490952503968</v>
      </c>
      <c r="AJ15" s="566">
        <f>IF(ISNUMBER(System!$C16),PlotData!J16+ Momente!$E$2*$AF$1*J15,PlotData!$CB$3)</f>
        <v>5.1883130840030676</v>
      </c>
      <c r="AK15" s="566">
        <f>IF(ISNUMBER(System!$C16),PlotData!K16+ Momente!$E$2*$AF$1*K15,PlotData!$CB$3)</f>
        <v>5.3072770727557383</v>
      </c>
      <c r="AL15" s="567">
        <f>IF(ISNUMBER(System!$C16),PlotData!L16+Momente!$E$2* $AF$1*L15,PlotData!$CB$3)</f>
        <v>5.4262410615084091</v>
      </c>
      <c r="AM15" s="565">
        <f>IF(ISNUMBER(System!$C16),PlotData!L16,PlotData!$CB$3)</f>
        <v>5.2717559999999981</v>
      </c>
      <c r="AN15" s="566">
        <f>IF(ISNUMBER(System!$C16),PlotData!B16,PlotData!$CB$3)</f>
        <v>4.4060030000000001</v>
      </c>
      <c r="AO15" s="447">
        <f>IF(ISNUMBER(System!$C16),AB15,PlotData!$CB$3)</f>
        <v>4.2366011739817004</v>
      </c>
      <c r="AQ15" s="569">
        <v>13</v>
      </c>
      <c r="AR15" s="565">
        <f>IF(ISNUMBER(System!$C16),PlotData!O16+ Momente!$E$2*$AF$1*O15,PlotData!$CB$4)</f>
        <v>2.6653360219514233</v>
      </c>
      <c r="AS15" s="566">
        <f>IF(ISNUMBER(System!$C16),PlotData!P16+Momente!$E$2* $AF$1*P15,PlotData!$CB$4)</f>
        <v>2.4960351556846456</v>
      </c>
      <c r="AT15" s="566">
        <f>IF(ISNUMBER(System!$C16),PlotData!Q16+ Momente!$E$2*$AF$1*Q15,PlotData!$CB$4)</f>
        <v>2.3267342894178675</v>
      </c>
      <c r="AU15" s="566">
        <f>IF(ISNUMBER(System!$C16),PlotData!R16+Momente!$E$2* $AF$1*R15,PlotData!$CB$4)</f>
        <v>2.1574334231510899</v>
      </c>
      <c r="AV15" s="566">
        <f>IF(ISNUMBER(System!$C16),PlotData!S16+ Momente!$E$2*$AF$1*S15,PlotData!$CB$4)</f>
        <v>1.9881325568843118</v>
      </c>
      <c r="AW15" s="566">
        <f>IF(ISNUMBER(System!$C16),PlotData!T16+ Momente!$E$2*$AF$1*T15,PlotData!$CB$4)</f>
        <v>1.8188316906175339</v>
      </c>
      <c r="AX15" s="566">
        <f>IF(ISNUMBER(System!$C16),PlotData!U16+ Momente!$E$2*$AF$1*U15,PlotData!$CB$4)</f>
        <v>1.649530824350756</v>
      </c>
      <c r="AY15" s="566">
        <f>IF(ISNUMBER(System!$C16),PlotData!V16+ Momente!$E$2*$AF$1*V15,PlotData!$CB$4)</f>
        <v>1.4802299580839782</v>
      </c>
      <c r="AZ15" s="566">
        <f>IF(ISNUMBER(System!$C16),PlotData!W16+ Momente!$E$2*$AF$1*W15,PlotData!$CB$4)</f>
        <v>1.3109290918172003</v>
      </c>
      <c r="BA15" s="566">
        <f>IF(ISNUMBER(System!$C16),PlotData!X16+ Momente!$E$2*$AF$1*X15,PlotData!$CB$4)</f>
        <v>1.1416282255504224</v>
      </c>
      <c r="BB15" s="567">
        <f>IF(ISNUMBER(System!$C16),PlotData!Y16+ Momente!$E$2*$AF$1*Y15,PlotData!$CB$4)</f>
        <v>0.97232735928364444</v>
      </c>
      <c r="BC15" s="607">
        <f>IF(ISNUMBER(System!$C16),PlotData!Y16, PlotData!CB$4)</f>
        <v>0.89983599999999964</v>
      </c>
      <c r="BD15" s="566">
        <f>IF(ISNUMBER(System!$C16),PlotData!O16, PlotData!$CB$4)</f>
        <v>2.7448269999999999</v>
      </c>
      <c r="BE15" s="567">
        <f>IF(ISNUMBER(System!$C16), AR15,PlotData!$CB$4)</f>
        <v>2.6653360219514233</v>
      </c>
    </row>
    <row r="16" spans="1:61" x14ac:dyDescent="0.35">
      <c r="A16" s="568">
        <v>14</v>
      </c>
      <c r="B16" s="565">
        <v>0</v>
      </c>
      <c r="C16" s="566">
        <v>0</v>
      </c>
      <c r="D16" s="566">
        <v>0</v>
      </c>
      <c r="E16" s="566">
        <v>0</v>
      </c>
      <c r="F16" s="566">
        <v>0</v>
      </c>
      <c r="G16" s="566">
        <v>0</v>
      </c>
      <c r="H16" s="566">
        <v>0</v>
      </c>
      <c r="I16" s="566">
        <v>0</v>
      </c>
      <c r="J16" s="566">
        <v>0</v>
      </c>
      <c r="K16" s="566">
        <v>0</v>
      </c>
      <c r="L16" s="567">
        <v>0</v>
      </c>
      <c r="N16" s="568">
        <v>14</v>
      </c>
      <c r="O16" s="565">
        <v>0</v>
      </c>
      <c r="P16" s="566">
        <v>0</v>
      </c>
      <c r="Q16" s="566">
        <v>0</v>
      </c>
      <c r="R16" s="566">
        <v>0</v>
      </c>
      <c r="S16" s="566">
        <v>0</v>
      </c>
      <c r="T16" s="566">
        <v>0</v>
      </c>
      <c r="U16" s="566">
        <v>0</v>
      </c>
      <c r="V16" s="566">
        <v>0</v>
      </c>
      <c r="W16" s="566">
        <v>0</v>
      </c>
      <c r="X16" s="566">
        <v>0</v>
      </c>
      <c r="Y16" s="567">
        <v>0</v>
      </c>
      <c r="AA16" s="569">
        <v>14</v>
      </c>
      <c r="AB16" s="565">
        <f>IF(ISNUMBER(System!$C17),PlotData!B17+Momente!$E$2* $AF$1*B16,PlotData!$CB$3)</f>
        <v>-6.45</v>
      </c>
      <c r="AC16" s="566">
        <f>IF(ISNUMBER(System!$C17),PlotData!C17+ Momente!$E$2*$AF$1*C16,PlotData!$CB$3)</f>
        <v>-6.3900000000000006</v>
      </c>
      <c r="AD16" s="566">
        <f>IF(ISNUMBER(System!$C17),PlotData!D17+ Momente!$E$2*$AF$1*D16,PlotData!$CB$3)</f>
        <v>-6.33</v>
      </c>
      <c r="AE16" s="566">
        <f>IF(ISNUMBER(System!$C17),PlotData!E17+Momente!$E$2* $AF$1*E16,PlotData!$CB$3)</f>
        <v>-6.27</v>
      </c>
      <c r="AF16" s="566">
        <f>IF(ISNUMBER(System!$C17),PlotData!F17+Momente!$E$2* $AF$1*F16,PlotData!$CB$3)</f>
        <v>-6.2099999999999991</v>
      </c>
      <c r="AG16" s="566">
        <f>IF(ISNUMBER(System!$C17),PlotData!G17+ Momente!$E$2*$AF$1*G16,PlotData!$CB$3)</f>
        <v>-6.1499999999999986</v>
      </c>
      <c r="AH16" s="566">
        <f>IF(ISNUMBER(System!$C17),PlotData!H17+ Momente!$E$2*$AF$1*H16,PlotData!$CB$3)</f>
        <v>-6.0899999999999981</v>
      </c>
      <c r="AI16" s="566">
        <f>IF(ISNUMBER(System!$C17),PlotData!I17+ Momente!$E$2*$AF$1*I16,PlotData!$CB$3)</f>
        <v>-6.0299999999999976</v>
      </c>
      <c r="AJ16" s="566">
        <f>IF(ISNUMBER(System!$C17),PlotData!J17+ Momente!$E$2*$AF$1*J16,PlotData!$CB$3)</f>
        <v>-5.9699999999999971</v>
      </c>
      <c r="AK16" s="566">
        <f>IF(ISNUMBER(System!$C17),PlotData!K17+ Momente!$E$2*$AF$1*K16,PlotData!$CB$3)</f>
        <v>-5.9099999999999966</v>
      </c>
      <c r="AL16" s="567">
        <f>IF(ISNUMBER(System!$C17),PlotData!L17+Momente!$E$2* $AF$1*L16,PlotData!$CB$3)</f>
        <v>-5.8499999999999961</v>
      </c>
      <c r="AM16" s="565">
        <f>IF(ISNUMBER(System!$C17),PlotData!L17,PlotData!$CB$3)</f>
        <v>-5.8499999999999961</v>
      </c>
      <c r="AN16" s="566">
        <f>IF(ISNUMBER(System!$C17),PlotData!B17,PlotData!$CB$3)</f>
        <v>-6.45</v>
      </c>
      <c r="AO16" s="447">
        <f>IF(ISNUMBER(System!$C17),AB16,PlotData!$CB$3)</f>
        <v>-6.45</v>
      </c>
      <c r="AQ16" s="569">
        <v>14</v>
      </c>
      <c r="AR16" s="565">
        <f>IF(ISNUMBER(System!$C17),PlotData!O17+ Momente!$E$2*$AF$1*O16,PlotData!$CB$4)</f>
        <v>0.9</v>
      </c>
      <c r="AS16" s="566">
        <f>IF(ISNUMBER(System!$C17),PlotData!P17+Momente!$E$2* $AF$1*P16,PlotData!$CB$4)</f>
        <v>0.9</v>
      </c>
      <c r="AT16" s="566">
        <f>IF(ISNUMBER(System!$C17),PlotData!Q17+ Momente!$E$2*$AF$1*Q16,PlotData!$CB$4)</f>
        <v>0.9</v>
      </c>
      <c r="AU16" s="566">
        <f>IF(ISNUMBER(System!$C17),PlotData!R17+Momente!$E$2* $AF$1*R16,PlotData!$CB$4)</f>
        <v>0.9</v>
      </c>
      <c r="AV16" s="566">
        <f>IF(ISNUMBER(System!$C17),PlotData!S17+ Momente!$E$2*$AF$1*S16,PlotData!$CB$4)</f>
        <v>0.9</v>
      </c>
      <c r="AW16" s="566">
        <f>IF(ISNUMBER(System!$C17),PlotData!T17+ Momente!$E$2*$AF$1*T16,PlotData!$CB$4)</f>
        <v>0.9</v>
      </c>
      <c r="AX16" s="566">
        <f>IF(ISNUMBER(System!$C17),PlotData!U17+ Momente!$E$2*$AF$1*U16,PlotData!$CB$4)</f>
        <v>0.9</v>
      </c>
      <c r="AY16" s="566">
        <f>IF(ISNUMBER(System!$C17),PlotData!V17+ Momente!$E$2*$AF$1*V16,PlotData!$CB$4)</f>
        <v>0.9</v>
      </c>
      <c r="AZ16" s="566">
        <f>IF(ISNUMBER(System!$C17),PlotData!W17+ Momente!$E$2*$AF$1*W16,PlotData!$CB$4)</f>
        <v>0.9</v>
      </c>
      <c r="BA16" s="566">
        <f>IF(ISNUMBER(System!$C17),PlotData!X17+ Momente!$E$2*$AF$1*X16,PlotData!$CB$4)</f>
        <v>0.9</v>
      </c>
      <c r="BB16" s="567">
        <f>IF(ISNUMBER(System!$C17),PlotData!Y17+ Momente!$E$2*$AF$1*Y16,PlotData!$CB$4)</f>
        <v>0.9</v>
      </c>
      <c r="BC16" s="607">
        <f>IF(ISNUMBER(System!$C17),PlotData!Y17, PlotData!CB$4)</f>
        <v>0.9</v>
      </c>
      <c r="BD16" s="566">
        <f>IF(ISNUMBER(System!$C17),PlotData!O17, PlotData!$CB$4)</f>
        <v>0.9</v>
      </c>
      <c r="BE16" s="567">
        <f>IF(ISNUMBER(System!$C17), AR16,PlotData!$CB$4)</f>
        <v>0.9</v>
      </c>
    </row>
    <row r="17" spans="1:57" x14ac:dyDescent="0.35">
      <c r="A17" s="568">
        <v>15</v>
      </c>
      <c r="B17" s="565">
        <v>0</v>
      </c>
      <c r="C17" s="566">
        <v>0</v>
      </c>
      <c r="D17" s="566">
        <v>0</v>
      </c>
      <c r="E17" s="566">
        <v>0</v>
      </c>
      <c r="F17" s="566">
        <v>0</v>
      </c>
      <c r="G17" s="566">
        <v>0</v>
      </c>
      <c r="H17" s="566">
        <v>0</v>
      </c>
      <c r="I17" s="566">
        <v>0</v>
      </c>
      <c r="J17" s="566">
        <v>0</v>
      </c>
      <c r="K17" s="566">
        <v>0</v>
      </c>
      <c r="L17" s="567">
        <v>0</v>
      </c>
      <c r="N17" s="568">
        <v>15</v>
      </c>
      <c r="O17" s="565">
        <v>0</v>
      </c>
      <c r="P17" s="566">
        <v>0</v>
      </c>
      <c r="Q17" s="566">
        <v>0</v>
      </c>
      <c r="R17" s="566">
        <v>0</v>
      </c>
      <c r="S17" s="566">
        <v>0</v>
      </c>
      <c r="T17" s="566">
        <v>0</v>
      </c>
      <c r="U17" s="566">
        <v>0</v>
      </c>
      <c r="V17" s="566">
        <v>0</v>
      </c>
      <c r="W17" s="566">
        <v>0</v>
      </c>
      <c r="X17" s="566">
        <v>0</v>
      </c>
      <c r="Y17" s="567">
        <v>0</v>
      </c>
      <c r="AA17" s="569">
        <v>15</v>
      </c>
      <c r="AB17" s="565">
        <f>IF(ISNUMBER(System!$C18),PlotData!B18+Momente!$E$2* $AF$1*B17,PlotData!$CB$3)</f>
        <v>-5.85</v>
      </c>
      <c r="AC17" s="566">
        <f>IF(ISNUMBER(System!$C18),PlotData!C18+ Momente!$E$2*$AF$1*C17,PlotData!$CB$3)</f>
        <v>-5.6999999999999993</v>
      </c>
      <c r="AD17" s="566">
        <f>IF(ISNUMBER(System!$C18),PlotData!D18+ Momente!$E$2*$AF$1*D17,PlotData!$CB$3)</f>
        <v>-5.5499999999999989</v>
      </c>
      <c r="AE17" s="566">
        <f>IF(ISNUMBER(System!$C18),PlotData!E18+Momente!$E$2* $AF$1*E17,PlotData!$CB$3)</f>
        <v>-5.3999999999999986</v>
      </c>
      <c r="AF17" s="566">
        <f>IF(ISNUMBER(System!$C18),PlotData!F18+Momente!$E$2* $AF$1*F17,PlotData!$CB$3)</f>
        <v>-5.2499999999999982</v>
      </c>
      <c r="AG17" s="566">
        <f>IF(ISNUMBER(System!$C18),PlotData!G18+ Momente!$E$2*$AF$1*G17,PlotData!$CB$3)</f>
        <v>-5.0999999999999979</v>
      </c>
      <c r="AH17" s="566">
        <f>IF(ISNUMBER(System!$C18),PlotData!H18+ Momente!$E$2*$AF$1*H17,PlotData!$CB$3)</f>
        <v>-4.9499999999999975</v>
      </c>
      <c r="AI17" s="566">
        <f>IF(ISNUMBER(System!$C18),PlotData!I18+ Momente!$E$2*$AF$1*I17,PlotData!$CB$3)</f>
        <v>-4.7999999999999972</v>
      </c>
      <c r="AJ17" s="566">
        <f>IF(ISNUMBER(System!$C18),PlotData!J18+ Momente!$E$2*$AF$1*J17,PlotData!$CB$3)</f>
        <v>-4.6499999999999968</v>
      </c>
      <c r="AK17" s="566">
        <f>IF(ISNUMBER(System!$C18),PlotData!K18+ Momente!$E$2*$AF$1*K17,PlotData!$CB$3)</f>
        <v>-4.4999999999999964</v>
      </c>
      <c r="AL17" s="567">
        <f>IF(ISNUMBER(System!$C18),PlotData!L18+Momente!$E$2* $AF$1*L17,PlotData!$CB$3)</f>
        <v>-4.3499999999999961</v>
      </c>
      <c r="AM17" s="565">
        <f>IF(ISNUMBER(System!$C18),PlotData!L18,PlotData!$CB$3)</f>
        <v>-4.3499999999999961</v>
      </c>
      <c r="AN17" s="566">
        <f>IF(ISNUMBER(System!$C18),PlotData!B18,PlotData!$CB$3)</f>
        <v>-5.85</v>
      </c>
      <c r="AO17" s="447">
        <f>IF(ISNUMBER(System!$C18),AB17,PlotData!$CB$3)</f>
        <v>-5.85</v>
      </c>
      <c r="AQ17" s="569">
        <v>15</v>
      </c>
      <c r="AR17" s="565">
        <f>IF(ISNUMBER(System!$C18),PlotData!O18+ Momente!$E$2*$AF$1*O17,PlotData!$CB$4)</f>
        <v>0.9</v>
      </c>
      <c r="AS17" s="566">
        <f>IF(ISNUMBER(System!$C18),PlotData!P18+Momente!$E$2* $AF$1*P17,PlotData!$CB$4)</f>
        <v>0.9</v>
      </c>
      <c r="AT17" s="566">
        <f>IF(ISNUMBER(System!$C18),PlotData!Q18+ Momente!$E$2*$AF$1*Q17,PlotData!$CB$4)</f>
        <v>0.9</v>
      </c>
      <c r="AU17" s="566">
        <f>IF(ISNUMBER(System!$C18),PlotData!R18+Momente!$E$2* $AF$1*R17,PlotData!$CB$4)</f>
        <v>0.9</v>
      </c>
      <c r="AV17" s="566">
        <f>IF(ISNUMBER(System!$C18),PlotData!S18+ Momente!$E$2*$AF$1*S17,PlotData!$CB$4)</f>
        <v>0.9</v>
      </c>
      <c r="AW17" s="566">
        <f>IF(ISNUMBER(System!$C18),PlotData!T18+ Momente!$E$2*$AF$1*T17,PlotData!$CB$4)</f>
        <v>0.9</v>
      </c>
      <c r="AX17" s="566">
        <f>IF(ISNUMBER(System!$C18),PlotData!U18+ Momente!$E$2*$AF$1*U17,PlotData!$CB$4)</f>
        <v>0.9</v>
      </c>
      <c r="AY17" s="566">
        <f>IF(ISNUMBER(System!$C18),PlotData!V18+ Momente!$E$2*$AF$1*V17,PlotData!$CB$4)</f>
        <v>0.9</v>
      </c>
      <c r="AZ17" s="566">
        <f>IF(ISNUMBER(System!$C18),PlotData!W18+ Momente!$E$2*$AF$1*W17,PlotData!$CB$4)</f>
        <v>0.9</v>
      </c>
      <c r="BA17" s="566">
        <f>IF(ISNUMBER(System!$C18),PlotData!X18+ Momente!$E$2*$AF$1*X17,PlotData!$CB$4)</f>
        <v>0.9</v>
      </c>
      <c r="BB17" s="567">
        <f>IF(ISNUMBER(System!$C18),PlotData!Y18+ Momente!$E$2*$AF$1*Y17,PlotData!$CB$4)</f>
        <v>0.9</v>
      </c>
      <c r="BC17" s="607">
        <f>IF(ISNUMBER(System!$C18),PlotData!Y18, PlotData!CB$4)</f>
        <v>0.9</v>
      </c>
      <c r="BD17" s="566">
        <f>IF(ISNUMBER(System!$C18),PlotData!O18, PlotData!$CB$4)</f>
        <v>0.9</v>
      </c>
      <c r="BE17" s="567">
        <f>IF(ISNUMBER(System!$C18), AR17,PlotData!$CB$4)</f>
        <v>0.9</v>
      </c>
    </row>
    <row r="18" spans="1:57" x14ac:dyDescent="0.35">
      <c r="A18" s="568">
        <v>16</v>
      </c>
      <c r="B18" s="565">
        <v>0</v>
      </c>
      <c r="C18" s="566">
        <v>0</v>
      </c>
      <c r="D18" s="566">
        <v>0</v>
      </c>
      <c r="E18" s="566">
        <v>0</v>
      </c>
      <c r="F18" s="566">
        <v>0</v>
      </c>
      <c r="G18" s="566">
        <v>0</v>
      </c>
      <c r="H18" s="566">
        <v>0</v>
      </c>
      <c r="I18" s="566">
        <v>0</v>
      </c>
      <c r="J18" s="566">
        <v>0</v>
      </c>
      <c r="K18" s="566">
        <v>0</v>
      </c>
      <c r="L18" s="567">
        <v>0</v>
      </c>
      <c r="N18" s="568">
        <v>16</v>
      </c>
      <c r="O18" s="565">
        <v>0</v>
      </c>
      <c r="P18" s="566">
        <v>0</v>
      </c>
      <c r="Q18" s="566">
        <v>0</v>
      </c>
      <c r="R18" s="566">
        <v>0</v>
      </c>
      <c r="S18" s="566">
        <v>0</v>
      </c>
      <c r="T18" s="566">
        <v>0</v>
      </c>
      <c r="U18" s="566">
        <v>0</v>
      </c>
      <c r="V18" s="566">
        <v>0</v>
      </c>
      <c r="W18" s="566">
        <v>0</v>
      </c>
      <c r="X18" s="566">
        <v>0</v>
      </c>
      <c r="Y18" s="567">
        <v>0</v>
      </c>
      <c r="AA18" s="569">
        <v>16</v>
      </c>
      <c r="AB18" s="565">
        <f>IF(ISNUMBER(System!$C19),PlotData!B19+Momente!$E$2* $AF$1*B18,PlotData!$CB$3)</f>
        <v>-4.3499999999999996</v>
      </c>
      <c r="AC18" s="566">
        <f>IF(ISNUMBER(System!$C19),PlotData!C19+ Momente!$E$2*$AF$1*C18,PlotData!$CB$3)</f>
        <v>-4.29</v>
      </c>
      <c r="AD18" s="566">
        <f>IF(ISNUMBER(System!$C19),PlotData!D19+ Momente!$E$2*$AF$1*D18,PlotData!$CB$3)</f>
        <v>-4.2300000000000004</v>
      </c>
      <c r="AE18" s="566">
        <f>IF(ISNUMBER(System!$C19),PlotData!E19+Momente!$E$2* $AF$1*E18,PlotData!$CB$3)</f>
        <v>-4.1700000000000008</v>
      </c>
      <c r="AF18" s="566">
        <f>IF(ISNUMBER(System!$C19),PlotData!F19+Momente!$E$2* $AF$1*F18,PlotData!$CB$3)</f>
        <v>-4.1100000000000012</v>
      </c>
      <c r="AG18" s="566">
        <f>IF(ISNUMBER(System!$C19),PlotData!G19+ Momente!$E$2*$AF$1*G18,PlotData!$CB$3)</f>
        <v>-4.0500000000000016</v>
      </c>
      <c r="AH18" s="566">
        <f>IF(ISNUMBER(System!$C19),PlotData!H19+ Momente!$E$2*$AF$1*H18,PlotData!$CB$3)</f>
        <v>-3.9900000000000015</v>
      </c>
      <c r="AI18" s="566">
        <f>IF(ISNUMBER(System!$C19),PlotData!I19+ Momente!$E$2*$AF$1*I18,PlotData!$CB$3)</f>
        <v>-3.9300000000000015</v>
      </c>
      <c r="AJ18" s="566">
        <f>IF(ISNUMBER(System!$C19),PlotData!J19+ Momente!$E$2*$AF$1*J18,PlotData!$CB$3)</f>
        <v>-3.8700000000000014</v>
      </c>
      <c r="AK18" s="566">
        <f>IF(ISNUMBER(System!$C19),PlotData!K19+ Momente!$E$2*$AF$1*K18,PlotData!$CB$3)</f>
        <v>-3.8100000000000014</v>
      </c>
      <c r="AL18" s="567">
        <f>IF(ISNUMBER(System!$C19),PlotData!L19+Momente!$E$2* $AF$1*L18,PlotData!$CB$3)</f>
        <v>-3.7500000000000013</v>
      </c>
      <c r="AM18" s="565">
        <f>IF(ISNUMBER(System!$C19),PlotData!L19,PlotData!$CB$3)</f>
        <v>-3.7500000000000013</v>
      </c>
      <c r="AN18" s="566">
        <f>IF(ISNUMBER(System!$C19),PlotData!B19,PlotData!$CB$3)</f>
        <v>-4.3499999999999996</v>
      </c>
      <c r="AO18" s="447">
        <f>IF(ISNUMBER(System!$C19),AB18,PlotData!$CB$3)</f>
        <v>-4.3499999999999996</v>
      </c>
      <c r="AQ18" s="569">
        <v>16</v>
      </c>
      <c r="AR18" s="565">
        <f>IF(ISNUMBER(System!$C19),PlotData!O19+ Momente!$E$2*$AF$1*O18,PlotData!$CB$4)</f>
        <v>0.9</v>
      </c>
      <c r="AS18" s="566">
        <f>IF(ISNUMBER(System!$C19),PlotData!P19+Momente!$E$2* $AF$1*P18,PlotData!$CB$4)</f>
        <v>0.9</v>
      </c>
      <c r="AT18" s="566">
        <f>IF(ISNUMBER(System!$C19),PlotData!Q19+ Momente!$E$2*$AF$1*Q18,PlotData!$CB$4)</f>
        <v>0.9</v>
      </c>
      <c r="AU18" s="566">
        <f>IF(ISNUMBER(System!$C19),PlotData!R19+Momente!$E$2* $AF$1*R18,PlotData!$CB$4)</f>
        <v>0.9</v>
      </c>
      <c r="AV18" s="566">
        <f>IF(ISNUMBER(System!$C19),PlotData!S19+ Momente!$E$2*$AF$1*S18,PlotData!$CB$4)</f>
        <v>0.9</v>
      </c>
      <c r="AW18" s="566">
        <f>IF(ISNUMBER(System!$C19),PlotData!T19+ Momente!$E$2*$AF$1*T18,PlotData!$CB$4)</f>
        <v>0.9</v>
      </c>
      <c r="AX18" s="566">
        <f>IF(ISNUMBER(System!$C19),PlotData!U19+ Momente!$E$2*$AF$1*U18,PlotData!$CB$4)</f>
        <v>0.9</v>
      </c>
      <c r="AY18" s="566">
        <f>IF(ISNUMBER(System!$C19),PlotData!V19+ Momente!$E$2*$AF$1*V18,PlotData!$CB$4)</f>
        <v>0.9</v>
      </c>
      <c r="AZ18" s="566">
        <f>IF(ISNUMBER(System!$C19),PlotData!W19+ Momente!$E$2*$AF$1*W18,PlotData!$CB$4)</f>
        <v>0.9</v>
      </c>
      <c r="BA18" s="566">
        <f>IF(ISNUMBER(System!$C19),PlotData!X19+ Momente!$E$2*$AF$1*X18,PlotData!$CB$4)</f>
        <v>0.9</v>
      </c>
      <c r="BB18" s="567">
        <f>IF(ISNUMBER(System!$C19),PlotData!Y19+ Momente!$E$2*$AF$1*Y18,PlotData!$CB$4)</f>
        <v>0.9</v>
      </c>
      <c r="BC18" s="607">
        <f>IF(ISNUMBER(System!$C19),PlotData!Y19, PlotData!CB$4)</f>
        <v>0.9</v>
      </c>
      <c r="BD18" s="566">
        <f>IF(ISNUMBER(System!$C19),PlotData!O19, PlotData!$CB$4)</f>
        <v>0.9</v>
      </c>
      <c r="BE18" s="567">
        <f>IF(ISNUMBER(System!$C19), AR18,PlotData!$CB$4)</f>
        <v>0.9</v>
      </c>
    </row>
    <row r="19" spans="1:57" x14ac:dyDescent="0.35">
      <c r="A19" s="568">
        <v>17</v>
      </c>
      <c r="B19" s="565">
        <v>0</v>
      </c>
      <c r="C19" s="566">
        <v>0</v>
      </c>
      <c r="D19" s="566">
        <v>0</v>
      </c>
      <c r="E19" s="566">
        <v>0</v>
      </c>
      <c r="F19" s="566">
        <v>0</v>
      </c>
      <c r="G19" s="566">
        <v>0</v>
      </c>
      <c r="H19" s="566">
        <v>0</v>
      </c>
      <c r="I19" s="566">
        <v>0</v>
      </c>
      <c r="J19" s="566">
        <v>0</v>
      </c>
      <c r="K19" s="566">
        <v>0</v>
      </c>
      <c r="L19" s="567">
        <v>0</v>
      </c>
      <c r="N19" s="568">
        <v>17</v>
      </c>
      <c r="O19" s="565">
        <v>0</v>
      </c>
      <c r="P19" s="566">
        <v>0</v>
      </c>
      <c r="Q19" s="566">
        <v>0</v>
      </c>
      <c r="R19" s="566">
        <v>0</v>
      </c>
      <c r="S19" s="566">
        <v>0</v>
      </c>
      <c r="T19" s="566">
        <v>0</v>
      </c>
      <c r="U19" s="566">
        <v>0</v>
      </c>
      <c r="V19" s="566">
        <v>0</v>
      </c>
      <c r="W19" s="566">
        <v>0</v>
      </c>
      <c r="X19" s="566">
        <v>0</v>
      </c>
      <c r="Y19" s="567">
        <v>0</v>
      </c>
      <c r="AA19" s="569">
        <v>17</v>
      </c>
      <c r="AB19" s="565">
        <f>IF(ISNUMBER(System!$C20),PlotData!B20+Momente!$E$2* $AF$1*B19,PlotData!$CB$3)</f>
        <v>-5.55</v>
      </c>
      <c r="AC19" s="566">
        <f>IF(ISNUMBER(System!$C20),PlotData!C20+ Momente!$E$2*$AF$1*C19,PlotData!$CB$3)</f>
        <v>-5.58</v>
      </c>
      <c r="AD19" s="566">
        <f>IF(ISNUMBER(System!$C20),PlotData!D20+ Momente!$E$2*$AF$1*D19,PlotData!$CB$3)</f>
        <v>-5.61</v>
      </c>
      <c r="AE19" s="566">
        <f>IF(ISNUMBER(System!$C20),PlotData!E20+Momente!$E$2* $AF$1*E19,PlotData!$CB$3)</f>
        <v>-5.6400000000000006</v>
      </c>
      <c r="AF19" s="566">
        <f>IF(ISNUMBER(System!$C20),PlotData!F20+Momente!$E$2* $AF$1*F19,PlotData!$CB$3)</f>
        <v>-5.6700000000000008</v>
      </c>
      <c r="AG19" s="566">
        <f>IF(ISNUMBER(System!$C20),PlotData!G20+ Momente!$E$2*$AF$1*G19,PlotData!$CB$3)</f>
        <v>-5.7000000000000011</v>
      </c>
      <c r="AH19" s="566">
        <f>IF(ISNUMBER(System!$C20),PlotData!H20+ Momente!$E$2*$AF$1*H19,PlotData!$CB$3)</f>
        <v>-5.7300000000000013</v>
      </c>
      <c r="AI19" s="566">
        <f>IF(ISNUMBER(System!$C20),PlotData!I20+ Momente!$E$2*$AF$1*I19,PlotData!$CB$3)</f>
        <v>-5.7600000000000016</v>
      </c>
      <c r="AJ19" s="566">
        <f>IF(ISNUMBER(System!$C20),PlotData!J20+ Momente!$E$2*$AF$1*J19,PlotData!$CB$3)</f>
        <v>-5.7900000000000018</v>
      </c>
      <c r="AK19" s="566">
        <f>IF(ISNUMBER(System!$C20),PlotData!K20+ Momente!$E$2*$AF$1*K19,PlotData!$CB$3)</f>
        <v>-5.8200000000000021</v>
      </c>
      <c r="AL19" s="567">
        <f>IF(ISNUMBER(System!$C20),PlotData!L20+Momente!$E$2* $AF$1*L19,PlotData!$CB$3)</f>
        <v>-5.8500000000000023</v>
      </c>
      <c r="AM19" s="565">
        <f>IF(ISNUMBER(System!$C20),PlotData!L20,PlotData!$CB$3)</f>
        <v>-5.8500000000000023</v>
      </c>
      <c r="AN19" s="566">
        <f>IF(ISNUMBER(System!$C20),PlotData!B20,PlotData!$CB$3)</f>
        <v>-5.55</v>
      </c>
      <c r="AO19" s="447">
        <f>IF(ISNUMBER(System!$C20),AB19,PlotData!$CB$3)</f>
        <v>-5.55</v>
      </c>
      <c r="AQ19" s="569">
        <v>17</v>
      </c>
      <c r="AR19" s="565">
        <f>IF(ISNUMBER(System!$C20),PlotData!O20+ Momente!$E$2*$AF$1*O19,PlotData!$CB$4)</f>
        <v>2.85</v>
      </c>
      <c r="AS19" s="566">
        <f>IF(ISNUMBER(System!$C20),PlotData!P20+Momente!$E$2* $AF$1*P19,PlotData!$CB$4)</f>
        <v>2.6550000000000002</v>
      </c>
      <c r="AT19" s="566">
        <f>IF(ISNUMBER(System!$C20),PlotData!Q20+ Momente!$E$2*$AF$1*Q19,PlotData!$CB$4)</f>
        <v>2.4600000000000004</v>
      </c>
      <c r="AU19" s="566">
        <f>IF(ISNUMBER(System!$C20),PlotData!R20+Momente!$E$2* $AF$1*R19,PlotData!$CB$4)</f>
        <v>2.2650000000000006</v>
      </c>
      <c r="AV19" s="566">
        <f>IF(ISNUMBER(System!$C20),PlotData!S20+ Momente!$E$2*$AF$1*S19,PlotData!$CB$4)</f>
        <v>2.0700000000000007</v>
      </c>
      <c r="AW19" s="566">
        <f>IF(ISNUMBER(System!$C20),PlotData!T20+ Momente!$E$2*$AF$1*T19,PlotData!$CB$4)</f>
        <v>1.8750000000000007</v>
      </c>
      <c r="AX19" s="566">
        <f>IF(ISNUMBER(System!$C20),PlotData!U20+ Momente!$E$2*$AF$1*U19,PlotData!$CB$4)</f>
        <v>1.6800000000000006</v>
      </c>
      <c r="AY19" s="566">
        <f>IF(ISNUMBER(System!$C20),PlotData!V20+ Momente!$E$2*$AF$1*V19,PlotData!$CB$4)</f>
        <v>1.4850000000000005</v>
      </c>
      <c r="AZ19" s="566">
        <f>IF(ISNUMBER(System!$C20),PlotData!W20+ Momente!$E$2*$AF$1*W19,PlotData!$CB$4)</f>
        <v>1.2900000000000005</v>
      </c>
      <c r="BA19" s="566">
        <f>IF(ISNUMBER(System!$C20),PlotData!X20+ Momente!$E$2*$AF$1*X19,PlotData!$CB$4)</f>
        <v>1.0950000000000004</v>
      </c>
      <c r="BB19" s="567">
        <f>IF(ISNUMBER(System!$C20),PlotData!Y20+ Momente!$E$2*$AF$1*Y19,PlotData!$CB$4)</f>
        <v>0.90000000000000036</v>
      </c>
      <c r="BC19" s="607">
        <f>IF(ISNUMBER(System!$C20),PlotData!Y20, PlotData!CB$4)</f>
        <v>0.90000000000000036</v>
      </c>
      <c r="BD19" s="566">
        <f>IF(ISNUMBER(System!$C20),PlotData!O20, PlotData!$CB$4)</f>
        <v>2.85</v>
      </c>
      <c r="BE19" s="567">
        <f>IF(ISNUMBER(System!$C20), AR19,PlotData!$CB$4)</f>
        <v>2.85</v>
      </c>
    </row>
    <row r="20" spans="1:57" x14ac:dyDescent="0.35">
      <c r="A20" s="568">
        <v>18</v>
      </c>
      <c r="B20" s="565">
        <v>0</v>
      </c>
      <c r="C20" s="566">
        <v>0</v>
      </c>
      <c r="D20" s="566">
        <v>0</v>
      </c>
      <c r="E20" s="566">
        <v>0</v>
      </c>
      <c r="F20" s="566">
        <v>0</v>
      </c>
      <c r="G20" s="566">
        <v>0</v>
      </c>
      <c r="H20" s="566">
        <v>0</v>
      </c>
      <c r="I20" s="566">
        <v>0</v>
      </c>
      <c r="J20" s="566">
        <v>0</v>
      </c>
      <c r="K20" s="566">
        <v>0</v>
      </c>
      <c r="L20" s="567">
        <v>0</v>
      </c>
      <c r="N20" s="568">
        <v>18</v>
      </c>
      <c r="O20" s="565">
        <v>0</v>
      </c>
      <c r="P20" s="566">
        <v>0</v>
      </c>
      <c r="Q20" s="566">
        <v>0</v>
      </c>
      <c r="R20" s="566">
        <v>0</v>
      </c>
      <c r="S20" s="566">
        <v>0</v>
      </c>
      <c r="T20" s="566">
        <v>0</v>
      </c>
      <c r="U20" s="566">
        <v>0</v>
      </c>
      <c r="V20" s="566">
        <v>0</v>
      </c>
      <c r="W20" s="566">
        <v>0</v>
      </c>
      <c r="X20" s="566">
        <v>0</v>
      </c>
      <c r="Y20" s="567">
        <v>0</v>
      </c>
      <c r="AA20" s="569">
        <v>18</v>
      </c>
      <c r="AB20" s="565">
        <f>IF(ISNUMBER(System!$C21),PlotData!B21+Momente!$E$2* $AF$1*B20,PlotData!$CB$3)</f>
        <v>-4.6500000000000004</v>
      </c>
      <c r="AC20" s="566">
        <f>IF(ISNUMBER(System!$C21),PlotData!C21+ Momente!$E$2*$AF$1*C20,PlotData!$CB$3)</f>
        <v>-4.62</v>
      </c>
      <c r="AD20" s="566">
        <f>IF(ISNUMBER(System!$C21),PlotData!D21+ Momente!$E$2*$AF$1*D20,PlotData!$CB$3)</f>
        <v>-4.59</v>
      </c>
      <c r="AE20" s="566">
        <f>IF(ISNUMBER(System!$C21),PlotData!E21+Momente!$E$2* $AF$1*E20,PlotData!$CB$3)</f>
        <v>-4.5599999999999996</v>
      </c>
      <c r="AF20" s="566">
        <f>IF(ISNUMBER(System!$C21),PlotData!F21+Momente!$E$2* $AF$1*F20,PlotData!$CB$3)</f>
        <v>-4.5299999999999994</v>
      </c>
      <c r="AG20" s="566">
        <f>IF(ISNUMBER(System!$C21),PlotData!G21+ Momente!$E$2*$AF$1*G20,PlotData!$CB$3)</f>
        <v>-4.4999999999999991</v>
      </c>
      <c r="AH20" s="566">
        <f>IF(ISNUMBER(System!$C21),PlotData!H21+ Momente!$E$2*$AF$1*H20,PlotData!$CB$3)</f>
        <v>-4.4699999999999989</v>
      </c>
      <c r="AI20" s="566">
        <f>IF(ISNUMBER(System!$C21),PlotData!I21+ Momente!$E$2*$AF$1*I20,PlotData!$CB$3)</f>
        <v>-4.4399999999999986</v>
      </c>
      <c r="AJ20" s="566">
        <f>IF(ISNUMBER(System!$C21),PlotData!J21+ Momente!$E$2*$AF$1*J20,PlotData!$CB$3)</f>
        <v>-4.4099999999999984</v>
      </c>
      <c r="AK20" s="566">
        <f>IF(ISNUMBER(System!$C21),PlotData!K21+ Momente!$E$2*$AF$1*K20,PlotData!$CB$3)</f>
        <v>-4.3799999999999981</v>
      </c>
      <c r="AL20" s="567">
        <f>IF(ISNUMBER(System!$C21),PlotData!L21+Momente!$E$2* $AF$1*L20,PlotData!$CB$3)</f>
        <v>-4.3499999999999979</v>
      </c>
      <c r="AM20" s="565">
        <f>IF(ISNUMBER(System!$C21),PlotData!L21,PlotData!$CB$3)</f>
        <v>-4.3499999999999979</v>
      </c>
      <c r="AN20" s="566">
        <f>IF(ISNUMBER(System!$C21),PlotData!B21,PlotData!$CB$3)</f>
        <v>-4.6500000000000004</v>
      </c>
      <c r="AO20" s="447">
        <f>IF(ISNUMBER(System!$C21),AB20,PlotData!$CB$3)</f>
        <v>-4.6500000000000004</v>
      </c>
      <c r="AQ20" s="569">
        <v>18</v>
      </c>
      <c r="AR20" s="565">
        <f>IF(ISNUMBER(System!$C21),PlotData!O21+ Momente!$E$2*$AF$1*O20,PlotData!$CB$4)</f>
        <v>2.85</v>
      </c>
      <c r="AS20" s="566">
        <f>IF(ISNUMBER(System!$C21),PlotData!P21+Momente!$E$2* $AF$1*P20,PlotData!$CB$4)</f>
        <v>2.6550000000000002</v>
      </c>
      <c r="AT20" s="566">
        <f>IF(ISNUMBER(System!$C21),PlotData!Q21+ Momente!$E$2*$AF$1*Q20,PlotData!$CB$4)</f>
        <v>2.4600000000000004</v>
      </c>
      <c r="AU20" s="566">
        <f>IF(ISNUMBER(System!$C21),PlotData!R21+Momente!$E$2* $AF$1*R20,PlotData!$CB$4)</f>
        <v>2.2650000000000006</v>
      </c>
      <c r="AV20" s="566">
        <f>IF(ISNUMBER(System!$C21),PlotData!S21+ Momente!$E$2*$AF$1*S20,PlotData!$CB$4)</f>
        <v>2.0700000000000007</v>
      </c>
      <c r="AW20" s="566">
        <f>IF(ISNUMBER(System!$C21),PlotData!T21+ Momente!$E$2*$AF$1*T20,PlotData!$CB$4)</f>
        <v>1.8750000000000007</v>
      </c>
      <c r="AX20" s="566">
        <f>IF(ISNUMBER(System!$C21),PlotData!U21+ Momente!$E$2*$AF$1*U20,PlotData!$CB$4)</f>
        <v>1.6800000000000006</v>
      </c>
      <c r="AY20" s="566">
        <f>IF(ISNUMBER(System!$C21),PlotData!V21+ Momente!$E$2*$AF$1*V20,PlotData!$CB$4)</f>
        <v>1.4850000000000005</v>
      </c>
      <c r="AZ20" s="566">
        <f>IF(ISNUMBER(System!$C21),PlotData!W21+ Momente!$E$2*$AF$1*W20,PlotData!$CB$4)</f>
        <v>1.2900000000000005</v>
      </c>
      <c r="BA20" s="566">
        <f>IF(ISNUMBER(System!$C21),PlotData!X21+ Momente!$E$2*$AF$1*X20,PlotData!$CB$4)</f>
        <v>1.0950000000000004</v>
      </c>
      <c r="BB20" s="567">
        <f>IF(ISNUMBER(System!$C21),PlotData!Y21+ Momente!$E$2*$AF$1*Y20,PlotData!$CB$4)</f>
        <v>0.90000000000000036</v>
      </c>
      <c r="BC20" s="607">
        <f>IF(ISNUMBER(System!$C21),PlotData!Y21, PlotData!CB$4)</f>
        <v>0.90000000000000036</v>
      </c>
      <c r="BD20" s="566">
        <f>IF(ISNUMBER(System!$C21),PlotData!O21, PlotData!$CB$4)</f>
        <v>2.85</v>
      </c>
      <c r="BE20" s="567">
        <f>IF(ISNUMBER(System!$C21), AR20,PlotData!$CB$4)</f>
        <v>2.85</v>
      </c>
    </row>
    <row r="21" spans="1:57" x14ac:dyDescent="0.35">
      <c r="A21" s="568">
        <v>19</v>
      </c>
      <c r="B21" s="565">
        <v>0</v>
      </c>
      <c r="C21" s="566">
        <v>0</v>
      </c>
      <c r="D21" s="566">
        <v>0</v>
      </c>
      <c r="E21" s="566">
        <v>0</v>
      </c>
      <c r="F21" s="566">
        <v>0</v>
      </c>
      <c r="G21" s="566">
        <v>0</v>
      </c>
      <c r="H21" s="566">
        <v>0</v>
      </c>
      <c r="I21" s="566">
        <v>0</v>
      </c>
      <c r="J21" s="566">
        <v>0</v>
      </c>
      <c r="K21" s="566">
        <v>0</v>
      </c>
      <c r="L21" s="567">
        <v>0</v>
      </c>
      <c r="N21" s="568">
        <v>19</v>
      </c>
      <c r="O21" s="565">
        <v>163.9921226805254</v>
      </c>
      <c r="P21" s="566">
        <v>131.19369814442032</v>
      </c>
      <c r="Q21" s="566">
        <v>98.395273608315222</v>
      </c>
      <c r="R21" s="566">
        <v>65.596849072210134</v>
      </c>
      <c r="S21" s="566">
        <v>32.798424536105067</v>
      </c>
      <c r="T21" s="566">
        <v>0</v>
      </c>
      <c r="U21" s="566">
        <v>-32.798424536105067</v>
      </c>
      <c r="V21" s="566">
        <v>-65.596849072210134</v>
      </c>
      <c r="W21" s="566">
        <v>-98.395273608315222</v>
      </c>
      <c r="X21" s="566">
        <v>-131.19369814442027</v>
      </c>
      <c r="Y21" s="567">
        <v>-163.99212268052534</v>
      </c>
      <c r="AA21" s="569">
        <v>19</v>
      </c>
      <c r="AB21" s="565">
        <f>IF(ISNUMBER(System!$C22),PlotData!B22+Momente!$E$2* $AF$1*B21,PlotData!$CB$3)</f>
        <v>8.6999999999999993</v>
      </c>
      <c r="AC21" s="566">
        <f>IF(ISNUMBER(System!$C22),PlotData!C22+ Momente!$E$2*$AF$1*C21,PlotData!$CB$3)</f>
        <v>9.0449999999999999</v>
      </c>
      <c r="AD21" s="566">
        <f>IF(ISNUMBER(System!$C22),PlotData!D22+ Momente!$E$2*$AF$1*D21,PlotData!$CB$3)</f>
        <v>9.39</v>
      </c>
      <c r="AE21" s="566">
        <f>IF(ISNUMBER(System!$C22),PlotData!E22+Momente!$E$2* $AF$1*E21,PlotData!$CB$3)</f>
        <v>9.7350000000000012</v>
      </c>
      <c r="AF21" s="566">
        <f>IF(ISNUMBER(System!$C22),PlotData!F22+Momente!$E$2* $AF$1*F21,PlotData!$CB$3)</f>
        <v>10.080000000000002</v>
      </c>
      <c r="AG21" s="566">
        <f>IF(ISNUMBER(System!$C22),PlotData!G22+ Momente!$E$2*$AF$1*G21,PlotData!$CB$3)</f>
        <v>10.425000000000002</v>
      </c>
      <c r="AH21" s="566">
        <f>IF(ISNUMBER(System!$C22),PlotData!H22+ Momente!$E$2*$AF$1*H21,PlotData!$CB$3)</f>
        <v>10.770000000000003</v>
      </c>
      <c r="AI21" s="566">
        <f>IF(ISNUMBER(System!$C22),PlotData!I22+ Momente!$E$2*$AF$1*I21,PlotData!$CB$3)</f>
        <v>11.115000000000004</v>
      </c>
      <c r="AJ21" s="566">
        <f>IF(ISNUMBER(System!$C22),PlotData!J22+ Momente!$E$2*$AF$1*J21,PlotData!$CB$3)</f>
        <v>11.460000000000004</v>
      </c>
      <c r="AK21" s="566">
        <f>IF(ISNUMBER(System!$C22),PlotData!K22+ Momente!$E$2*$AF$1*K21,PlotData!$CB$3)</f>
        <v>11.805000000000005</v>
      </c>
      <c r="AL21" s="567">
        <f>IF(ISNUMBER(System!$C22),PlotData!L22+Momente!$E$2* $AF$1*L21,PlotData!$CB$3)</f>
        <v>12.150000000000006</v>
      </c>
      <c r="AM21" s="565">
        <f>IF(ISNUMBER(System!$C22),PlotData!L22,PlotData!$CB$3)</f>
        <v>12.150000000000006</v>
      </c>
      <c r="AN21" s="566">
        <f>IF(ISNUMBER(System!$C22),PlotData!B22,PlotData!$CB$3)</f>
        <v>8.6999999999999993</v>
      </c>
      <c r="AO21" s="447">
        <f>IF(ISNUMBER(System!$C22),AB21,PlotData!$CB$3)</f>
        <v>8.6999999999999993</v>
      </c>
      <c r="AQ21" s="569">
        <v>19</v>
      </c>
      <c r="AR21" s="565">
        <f>IF(ISNUMBER(System!$C22),PlotData!O22+ Momente!$E$2*$AF$1*O21,PlotData!$CB$4)</f>
        <v>6.0786534524921541</v>
      </c>
      <c r="AS21" s="566">
        <f>IF(ISNUMBER(System!$C22),PlotData!P22+Momente!$E$2* $AF$1*P21,PlotData!$CB$4)</f>
        <v>5.042922761993724</v>
      </c>
      <c r="AT21" s="566">
        <f>IF(ISNUMBER(System!$C22),PlotData!Q22+ Momente!$E$2*$AF$1*Q21,PlotData!$CB$4)</f>
        <v>4.0071920714952922</v>
      </c>
      <c r="AU21" s="566">
        <f>IF(ISNUMBER(System!$C22),PlotData!R22+Momente!$E$2* $AF$1*R21,PlotData!$CB$4)</f>
        <v>2.9714613809968609</v>
      </c>
      <c r="AV21" s="566">
        <f>IF(ISNUMBER(System!$C22),PlotData!S22+ Momente!$E$2*$AF$1*S21,PlotData!$CB$4)</f>
        <v>1.9357306904984304</v>
      </c>
      <c r="AW21" s="566">
        <f>IF(ISNUMBER(System!$C22),PlotData!T22+ Momente!$E$2*$AF$1*T21,PlotData!$CB$4)</f>
        <v>0.9</v>
      </c>
      <c r="AX21" s="566">
        <f>IF(ISNUMBER(System!$C22),PlotData!U22+ Momente!$E$2*$AF$1*U21,PlotData!$CB$4)</f>
        <v>-0.13573069049843045</v>
      </c>
      <c r="AY21" s="566">
        <f>IF(ISNUMBER(System!$C22),PlotData!V22+ Momente!$E$2*$AF$1*V21,PlotData!$CB$4)</f>
        <v>-1.171461380996861</v>
      </c>
      <c r="AZ21" s="566">
        <f>IF(ISNUMBER(System!$C22),PlotData!W22+ Momente!$E$2*$AF$1*W21,PlotData!$CB$4)</f>
        <v>-2.207192071495292</v>
      </c>
      <c r="BA21" s="566">
        <f>IF(ISNUMBER(System!$C22),PlotData!X22+ Momente!$E$2*$AF$1*X21,PlotData!$CB$4)</f>
        <v>-3.242922761993722</v>
      </c>
      <c r="BB21" s="567">
        <f>IF(ISNUMBER(System!$C22),PlotData!Y22+ Momente!$E$2*$AF$1*Y21,PlotData!$CB$4)</f>
        <v>-4.2786534524921516</v>
      </c>
      <c r="BC21" s="607">
        <f>IF(ISNUMBER(System!$C22),PlotData!Y22, PlotData!CB$4)</f>
        <v>0.9</v>
      </c>
      <c r="BD21" s="566">
        <f>IF(ISNUMBER(System!$C22),PlotData!O22, PlotData!$CB$4)</f>
        <v>0.9</v>
      </c>
      <c r="BE21" s="567">
        <f>IF(ISNUMBER(System!$C22), AR21,PlotData!$CB$4)</f>
        <v>6.0786534524921541</v>
      </c>
    </row>
    <row r="22" spans="1:57" x14ac:dyDescent="0.35">
      <c r="A22" s="608">
        <v>20</v>
      </c>
      <c r="B22" s="576">
        <v>9.9313450784059301E-2</v>
      </c>
      <c r="C22" s="577">
        <v>7.9262429841775478E-2</v>
      </c>
      <c r="D22" s="577">
        <v>5.9211408899491648E-2</v>
      </c>
      <c r="E22" s="577">
        <v>3.9160387957207811E-2</v>
      </c>
      <c r="F22" s="577">
        <v>1.9109367014923991E-2</v>
      </c>
      <c r="G22" s="577">
        <v>-9.4165392735983473E-4</v>
      </c>
      <c r="H22" s="577">
        <v>-2.0992674869643655E-2</v>
      </c>
      <c r="I22" s="577">
        <v>-4.1043695811927482E-2</v>
      </c>
      <c r="J22" s="577">
        <v>-6.1094716754211305E-2</v>
      </c>
      <c r="K22" s="577">
        <v>-8.1145737696495121E-2</v>
      </c>
      <c r="L22" s="578">
        <v>-0.10119675863877894</v>
      </c>
      <c r="N22" s="608">
        <v>20</v>
      </c>
      <c r="O22" s="576">
        <v>-6.5394151682930453</v>
      </c>
      <c r="P22" s="577">
        <v>-5.219131264606772</v>
      </c>
      <c r="Q22" s="577">
        <v>-3.8988473609204988</v>
      </c>
      <c r="R22" s="577">
        <v>-2.5785634572342255</v>
      </c>
      <c r="S22" s="577">
        <v>-1.2582795535479527</v>
      </c>
      <c r="T22" s="577">
        <v>6.2004350138319966E-2</v>
      </c>
      <c r="U22" s="577">
        <v>1.3822882538245926</v>
      </c>
      <c r="V22" s="577">
        <v>2.7025721575108652</v>
      </c>
      <c r="W22" s="577">
        <v>4.022856061197138</v>
      </c>
      <c r="X22" s="577">
        <v>5.3431399648834104</v>
      </c>
      <c r="Y22" s="578">
        <v>6.6634238685696827</v>
      </c>
      <c r="AA22" s="579">
        <v>20</v>
      </c>
      <c r="AB22" s="565">
        <f>IF(ISNUMBER(System!$C23),PlotData!B23+Momente!$E$2* $AF$1*B22,PlotData!$CB$3)</f>
        <v>3.3887861868873648</v>
      </c>
      <c r="AC22" s="566">
        <f>IF(ISNUMBER(System!$C23),PlotData!C23+ Momente!$E$2*$AF$1*C22,PlotData!$CB$3)</f>
        <v>3.4901883022737898</v>
      </c>
      <c r="AD22" s="566">
        <f>IF(ISNUMBER(System!$C23),PlotData!D23+ Momente!$E$2*$AF$1*D22,PlotData!$CB$3)</f>
        <v>3.5915904176602154</v>
      </c>
      <c r="AE22" s="566">
        <f>IF(ISNUMBER(System!$C23),PlotData!E23+Momente!$E$2* $AF$1*E22,PlotData!$CB$3)</f>
        <v>3.6929925330466404</v>
      </c>
      <c r="AF22" s="566">
        <f>IF(ISNUMBER(System!$C23),PlotData!F23+Momente!$E$2* $AF$1*F22,PlotData!$CB$3)</f>
        <v>3.7943946484330655</v>
      </c>
      <c r="AG22" s="566">
        <f>IF(ISNUMBER(System!$C23),PlotData!G23+ Momente!$E$2*$AF$1*G22,PlotData!$CB$3)</f>
        <v>3.895796763819491</v>
      </c>
      <c r="AH22" s="566">
        <f>IF(ISNUMBER(System!$C23),PlotData!H23+ Momente!$E$2*$AF$1*H22,PlotData!$CB$3)</f>
        <v>3.9971988792059161</v>
      </c>
      <c r="AI22" s="566">
        <f>IF(ISNUMBER(System!$C23),PlotData!I23+ Momente!$E$2*$AF$1*I22,PlotData!$CB$3)</f>
        <v>4.0986009945923412</v>
      </c>
      <c r="AJ22" s="566">
        <f>IF(ISNUMBER(System!$C23),PlotData!J23+ Momente!$E$2*$AF$1*J22,PlotData!$CB$3)</f>
        <v>4.2000031099787662</v>
      </c>
      <c r="AK22" s="566">
        <f>IF(ISNUMBER(System!$C23),PlotData!K23+ Momente!$E$2*$AF$1*K22,PlotData!$CB$3)</f>
        <v>4.3014052253651913</v>
      </c>
      <c r="AL22" s="567">
        <f>IF(ISNUMBER(System!$C23),PlotData!L23+Momente!$E$2* $AF$1*L22,PlotData!$CB$3)</f>
        <v>4.4028073407516173</v>
      </c>
      <c r="AM22" s="565">
        <f>IF(ISNUMBER(System!$C23),PlotData!L23,PlotData!$CB$3)</f>
        <v>4.4060029999999983</v>
      </c>
      <c r="AN22" s="566">
        <f>IF(ISNUMBER(System!$C23),PlotData!B23,PlotData!$CB$3)</f>
        <v>3.38565</v>
      </c>
      <c r="AO22" s="447">
        <f>IF(ISNUMBER(System!$C23),AB22,PlotData!$CB$3)</f>
        <v>3.3887861868873648</v>
      </c>
      <c r="AQ22" s="579">
        <v>20</v>
      </c>
      <c r="AR22" s="565">
        <f>IF(ISNUMBER(System!$C23),PlotData!O23+ Momente!$E$2*$AF$1*O22,PlotData!$CB$4)</f>
        <v>2.5228249533374187</v>
      </c>
      <c r="AS22" s="566">
        <f>IF(ISNUMBER(System!$C23),PlotData!P23+Momente!$E$2* $AF$1*P22,PlotData!$CB$4)</f>
        <v>2.566067365677037</v>
      </c>
      <c r="AT22" s="566">
        <f>IF(ISNUMBER(System!$C23),PlotData!Q23+ Momente!$E$2*$AF$1*Q22,PlotData!$CB$4)</f>
        <v>2.6093097780166548</v>
      </c>
      <c r="AU22" s="566">
        <f>IF(ISNUMBER(System!$C23),PlotData!R23+Momente!$E$2* $AF$1*R22,PlotData!$CB$4)</f>
        <v>2.652552190356273</v>
      </c>
      <c r="AV22" s="566">
        <f>IF(ISNUMBER(System!$C23),PlotData!S23+ Momente!$E$2*$AF$1*S22,PlotData!$CB$4)</f>
        <v>2.6957946026958908</v>
      </c>
      <c r="AW22" s="566">
        <f>IF(ISNUMBER(System!$C23),PlotData!T23+ Momente!$E$2*$AF$1*T22,PlotData!$CB$4)</f>
        <v>2.739037015035509</v>
      </c>
      <c r="AX22" s="566">
        <f>IF(ISNUMBER(System!$C23),PlotData!U23+ Momente!$E$2*$AF$1*U22,PlotData!$CB$4)</f>
        <v>2.7822794273751268</v>
      </c>
      <c r="AY22" s="566">
        <f>IF(ISNUMBER(System!$C23),PlotData!V23+ Momente!$E$2*$AF$1*V22,PlotData!$CB$4)</f>
        <v>2.825521839714745</v>
      </c>
      <c r="AZ22" s="566">
        <f>IF(ISNUMBER(System!$C23),PlotData!W23+ Momente!$E$2*$AF$1*W22,PlotData!$CB$4)</f>
        <v>2.8687642520543628</v>
      </c>
      <c r="BA22" s="566">
        <f>IF(ISNUMBER(System!$C23),PlotData!X23+ Momente!$E$2*$AF$1*X22,PlotData!$CB$4)</f>
        <v>2.912006664393981</v>
      </c>
      <c r="BB22" s="567">
        <f>IF(ISNUMBER(System!$C23),PlotData!Y23+ Momente!$E$2*$AF$1*Y22,PlotData!$CB$4)</f>
        <v>2.9552490767335988</v>
      </c>
      <c r="BC22" s="607">
        <f>IF(ISNUMBER(System!$C23),PlotData!Y23, PlotData!CB$4)</f>
        <v>2.7448270000000017</v>
      </c>
      <c r="BD22" s="566">
        <f>IF(ISNUMBER(System!$C23),PlotData!O23, PlotData!$CB$4)</f>
        <v>2.7293310000000002</v>
      </c>
      <c r="BE22" s="567">
        <f>IF(ISNUMBER(System!$C23), AR22,PlotData!$CB$4)</f>
        <v>2.5228249533374187</v>
      </c>
    </row>
    <row r="23" spans="1:57" x14ac:dyDescent="0.35">
      <c r="A23" s="609">
        <v>21</v>
      </c>
      <c r="B23" s="565">
        <v>0</v>
      </c>
      <c r="C23" s="566">
        <v>2.5935081791108146E-8</v>
      </c>
      <c r="D23" s="566">
        <v>5.1870163582043067E-8</v>
      </c>
      <c r="E23" s="566">
        <v>7.7805245372977885E-8</v>
      </c>
      <c r="F23" s="566">
        <v>1.0374032716391276E-7</v>
      </c>
      <c r="G23" s="566">
        <v>1.2967540895484767E-7</v>
      </c>
      <c r="H23" s="566">
        <v>1.5561049074578253E-7</v>
      </c>
      <c r="I23" s="566">
        <v>1.8154557253671744E-7</v>
      </c>
      <c r="J23" s="566">
        <v>2.0748065432765229E-7</v>
      </c>
      <c r="K23" s="566">
        <v>2.3341573611858721E-7</v>
      </c>
      <c r="L23" s="567">
        <v>2.5935081790952196E-7</v>
      </c>
      <c r="N23" s="609">
        <v>21</v>
      </c>
      <c r="O23" s="565">
        <v>0</v>
      </c>
      <c r="P23" s="566">
        <v>5.4571476305559439E-4</v>
      </c>
      <c r="Q23" s="566">
        <v>1.0914295261075439E-3</v>
      </c>
      <c r="R23" s="566">
        <v>1.6371442891594912E-3</v>
      </c>
      <c r="S23" s="566">
        <v>2.1828590522114397E-3</v>
      </c>
      <c r="T23" s="566">
        <v>2.7285738152633887E-3</v>
      </c>
      <c r="U23" s="566">
        <v>3.2742885783153372E-3</v>
      </c>
      <c r="V23" s="566">
        <v>3.8200033413672866E-3</v>
      </c>
      <c r="W23" s="566">
        <v>4.3657181044192347E-3</v>
      </c>
      <c r="X23" s="566">
        <v>4.9114328674711837E-3</v>
      </c>
      <c r="Y23" s="567">
        <v>5.4571476305231301E-3</v>
      </c>
      <c r="AA23" s="580">
        <v>21</v>
      </c>
      <c r="AB23" s="565">
        <f>IF(ISNUMBER(System!$C24),PlotData!B24+Momente!$E$2* $AF$1*B23,PlotData!$CB$3)</f>
        <v>12.15</v>
      </c>
      <c r="AC23" s="566">
        <f>IF(ISNUMBER(System!$C24),PlotData!C24+ Momente!$E$2*$AF$1*C23,PlotData!$CB$3)</f>
        <v>12.495081700818995</v>
      </c>
      <c r="AD23" s="566">
        <f>IF(ISNUMBER(System!$C24),PlotData!D24+ Momente!$E$2*$AF$1*D23,PlotData!$CB$3)</f>
        <v>12.840163401637991</v>
      </c>
      <c r="AE23" s="566">
        <f>IF(ISNUMBER(System!$C24),PlotData!E24+Momente!$E$2* $AF$1*E23,PlotData!$CB$3)</f>
        <v>13.185245102456985</v>
      </c>
      <c r="AF23" s="566">
        <f>IF(ISNUMBER(System!$C24),PlotData!F24+Momente!$E$2* $AF$1*F23,PlotData!$CB$3)</f>
        <v>13.530326803275981</v>
      </c>
      <c r="AG23" s="566">
        <f>IF(ISNUMBER(System!$C24),PlotData!G24+ Momente!$E$2*$AF$1*G23,PlotData!$CB$3)</f>
        <v>13.875408504094976</v>
      </c>
      <c r="AH23" s="566">
        <f>IF(ISNUMBER(System!$C24),PlotData!H24+ Momente!$E$2*$AF$1*H23,PlotData!$CB$3)</f>
        <v>14.220490204913972</v>
      </c>
      <c r="AI23" s="566">
        <f>IF(ISNUMBER(System!$C24),PlotData!I24+ Momente!$E$2*$AF$1*I23,PlotData!$CB$3)</f>
        <v>14.565571905732966</v>
      </c>
      <c r="AJ23" s="566">
        <f>IF(ISNUMBER(System!$C24),PlotData!J24+ Momente!$E$2*$AF$1*J23,PlotData!$CB$3)</f>
        <v>14.910653606551962</v>
      </c>
      <c r="AK23" s="566">
        <f>IF(ISNUMBER(System!$C24),PlotData!K24+ Momente!$E$2*$AF$1*K23,PlotData!$CB$3)</f>
        <v>15.255735307370957</v>
      </c>
      <c r="AL23" s="567">
        <f>IF(ISNUMBER(System!$C24),PlotData!L24+Momente!$E$2* $AF$1*L23,PlotData!$CB$3)</f>
        <v>15.600817008189951</v>
      </c>
      <c r="AM23" s="565">
        <f>IF(ISNUMBER(System!$C24),PlotData!L24,PlotData!$CB$3)</f>
        <v>15.600816999999997</v>
      </c>
      <c r="AN23" s="566">
        <f>IF(ISNUMBER(System!$C24),PlotData!B24,PlotData!$CB$3)</f>
        <v>12.15</v>
      </c>
      <c r="AO23" s="447">
        <f>IF(ISNUMBER(System!$C24),AB23,PlotData!$CB$3)</f>
        <v>12.15</v>
      </c>
      <c r="AQ23" s="580">
        <v>21</v>
      </c>
      <c r="AR23" s="565">
        <f>IF(ISNUMBER(System!$C24),PlotData!O24+ Momente!$E$2*$AF$1*O23,PlotData!$CB$4)</f>
        <v>0.9</v>
      </c>
      <c r="AS23" s="566">
        <f>IF(ISNUMBER(System!$C24),PlotData!P24+Momente!$E$2* $AF$1*P23,PlotData!$CB$4)</f>
        <v>0.90000083294750732</v>
      </c>
      <c r="AT23" s="566">
        <f>IF(ISNUMBER(System!$C24),PlotData!Q24+ Momente!$E$2*$AF$1*Q23,PlotData!$CB$4)</f>
        <v>0.90000166589501462</v>
      </c>
      <c r="AU23" s="566">
        <f>IF(ISNUMBER(System!$C24),PlotData!R24+Momente!$E$2* $AF$1*R23,PlotData!$CB$4)</f>
        <v>0.90000249884252181</v>
      </c>
      <c r="AV23" s="566">
        <f>IF(ISNUMBER(System!$C24),PlotData!S24+ Momente!$E$2*$AF$1*S23,PlotData!$CB$4)</f>
        <v>0.900003331790029</v>
      </c>
      <c r="AW23" s="566">
        <f>IF(ISNUMBER(System!$C24),PlotData!T24+ Momente!$E$2*$AF$1*T23,PlotData!$CB$4)</f>
        <v>0.90000416473753619</v>
      </c>
      <c r="AX23" s="566">
        <f>IF(ISNUMBER(System!$C24),PlotData!U24+ Momente!$E$2*$AF$1*U23,PlotData!$CB$4)</f>
        <v>0.90000499768504338</v>
      </c>
      <c r="AY23" s="566">
        <f>IF(ISNUMBER(System!$C24),PlotData!V24+ Momente!$E$2*$AF$1*V23,PlotData!$CB$4)</f>
        <v>0.90000583063255069</v>
      </c>
      <c r="AZ23" s="566">
        <f>IF(ISNUMBER(System!$C24),PlotData!W24+ Momente!$E$2*$AF$1*W23,PlotData!$CB$4)</f>
        <v>0.90000666358005788</v>
      </c>
      <c r="BA23" s="566">
        <f>IF(ISNUMBER(System!$C24),PlotData!X24+ Momente!$E$2*$AF$1*X23,PlotData!$CB$4)</f>
        <v>0.90000749652756507</v>
      </c>
      <c r="BB23" s="567">
        <f>IF(ISNUMBER(System!$C24),PlotData!Y24+ Momente!$E$2*$AF$1*Y23,PlotData!$CB$4)</f>
        <v>0.90000832947507226</v>
      </c>
      <c r="BC23" s="607">
        <f>IF(ISNUMBER(System!$C24),PlotData!Y24, PlotData!CB$4)</f>
        <v>0.89983599999999975</v>
      </c>
      <c r="BD23" s="566">
        <f>IF(ISNUMBER(System!$C24),PlotData!O24, PlotData!$CB$4)</f>
        <v>0.9</v>
      </c>
      <c r="BE23" s="567">
        <f>IF(ISNUMBER(System!$C24), AR23,PlotData!$CB$4)</f>
        <v>0.9</v>
      </c>
    </row>
    <row r="24" spans="1:57" x14ac:dyDescent="0.35">
      <c r="A24" s="609">
        <v>22</v>
      </c>
      <c r="B24" s="565">
        <v>-1.8865089962169553E-3</v>
      </c>
      <c r="C24" s="566">
        <v>-1.5092071969735645E-3</v>
      </c>
      <c r="D24" s="566">
        <v>-1.1319053977301733E-3</v>
      </c>
      <c r="E24" s="566">
        <v>-7.5460359848678212E-4</v>
      </c>
      <c r="F24" s="566">
        <v>-3.7730179924339106E-4</v>
      </c>
      <c r="G24" s="566">
        <v>0</v>
      </c>
      <c r="H24" s="566">
        <v>3.7730179924339106E-4</v>
      </c>
      <c r="I24" s="566">
        <v>7.5460359848678212E-4</v>
      </c>
      <c r="J24" s="566">
        <v>1.1319053977301731E-3</v>
      </c>
      <c r="K24" s="566">
        <v>1.5092071969735642E-3</v>
      </c>
      <c r="L24" s="567">
        <v>1.8865089962169551E-3</v>
      </c>
      <c r="N24" s="609">
        <v>22</v>
      </c>
      <c r="O24" s="565">
        <v>-3.0184150227834609E-3</v>
      </c>
      <c r="P24" s="566">
        <v>-2.4147320182267688E-3</v>
      </c>
      <c r="Q24" s="566">
        <v>-1.8110490136700767E-3</v>
      </c>
      <c r="R24" s="566">
        <v>-1.2073660091133842E-3</v>
      </c>
      <c r="S24" s="566">
        <v>-6.0368300455669209E-4</v>
      </c>
      <c r="T24" s="566">
        <v>0</v>
      </c>
      <c r="U24" s="566">
        <v>6.0368300455669209E-4</v>
      </c>
      <c r="V24" s="566">
        <v>1.2073660091133842E-3</v>
      </c>
      <c r="W24" s="566">
        <v>1.8110490136700763E-3</v>
      </c>
      <c r="X24" s="566">
        <v>2.4147320182267683E-3</v>
      </c>
      <c r="Y24" s="567">
        <v>3.0184150227834604E-3</v>
      </c>
      <c r="AA24" s="580">
        <v>22</v>
      </c>
      <c r="AB24" s="565">
        <f>IF(ISNUMBER(System!$C25),PlotData!B25+Momente!$E$2* $AF$1*B24,PlotData!$CB$3)</f>
        <v>12.149940426551186</v>
      </c>
      <c r="AC24" s="566">
        <f>IF(ISNUMBER(System!$C25),PlotData!C25+ Momente!$E$2*$AF$1*C24,PlotData!$CB$3)</f>
        <v>12.629952441240949</v>
      </c>
      <c r="AD24" s="566">
        <f>IF(ISNUMBER(System!$C25),PlotData!D25+ Momente!$E$2*$AF$1*D24,PlotData!$CB$3)</f>
        <v>13.109964455930712</v>
      </c>
      <c r="AE24" s="566">
        <f>IF(ISNUMBER(System!$C25),PlotData!E25+Momente!$E$2* $AF$1*E24,PlotData!$CB$3)</f>
        <v>13.589976470620474</v>
      </c>
      <c r="AF24" s="566">
        <f>IF(ISNUMBER(System!$C25),PlotData!F25+Momente!$E$2* $AF$1*F24,PlotData!$CB$3)</f>
        <v>14.069988485310237</v>
      </c>
      <c r="AG24" s="566">
        <f>IF(ISNUMBER(System!$C25),PlotData!G25+ Momente!$E$2*$AF$1*G24,PlotData!$CB$3)</f>
        <v>14.550000499999999</v>
      </c>
      <c r="AH24" s="566">
        <f>IF(ISNUMBER(System!$C25),PlotData!H25+ Momente!$E$2*$AF$1*H24,PlotData!$CB$3)</f>
        <v>15.030012514689762</v>
      </c>
      <c r="AI24" s="566">
        <f>IF(ISNUMBER(System!$C25),PlotData!I25+ Momente!$E$2*$AF$1*I24,PlotData!$CB$3)</f>
        <v>15.510024529379525</v>
      </c>
      <c r="AJ24" s="566">
        <f>IF(ISNUMBER(System!$C25),PlotData!J25+ Momente!$E$2*$AF$1*J24,PlotData!$CB$3)</f>
        <v>15.990036544069287</v>
      </c>
      <c r="AK24" s="566">
        <f>IF(ISNUMBER(System!$C25),PlotData!K25+ Momente!$E$2*$AF$1*K24,PlotData!$CB$3)</f>
        <v>16.47004855875905</v>
      </c>
      <c r="AL24" s="567">
        <f>IF(ISNUMBER(System!$C25),PlotData!L25+Momente!$E$2* $AF$1*L24,PlotData!$CB$3)</f>
        <v>16.950060573448816</v>
      </c>
      <c r="AM24" s="565">
        <f>IF(ISNUMBER(System!$C25),PlotData!L25,PlotData!$CB$3)</f>
        <v>16.950001</v>
      </c>
      <c r="AN24" s="566">
        <f>IF(ISNUMBER(System!$C25),PlotData!B25,PlotData!$CB$3)</f>
        <v>12.15</v>
      </c>
      <c r="AO24" s="447">
        <f>IF(ISNUMBER(System!$C25),AB24,PlotData!$CB$3)</f>
        <v>12.149940426551186</v>
      </c>
      <c r="AQ24" s="580">
        <v>22</v>
      </c>
      <c r="AR24" s="565">
        <f>IF(ISNUMBER(System!$C25),PlotData!O25+ Momente!$E$2*$AF$1*O24,PlotData!$CB$4)</f>
        <v>0.8999046824620397</v>
      </c>
      <c r="AS24" s="566">
        <f>IF(ISNUMBER(System!$C25),PlotData!P25+Momente!$E$2* $AF$1*P24,PlotData!$CB$4)</f>
        <v>0.59992374596963172</v>
      </c>
      <c r="AT24" s="566">
        <f>IF(ISNUMBER(System!$C25),PlotData!Q25+ Momente!$E$2*$AF$1*Q24,PlotData!$CB$4)</f>
        <v>0.29994280947722374</v>
      </c>
      <c r="AU24" s="566">
        <f>IF(ISNUMBER(System!$C25),PlotData!R25+Momente!$E$2* $AF$1*R24,PlotData!$CB$4)</f>
        <v>-3.8127015184232482E-5</v>
      </c>
      <c r="AV24" s="566">
        <f>IF(ISNUMBER(System!$C25),PlotData!S25+ Momente!$E$2*$AF$1*S24,PlotData!$CB$4)</f>
        <v>-0.30001906350759222</v>
      </c>
      <c r="AW24" s="566">
        <f>IF(ISNUMBER(System!$C25),PlotData!T25+ Momente!$E$2*$AF$1*T24,PlotData!$CB$4)</f>
        <v>-0.6000000000000002</v>
      </c>
      <c r="AX24" s="566">
        <f>IF(ISNUMBER(System!$C25),PlotData!U25+ Momente!$E$2*$AF$1*U24,PlotData!$CB$4)</f>
        <v>-0.89998093649240818</v>
      </c>
      <c r="AY24" s="566">
        <f>IF(ISNUMBER(System!$C25),PlotData!V25+ Momente!$E$2*$AF$1*V24,PlotData!$CB$4)</f>
        <v>-1.199961872984816</v>
      </c>
      <c r="AZ24" s="566">
        <f>IF(ISNUMBER(System!$C25),PlotData!W25+ Momente!$E$2*$AF$1*W24,PlotData!$CB$4)</f>
        <v>-1.499942809477224</v>
      </c>
      <c r="BA24" s="566">
        <f>IF(ISNUMBER(System!$C25),PlotData!X25+ Momente!$E$2*$AF$1*X24,PlotData!$CB$4)</f>
        <v>-1.799923745969632</v>
      </c>
      <c r="BB24" s="567">
        <f>IF(ISNUMBER(System!$C25),PlotData!Y25+ Momente!$E$2*$AF$1*Y24,PlotData!$CB$4)</f>
        <v>-2.0999046824620402</v>
      </c>
      <c r="BC24" s="607">
        <f>IF(ISNUMBER(System!$C25),PlotData!Y25, PlotData!CB$4)</f>
        <v>-2.1000000000000005</v>
      </c>
      <c r="BD24" s="566">
        <f>IF(ISNUMBER(System!$C25),PlotData!O25, PlotData!$CB$4)</f>
        <v>0.9</v>
      </c>
      <c r="BE24" s="567">
        <f>IF(ISNUMBER(System!$C25), AR24,PlotData!$CB$4)</f>
        <v>0.8999046824620397</v>
      </c>
    </row>
    <row r="25" spans="1:57" x14ac:dyDescent="0.35">
      <c r="A25" s="609">
        <v>23</v>
      </c>
      <c r="B25" s="565">
        <v>-1.8826510421998549E-3</v>
      </c>
      <c r="C25" s="566">
        <v>-1.5061208337598837E-3</v>
      </c>
      <c r="D25" s="566">
        <v>-1.1295906253199126E-3</v>
      </c>
      <c r="E25" s="566">
        <v>-7.5306041687994165E-4</v>
      </c>
      <c r="F25" s="566">
        <v>-3.7653020843997082E-4</v>
      </c>
      <c r="G25" s="566">
        <v>0</v>
      </c>
      <c r="H25" s="566">
        <v>3.7653020843997082E-4</v>
      </c>
      <c r="I25" s="566">
        <v>7.5306041687994165E-4</v>
      </c>
      <c r="J25" s="566">
        <v>1.1295906253199126E-3</v>
      </c>
      <c r="K25" s="566">
        <v>1.5061208337598833E-3</v>
      </c>
      <c r="L25" s="567">
        <v>1.8826510421998542E-3</v>
      </c>
      <c r="N25" s="609">
        <v>23</v>
      </c>
      <c r="O25" s="565">
        <v>3.0122410399694203E-3</v>
      </c>
      <c r="P25" s="566">
        <v>2.4097928319755362E-3</v>
      </c>
      <c r="Q25" s="566">
        <v>1.8073446239816515E-3</v>
      </c>
      <c r="R25" s="566">
        <v>1.2048964159877677E-3</v>
      </c>
      <c r="S25" s="566">
        <v>6.0244820799388384E-4</v>
      </c>
      <c r="T25" s="566">
        <v>0</v>
      </c>
      <c r="U25" s="566">
        <v>-6.0244820799388384E-4</v>
      </c>
      <c r="V25" s="566">
        <v>-1.2048964159877677E-3</v>
      </c>
      <c r="W25" s="566">
        <v>-1.8073446239816515E-3</v>
      </c>
      <c r="X25" s="566">
        <v>-2.4097928319755354E-3</v>
      </c>
      <c r="Y25" s="567">
        <v>-3.0122410399694194E-3</v>
      </c>
      <c r="AA25" s="580">
        <v>23</v>
      </c>
      <c r="AB25" s="565">
        <f>IF(ISNUMBER(System!$C26),PlotData!B26+Momente!$E$2* $AF$1*B25,PlotData!$CB$3)</f>
        <v>21.749940548380252</v>
      </c>
      <c r="AC25" s="566">
        <f>IF(ISNUMBER(System!$C26),PlotData!C26+ Momente!$E$2*$AF$1*C25,PlotData!$CB$3)</f>
        <v>21.269952538704199</v>
      </c>
      <c r="AD25" s="566">
        <f>IF(ISNUMBER(System!$C26),PlotData!D26+ Momente!$E$2*$AF$1*D25,PlotData!$CB$3)</f>
        <v>20.789964529028151</v>
      </c>
      <c r="AE25" s="566">
        <f>IF(ISNUMBER(System!$C26),PlotData!E26+Momente!$E$2* $AF$1*E25,PlotData!$CB$3)</f>
        <v>20.309976519352102</v>
      </c>
      <c r="AF25" s="566">
        <f>IF(ISNUMBER(System!$C26),PlotData!F26+Momente!$E$2* $AF$1*F25,PlotData!$CB$3)</f>
        <v>19.829988509676053</v>
      </c>
      <c r="AG25" s="566">
        <f>IF(ISNUMBER(System!$C26),PlotData!G26+ Momente!$E$2*$AF$1*G25,PlotData!$CB$3)</f>
        <v>19.350000500000004</v>
      </c>
      <c r="AH25" s="566">
        <f>IF(ISNUMBER(System!$C26),PlotData!H26+ Momente!$E$2*$AF$1*H25,PlotData!$CB$3)</f>
        <v>18.870012490323955</v>
      </c>
      <c r="AI25" s="566">
        <f>IF(ISNUMBER(System!$C26),PlotData!I26+ Momente!$E$2*$AF$1*I25,PlotData!$CB$3)</f>
        <v>18.390024480647906</v>
      </c>
      <c r="AJ25" s="566">
        <f>IF(ISNUMBER(System!$C26),PlotData!J26+ Momente!$E$2*$AF$1*J25,PlotData!$CB$3)</f>
        <v>17.910036470971857</v>
      </c>
      <c r="AK25" s="566">
        <f>IF(ISNUMBER(System!$C26),PlotData!K26+ Momente!$E$2*$AF$1*K25,PlotData!$CB$3)</f>
        <v>17.430048461295808</v>
      </c>
      <c r="AL25" s="567">
        <f>IF(ISNUMBER(System!$C26),PlotData!L26+Momente!$E$2* $AF$1*L25,PlotData!$CB$3)</f>
        <v>16.950060451619755</v>
      </c>
      <c r="AM25" s="565">
        <f>IF(ISNUMBER(System!$C26),PlotData!L26,PlotData!$CB$3)</f>
        <v>16.950001000000007</v>
      </c>
      <c r="AN25" s="566">
        <f>IF(ISNUMBER(System!$C26),PlotData!B26,PlotData!$CB$3)</f>
        <v>21.75</v>
      </c>
      <c r="AO25" s="447">
        <f>IF(ISNUMBER(System!$C26),AB25,PlotData!$CB$3)</f>
        <v>21.749940548380252</v>
      </c>
      <c r="AQ25" s="580">
        <v>23</v>
      </c>
      <c r="AR25" s="565">
        <f>IF(ISNUMBER(System!$C26),PlotData!O26+ Momente!$E$2*$AF$1*O25,PlotData!$CB$4)</f>
        <v>0.90009512257178215</v>
      </c>
      <c r="AS25" s="566">
        <f>IF(ISNUMBER(System!$C26),PlotData!P26+Momente!$E$2* $AF$1*P25,PlotData!$CB$4)</f>
        <v>0.60007609805742568</v>
      </c>
      <c r="AT25" s="566">
        <f>IF(ISNUMBER(System!$C26),PlotData!Q26+ Momente!$E$2*$AF$1*Q25,PlotData!$CB$4)</f>
        <v>0.30005707354306921</v>
      </c>
      <c r="AU25" s="566">
        <f>IF(ISNUMBER(System!$C26),PlotData!R26+Momente!$E$2* $AF$1*R25,PlotData!$CB$4)</f>
        <v>3.8049028712726445E-5</v>
      </c>
      <c r="AV25" s="566">
        <f>IF(ISNUMBER(System!$C26),PlotData!S26+ Momente!$E$2*$AF$1*S25,PlotData!$CB$4)</f>
        <v>-0.29998097548564373</v>
      </c>
      <c r="AW25" s="566">
        <f>IF(ISNUMBER(System!$C26),PlotData!T26+ Momente!$E$2*$AF$1*T25,PlotData!$CB$4)</f>
        <v>-0.6000000000000002</v>
      </c>
      <c r="AX25" s="566">
        <f>IF(ISNUMBER(System!$C26),PlotData!U26+ Momente!$E$2*$AF$1*U25,PlotData!$CB$4)</f>
        <v>-0.90001902451435667</v>
      </c>
      <c r="AY25" s="566">
        <f>IF(ISNUMBER(System!$C26),PlotData!V26+ Momente!$E$2*$AF$1*V25,PlotData!$CB$4)</f>
        <v>-1.200038049028713</v>
      </c>
      <c r="AZ25" s="566">
        <f>IF(ISNUMBER(System!$C26),PlotData!W26+ Momente!$E$2*$AF$1*W25,PlotData!$CB$4)</f>
        <v>-1.5000570735430694</v>
      </c>
      <c r="BA25" s="566">
        <f>IF(ISNUMBER(System!$C26),PlotData!X26+ Momente!$E$2*$AF$1*X25,PlotData!$CB$4)</f>
        <v>-1.800076098057426</v>
      </c>
      <c r="BB25" s="567">
        <f>IF(ISNUMBER(System!$C26),PlotData!Y26+ Momente!$E$2*$AF$1*Y25,PlotData!$CB$4)</f>
        <v>-2.1000951225717825</v>
      </c>
      <c r="BC25" s="607">
        <f>IF(ISNUMBER(System!$C26),PlotData!Y26, PlotData!CB$4)</f>
        <v>-2.1000000000000005</v>
      </c>
      <c r="BD25" s="566">
        <f>IF(ISNUMBER(System!$C26),PlotData!O26, PlotData!$CB$4)</f>
        <v>0.9</v>
      </c>
      <c r="BE25" s="567">
        <f>IF(ISNUMBER(System!$C26), AR25,PlotData!$CB$4)</f>
        <v>0.90009512257178215</v>
      </c>
    </row>
    <row r="26" spans="1:57" x14ac:dyDescent="0.35">
      <c r="A26" s="609">
        <v>24</v>
      </c>
      <c r="B26" s="565">
        <v>2.8998209850927962E-9</v>
      </c>
      <c r="C26" s="566">
        <v>-6.3106287329551951E-8</v>
      </c>
      <c r="D26" s="566">
        <v>-1.2911239564419672E-7</v>
      </c>
      <c r="E26" s="566">
        <v>-1.9511850395884115E-7</v>
      </c>
      <c r="F26" s="566">
        <v>-2.6112461227348571E-7</v>
      </c>
      <c r="G26" s="566">
        <v>-3.2713072058813045E-7</v>
      </c>
      <c r="H26" s="566">
        <v>-3.9313682890277515E-7</v>
      </c>
      <c r="I26" s="566">
        <v>-4.5914293721741973E-7</v>
      </c>
      <c r="J26" s="566">
        <v>-5.2514904553206437E-7</v>
      </c>
      <c r="K26" s="566">
        <v>-5.9115515384670906E-7</v>
      </c>
      <c r="L26" s="567">
        <v>-6.5716126216135365E-7</v>
      </c>
      <c r="N26" s="609">
        <v>24</v>
      </c>
      <c r="O26" s="565">
        <v>2.4255145947589538E-5</v>
      </c>
      <c r="P26" s="566">
        <v>-5.2784369009586333E-4</v>
      </c>
      <c r="Q26" s="566">
        <v>-1.0799425261393163E-3</v>
      </c>
      <c r="R26" s="566">
        <v>-1.6320413621827665E-3</v>
      </c>
      <c r="S26" s="566">
        <v>-2.1841401982262178E-3</v>
      </c>
      <c r="T26" s="566">
        <v>-2.7362390342696706E-3</v>
      </c>
      <c r="U26" s="566">
        <v>-3.2883378703131229E-3</v>
      </c>
      <c r="V26" s="566">
        <v>-3.8404367063565744E-3</v>
      </c>
      <c r="W26" s="566">
        <v>-4.3925355424000263E-3</v>
      </c>
      <c r="X26" s="566">
        <v>-4.9446343784434786E-3</v>
      </c>
      <c r="Y26" s="567">
        <v>-5.496733214486931E-3</v>
      </c>
      <c r="AA26" s="580">
        <v>24</v>
      </c>
      <c r="AB26" s="565">
        <f>IF(ISNUMBER(System!$C27),PlotData!B27+Momente!$E$2* $AF$1*B26,PlotData!$CB$3)</f>
        <v>16.950001000091572</v>
      </c>
      <c r="AC26" s="566">
        <f>IF(ISNUMBER(System!$C27),PlotData!C27+ Momente!$E$2*$AF$1*C26,PlotData!$CB$3)</f>
        <v>17.087176498007189</v>
      </c>
      <c r="AD26" s="566">
        <f>IF(ISNUMBER(System!$C27),PlotData!D27+ Momente!$E$2*$AF$1*D26,PlotData!$CB$3)</f>
        <v>17.224351995922806</v>
      </c>
      <c r="AE26" s="566">
        <f>IF(ISNUMBER(System!$C27),PlotData!E27+Momente!$E$2* $AF$1*E26,PlotData!$CB$3)</f>
        <v>17.361527493838423</v>
      </c>
      <c r="AF26" s="566">
        <f>IF(ISNUMBER(System!$C27),PlotData!F27+Momente!$E$2* $AF$1*F26,PlotData!$CB$3)</f>
        <v>17.498702991754037</v>
      </c>
      <c r="AG26" s="566">
        <f>IF(ISNUMBER(System!$C27),PlotData!G27+ Momente!$E$2*$AF$1*G26,PlotData!$CB$3)</f>
        <v>17.635878489669654</v>
      </c>
      <c r="AH26" s="566">
        <f>IF(ISNUMBER(System!$C27),PlotData!H27+ Momente!$E$2*$AF$1*H26,PlotData!$CB$3)</f>
        <v>17.773053987585271</v>
      </c>
      <c r="AI26" s="566">
        <f>IF(ISNUMBER(System!$C27),PlotData!I27+ Momente!$E$2*$AF$1*I26,PlotData!$CB$3)</f>
        <v>17.910229485500885</v>
      </c>
      <c r="AJ26" s="566">
        <f>IF(ISNUMBER(System!$C27),PlotData!J27+ Momente!$E$2*$AF$1*J26,PlotData!$CB$3)</f>
        <v>18.047404983416502</v>
      </c>
      <c r="AK26" s="566">
        <f>IF(ISNUMBER(System!$C27),PlotData!K27+ Momente!$E$2*$AF$1*K26,PlotData!$CB$3)</f>
        <v>18.184580481332119</v>
      </c>
      <c r="AL26" s="567">
        <f>IF(ISNUMBER(System!$C27),PlotData!L27+Momente!$E$2* $AF$1*L26,PlotData!$CB$3)</f>
        <v>18.321755979247733</v>
      </c>
      <c r="AM26" s="565">
        <f>IF(ISNUMBER(System!$C27),PlotData!L27,PlotData!$CB$3)</f>
        <v>18.321756000000015</v>
      </c>
      <c r="AN26" s="566">
        <f>IF(ISNUMBER(System!$C27),PlotData!B27,PlotData!$CB$3)</f>
        <v>16.950001</v>
      </c>
      <c r="AO26" s="447">
        <f>IF(ISNUMBER(System!$C27),AB26,PlotData!$CB$3)</f>
        <v>16.950001000091572</v>
      </c>
      <c r="AQ26" s="580">
        <v>24</v>
      </c>
      <c r="AR26" s="565">
        <f>IF(ISNUMBER(System!$C27),PlotData!O27+ Momente!$E$2*$AF$1*O26,PlotData!$CB$4)</f>
        <v>0.90000076594529821</v>
      </c>
      <c r="AS26" s="566">
        <f>IF(ISNUMBER(System!$C27),PlotData!P27+Momente!$E$2* $AF$1*P26,PlotData!$CB$4)</f>
        <v>0.89996693139724393</v>
      </c>
      <c r="AT26" s="566">
        <f>IF(ISNUMBER(System!$C27),PlotData!Q27+ Momente!$E$2*$AF$1*Q26,PlotData!$CB$4)</f>
        <v>0.89993309684918965</v>
      </c>
      <c r="AU26" s="566">
        <f>IF(ISNUMBER(System!$C27),PlotData!R27+Momente!$E$2* $AF$1*R26,PlotData!$CB$4)</f>
        <v>0.89989926230113537</v>
      </c>
      <c r="AV26" s="566">
        <f>IF(ISNUMBER(System!$C27),PlotData!S27+ Momente!$E$2*$AF$1*S26,PlotData!$CB$4)</f>
        <v>0.89986542775308109</v>
      </c>
      <c r="AW26" s="566">
        <f>IF(ISNUMBER(System!$C27),PlotData!T27+ Momente!$E$2*$AF$1*T26,PlotData!$CB$4)</f>
        <v>0.8998315932050267</v>
      </c>
      <c r="AX26" s="566">
        <f>IF(ISNUMBER(System!$C27),PlotData!U27+ Momente!$E$2*$AF$1*U26,PlotData!$CB$4)</f>
        <v>0.89979775865697242</v>
      </c>
      <c r="AY26" s="566">
        <f>IF(ISNUMBER(System!$C27),PlotData!V27+ Momente!$E$2*$AF$1*V26,PlotData!$CB$4)</f>
        <v>0.89976392410891814</v>
      </c>
      <c r="AZ26" s="566">
        <f>IF(ISNUMBER(System!$C27),PlotData!W27+ Momente!$E$2*$AF$1*W26,PlotData!$CB$4)</f>
        <v>0.89973008956086387</v>
      </c>
      <c r="BA26" s="566">
        <f>IF(ISNUMBER(System!$C27),PlotData!X27+ Momente!$E$2*$AF$1*X26,PlotData!$CB$4)</f>
        <v>0.89969625501280959</v>
      </c>
      <c r="BB26" s="567">
        <f>IF(ISNUMBER(System!$C27),PlotData!Y27+ Momente!$E$2*$AF$1*Y26,PlotData!$CB$4)</f>
        <v>0.89966242046475531</v>
      </c>
      <c r="BC26" s="607">
        <f>IF(ISNUMBER(System!$C27),PlotData!Y27, PlotData!CB$4)</f>
        <v>0.89983599999999975</v>
      </c>
      <c r="BD26" s="566">
        <f>IF(ISNUMBER(System!$C27),PlotData!O27, PlotData!$CB$4)</f>
        <v>0.9</v>
      </c>
      <c r="BE26" s="567">
        <f>IF(ISNUMBER(System!$C27), AR26,PlotData!$CB$4)</f>
        <v>0.90000076594529821</v>
      </c>
    </row>
    <row r="27" spans="1:57" x14ac:dyDescent="0.35">
      <c r="A27" s="609">
        <v>25</v>
      </c>
      <c r="B27" s="565">
        <v>0</v>
      </c>
      <c r="C27" s="566">
        <v>-3.7558836086928009E-4</v>
      </c>
      <c r="D27" s="566">
        <v>-7.511767217385565E-4</v>
      </c>
      <c r="E27" s="566">
        <v>-1.1267650826078364E-3</v>
      </c>
      <c r="F27" s="566">
        <v>-1.5023534434771165E-3</v>
      </c>
      <c r="G27" s="566">
        <v>-1.8779418043463954E-3</v>
      </c>
      <c r="H27" s="566">
        <v>-2.2535301652156746E-3</v>
      </c>
      <c r="I27" s="566">
        <v>-2.6291185260849548E-3</v>
      </c>
      <c r="J27" s="566">
        <v>-3.0047068869542334E-3</v>
      </c>
      <c r="K27" s="566">
        <v>-3.3802952478235145E-3</v>
      </c>
      <c r="L27" s="567">
        <v>-3.755883608692793E-3</v>
      </c>
      <c r="N27" s="609">
        <v>25</v>
      </c>
      <c r="O27" s="565">
        <v>0</v>
      </c>
      <c r="P27" s="566">
        <v>-3.6947615119468962E-5</v>
      </c>
      <c r="Q27" s="566">
        <v>-7.3895230238937571E-5</v>
      </c>
      <c r="R27" s="566">
        <v>-1.1084284535840652E-4</v>
      </c>
      <c r="S27" s="566">
        <v>-1.4779046047787547E-4</v>
      </c>
      <c r="T27" s="566">
        <v>-1.8473807559734432E-4</v>
      </c>
      <c r="U27" s="566">
        <v>-2.216856907168132E-4</v>
      </c>
      <c r="V27" s="566">
        <v>-2.5863330583628216E-4</v>
      </c>
      <c r="W27" s="566">
        <v>-2.9558092095575099E-4</v>
      </c>
      <c r="X27" s="566">
        <v>-3.3252853607522009E-4</v>
      </c>
      <c r="Y27" s="567">
        <v>-3.6947615119468886E-4</v>
      </c>
      <c r="AA27" s="580">
        <v>25</v>
      </c>
      <c r="AB27" s="565">
        <f>IF(ISNUMBER(System!$C28),PlotData!B28+Momente!$E$2* $AF$1*B27,PlotData!$CB$3)</f>
        <v>16.350000000000001</v>
      </c>
      <c r="AC27" s="566">
        <f>IF(ISNUMBER(System!$C28),PlotData!C28+ Momente!$E$2*$AF$1*C27,PlotData!$CB$3)</f>
        <v>16.358553139418348</v>
      </c>
      <c r="AD27" s="566">
        <f>IF(ISNUMBER(System!$C28),PlotData!D28+ Momente!$E$2*$AF$1*D27,PlotData!$CB$3)</f>
        <v>16.367106278836694</v>
      </c>
      <c r="AE27" s="566">
        <f>IF(ISNUMBER(System!$C28),PlotData!E28+Momente!$E$2* $AF$1*E27,PlotData!$CB$3)</f>
        <v>16.37565941825504</v>
      </c>
      <c r="AF27" s="566">
        <f>IF(ISNUMBER(System!$C28),PlotData!F28+Momente!$E$2* $AF$1*F27,PlotData!$CB$3)</f>
        <v>16.384212557673386</v>
      </c>
      <c r="AG27" s="566">
        <f>IF(ISNUMBER(System!$C28),PlotData!G28+ Momente!$E$2*$AF$1*G27,PlotData!$CB$3)</f>
        <v>16.392765697091733</v>
      </c>
      <c r="AH27" s="566">
        <f>IF(ISNUMBER(System!$C28),PlotData!H28+ Momente!$E$2*$AF$1*H27,PlotData!$CB$3)</f>
        <v>16.401318836510079</v>
      </c>
      <c r="AI27" s="566">
        <f>IF(ISNUMBER(System!$C28),PlotData!I28+ Momente!$E$2*$AF$1*I27,PlotData!$CB$3)</f>
        <v>16.409871975928425</v>
      </c>
      <c r="AJ27" s="566">
        <f>IF(ISNUMBER(System!$C28),PlotData!J28+ Momente!$E$2*$AF$1*J27,PlotData!$CB$3)</f>
        <v>16.418425115346771</v>
      </c>
      <c r="AK27" s="566">
        <f>IF(ISNUMBER(System!$C28),PlotData!K28+ Momente!$E$2*$AF$1*K27,PlotData!$CB$3)</f>
        <v>16.426978254765118</v>
      </c>
      <c r="AL27" s="567">
        <f>IF(ISNUMBER(System!$C28),PlotData!L28+Momente!$E$2* $AF$1*L27,PlotData!$CB$3)</f>
        <v>16.435531394183467</v>
      </c>
      <c r="AM27" s="565">
        <f>IF(ISNUMBER(System!$C28),PlotData!L28,PlotData!$CB$3)</f>
        <v>16.43565000000001</v>
      </c>
      <c r="AN27" s="566">
        <f>IF(ISNUMBER(System!$C28),PlotData!B28,PlotData!$CB$3)</f>
        <v>16.350000000000001</v>
      </c>
      <c r="AO27" s="447">
        <f>IF(ISNUMBER(System!$C28),AB27,PlotData!$CB$3)</f>
        <v>16.350000000000001</v>
      </c>
      <c r="AQ27" s="580">
        <v>25</v>
      </c>
      <c r="AR27" s="565">
        <f>IF(ISNUMBER(System!$C28),PlotData!O28+ Momente!$E$2*$AF$1*O27,PlotData!$CB$4)</f>
        <v>3.6</v>
      </c>
      <c r="AS27" s="566">
        <f>IF(ISNUMBER(System!$C28),PlotData!P28+Momente!$E$2* $AF$1*P27,PlotData!$CB$4)</f>
        <v>3.5129319332433813</v>
      </c>
      <c r="AT27" s="566">
        <f>IF(ISNUMBER(System!$C28),PlotData!Q28+ Momente!$E$2*$AF$1*Q27,PlotData!$CB$4)</f>
        <v>3.425863866486762</v>
      </c>
      <c r="AU27" s="566">
        <f>IF(ISNUMBER(System!$C28),PlotData!R28+Momente!$E$2* $AF$1*R27,PlotData!$CB$4)</f>
        <v>3.3387957997301432</v>
      </c>
      <c r="AV27" s="566">
        <f>IF(ISNUMBER(System!$C28),PlotData!S28+ Momente!$E$2*$AF$1*S27,PlotData!$CB$4)</f>
        <v>3.2517277329735244</v>
      </c>
      <c r="AW27" s="566">
        <f>IF(ISNUMBER(System!$C28),PlotData!T28+ Momente!$E$2*$AF$1*T27,PlotData!$CB$4)</f>
        <v>3.1646596662169055</v>
      </c>
      <c r="AX27" s="566">
        <f>IF(ISNUMBER(System!$C28),PlotData!U28+ Momente!$E$2*$AF$1*U27,PlotData!$CB$4)</f>
        <v>3.0775915994602863</v>
      </c>
      <c r="AY27" s="566">
        <f>IF(ISNUMBER(System!$C28),PlotData!V28+ Momente!$E$2*$AF$1*V27,PlotData!$CB$4)</f>
        <v>2.9905235327036674</v>
      </c>
      <c r="AZ27" s="566">
        <f>IF(ISNUMBER(System!$C28),PlotData!W28+ Momente!$E$2*$AF$1*W27,PlotData!$CB$4)</f>
        <v>2.9034554659470486</v>
      </c>
      <c r="BA27" s="566">
        <f>IF(ISNUMBER(System!$C28),PlotData!X28+ Momente!$E$2*$AF$1*X27,PlotData!$CB$4)</f>
        <v>2.8163873991904298</v>
      </c>
      <c r="BB27" s="567">
        <f>IF(ISNUMBER(System!$C28),PlotData!Y28+ Momente!$E$2*$AF$1*Y27,PlotData!$CB$4)</f>
        <v>2.7293193324338105</v>
      </c>
      <c r="BC27" s="607">
        <f>IF(ISNUMBER(System!$C28),PlotData!Y28, PlotData!CB$4)</f>
        <v>2.7293310000000006</v>
      </c>
      <c r="BD27" s="566">
        <f>IF(ISNUMBER(System!$C28),PlotData!O28, PlotData!$CB$4)</f>
        <v>3.6</v>
      </c>
      <c r="BE27" s="567">
        <f>IF(ISNUMBER(System!$C28), AR27,PlotData!$CB$4)</f>
        <v>3.6</v>
      </c>
    </row>
    <row r="28" spans="1:57" x14ac:dyDescent="0.35">
      <c r="A28" s="609">
        <v>26</v>
      </c>
      <c r="B28" s="565">
        <v>0</v>
      </c>
      <c r="C28" s="566">
        <v>-3.9432709470916692E-4</v>
      </c>
      <c r="D28" s="566">
        <v>-7.886541894183359E-4</v>
      </c>
      <c r="E28" s="566">
        <v>-1.1829812841275059E-3</v>
      </c>
      <c r="F28" s="566">
        <v>-1.5773083788366748E-3</v>
      </c>
      <c r="G28" s="566">
        <v>-1.9716354735458438E-3</v>
      </c>
      <c r="H28" s="566">
        <v>-2.365962568255013E-3</v>
      </c>
      <c r="I28" s="566">
        <v>-2.7602896629641822E-3</v>
      </c>
      <c r="J28" s="566">
        <v>-3.154616757673351E-3</v>
      </c>
      <c r="K28" s="566">
        <v>-3.5489438523825211E-3</v>
      </c>
      <c r="L28" s="567">
        <v>-3.9432709470916894E-3</v>
      </c>
      <c r="N28" s="609">
        <v>26</v>
      </c>
      <c r="O28" s="565">
        <v>0</v>
      </c>
      <c r="P28" s="566">
        <v>4.3342305702218259E-5</v>
      </c>
      <c r="Q28" s="566">
        <v>8.6684611404436748E-5</v>
      </c>
      <c r="R28" s="566">
        <v>1.3002691710665534E-4</v>
      </c>
      <c r="S28" s="566">
        <v>1.7336922280887382E-4</v>
      </c>
      <c r="T28" s="566">
        <v>2.167115285110923E-4</v>
      </c>
      <c r="U28" s="566">
        <v>2.6005383421331079E-4</v>
      </c>
      <c r="V28" s="566">
        <v>3.033961399155293E-4</v>
      </c>
      <c r="W28" s="566">
        <v>3.4673844561774775E-4</v>
      </c>
      <c r="X28" s="566">
        <v>3.9008075131996637E-4</v>
      </c>
      <c r="Y28" s="567">
        <v>4.3342305702218477E-4</v>
      </c>
      <c r="AA28" s="580">
        <v>26</v>
      </c>
      <c r="AB28" s="565">
        <f>IF(ISNUMBER(System!$C29),PlotData!B29+Momente!$E$2* $AF$1*B28,PlotData!$CB$3)</f>
        <v>17.549999</v>
      </c>
      <c r="AC28" s="566">
        <f>IF(ISNUMBER(System!$C29),PlotData!C29+ Momente!$E$2*$AF$1*C28,PlotData!$CB$3)</f>
        <v>17.540586947674015</v>
      </c>
      <c r="AD28" s="566">
        <f>IF(ISNUMBER(System!$C29),PlotData!D29+ Momente!$E$2*$AF$1*D28,PlotData!$CB$3)</f>
        <v>17.531174895348027</v>
      </c>
      <c r="AE28" s="566">
        <f>IF(ISNUMBER(System!$C29),PlotData!E29+Momente!$E$2* $AF$1*E28,PlotData!$CB$3)</f>
        <v>17.521762843022042</v>
      </c>
      <c r="AF28" s="566">
        <f>IF(ISNUMBER(System!$C29),PlotData!F29+Momente!$E$2* $AF$1*F28,PlotData!$CB$3)</f>
        <v>17.512350790696058</v>
      </c>
      <c r="AG28" s="566">
        <f>IF(ISNUMBER(System!$C29),PlotData!G29+ Momente!$E$2*$AF$1*G28,PlotData!$CB$3)</f>
        <v>17.502938738370069</v>
      </c>
      <c r="AH28" s="566">
        <f>IF(ISNUMBER(System!$C29),PlotData!H29+ Momente!$E$2*$AF$1*H28,PlotData!$CB$3)</f>
        <v>17.493526686044085</v>
      </c>
      <c r="AI28" s="566">
        <f>IF(ISNUMBER(System!$C29),PlotData!I29+ Momente!$E$2*$AF$1*I28,PlotData!$CB$3)</f>
        <v>17.4841146337181</v>
      </c>
      <c r="AJ28" s="566">
        <f>IF(ISNUMBER(System!$C29),PlotData!J29+ Momente!$E$2*$AF$1*J28,PlotData!$CB$3)</f>
        <v>17.474702581392112</v>
      </c>
      <c r="AK28" s="566">
        <f>IF(ISNUMBER(System!$C29),PlotData!K29+ Momente!$E$2*$AF$1*K28,PlotData!$CB$3)</f>
        <v>17.465290529066127</v>
      </c>
      <c r="AL28" s="567">
        <f>IF(ISNUMBER(System!$C29),PlotData!L29+Momente!$E$2* $AF$1*L28,PlotData!$CB$3)</f>
        <v>17.455878476740143</v>
      </c>
      <c r="AM28" s="565">
        <f>IF(ISNUMBER(System!$C29),PlotData!L29,PlotData!$CB$3)</f>
        <v>17.456002999999981</v>
      </c>
      <c r="AN28" s="566">
        <f>IF(ISNUMBER(System!$C29),PlotData!B29,PlotData!$CB$3)</f>
        <v>17.549999</v>
      </c>
      <c r="AO28" s="447">
        <f>IF(ISNUMBER(System!$C29),AB28,PlotData!$CB$3)</f>
        <v>17.549999</v>
      </c>
      <c r="AQ28" s="580">
        <v>26</v>
      </c>
      <c r="AR28" s="565">
        <f>IF(ISNUMBER(System!$C29),PlotData!O29+ Momente!$E$2*$AF$1*O28,PlotData!$CB$4)</f>
        <v>3.6</v>
      </c>
      <c r="AS28" s="566">
        <f>IF(ISNUMBER(System!$C29),PlotData!P29+Momente!$E$2* $AF$1*P28,PlotData!$CB$4)</f>
        <v>3.5144840686924557</v>
      </c>
      <c r="AT28" s="566">
        <f>IF(ISNUMBER(System!$C29),PlotData!Q29+ Momente!$E$2*$AF$1*Q28,PlotData!$CB$4)</f>
        <v>3.4289681373849108</v>
      </c>
      <c r="AU28" s="566">
        <f>IF(ISNUMBER(System!$C29),PlotData!R29+Momente!$E$2* $AF$1*R28,PlotData!$CB$4)</f>
        <v>3.3434522060773659</v>
      </c>
      <c r="AV28" s="566">
        <f>IF(ISNUMBER(System!$C29),PlotData!S29+ Momente!$E$2*$AF$1*S28,PlotData!$CB$4)</f>
        <v>3.2579362747698215</v>
      </c>
      <c r="AW28" s="566">
        <f>IF(ISNUMBER(System!$C29),PlotData!T29+ Momente!$E$2*$AF$1*T28,PlotData!$CB$4)</f>
        <v>3.1724203434622766</v>
      </c>
      <c r="AX28" s="566">
        <f>IF(ISNUMBER(System!$C29),PlotData!U29+ Momente!$E$2*$AF$1*U28,PlotData!$CB$4)</f>
        <v>3.0869044121547318</v>
      </c>
      <c r="AY28" s="566">
        <f>IF(ISNUMBER(System!$C29),PlotData!V29+ Momente!$E$2*$AF$1*V28,PlotData!$CB$4)</f>
        <v>3.0013884808471869</v>
      </c>
      <c r="AZ28" s="566">
        <f>IF(ISNUMBER(System!$C29),PlotData!W29+ Momente!$E$2*$AF$1*W28,PlotData!$CB$4)</f>
        <v>2.915872549539642</v>
      </c>
      <c r="BA28" s="566">
        <f>IF(ISNUMBER(System!$C29),PlotData!X29+ Momente!$E$2*$AF$1*X28,PlotData!$CB$4)</f>
        <v>2.8303566182320972</v>
      </c>
      <c r="BB28" s="567">
        <f>IF(ISNUMBER(System!$C29),PlotData!Y29+ Momente!$E$2*$AF$1*Y28,PlotData!$CB$4)</f>
        <v>2.7448406869245523</v>
      </c>
      <c r="BC28" s="607">
        <f>IF(ISNUMBER(System!$C29),PlotData!Y29, PlotData!CB$4)</f>
        <v>2.7448269999999981</v>
      </c>
      <c r="BD28" s="566">
        <f>IF(ISNUMBER(System!$C29),PlotData!O29, PlotData!$CB$4)</f>
        <v>3.6</v>
      </c>
      <c r="BE28" s="567">
        <f>IF(ISNUMBER(System!$C29), AR28,PlotData!$CB$4)</f>
        <v>3.6</v>
      </c>
    </row>
    <row r="29" spans="1:57" x14ac:dyDescent="0.35">
      <c r="A29" s="609">
        <v>27</v>
      </c>
      <c r="B29" s="565">
        <v>-6.633433288608054E-7</v>
      </c>
      <c r="C29" s="566">
        <v>-5.9730382929134037E-7</v>
      </c>
      <c r="D29" s="566">
        <v>-5.3126432972187545E-7</v>
      </c>
      <c r="E29" s="566">
        <v>-4.6522483015241053E-7</v>
      </c>
      <c r="F29" s="566">
        <v>-3.9918533058294567E-7</v>
      </c>
      <c r="G29" s="566">
        <v>-3.3314583101348069E-7</v>
      </c>
      <c r="H29" s="566">
        <v>-2.6710633144401578E-7</v>
      </c>
      <c r="I29" s="566">
        <v>-2.0106683187455091E-7</v>
      </c>
      <c r="J29" s="566">
        <v>-1.350273323050862E-7</v>
      </c>
      <c r="K29" s="566">
        <v>-6.898783273562115E-8</v>
      </c>
      <c r="L29" s="567">
        <v>-2.9483331661562742E-9</v>
      </c>
      <c r="N29" s="609">
        <v>27</v>
      </c>
      <c r="O29" s="565">
        <v>5.4571475963746847E-3</v>
      </c>
      <c r="P29" s="566">
        <v>4.9138583513313903E-3</v>
      </c>
      <c r="Q29" s="566">
        <v>4.3705691062880959E-3</v>
      </c>
      <c r="R29" s="566">
        <v>3.8272798612448019E-3</v>
      </c>
      <c r="S29" s="566">
        <v>3.2839906162015083E-3</v>
      </c>
      <c r="T29" s="566">
        <v>2.7407013711582139E-3</v>
      </c>
      <c r="U29" s="566">
        <v>2.1974121261149194E-3</v>
      </c>
      <c r="V29" s="566">
        <v>1.6541228810716261E-3</v>
      </c>
      <c r="W29" s="566">
        <v>1.1108336360283334E-3</v>
      </c>
      <c r="X29" s="566">
        <v>5.675443909850383E-4</v>
      </c>
      <c r="Y29" s="567">
        <v>2.425514594174454E-5</v>
      </c>
      <c r="AA29" s="580">
        <v>27</v>
      </c>
      <c r="AB29" s="565">
        <f>IF(ISNUMBER(System!$C30),PlotData!B30+Momente!$E$2* $AF$1*B29,PlotData!$CB$3)</f>
        <v>15.600816979052498</v>
      </c>
      <c r="AC29" s="566">
        <f>IF(ISNUMBER(System!$C30),PlotData!C30+ Momente!$E$2*$AF$1*C29,PlotData!$CB$3)</f>
        <v>15.735735381137937</v>
      </c>
      <c r="AD29" s="566">
        <f>IF(ISNUMBER(System!$C30),PlotData!D30+ Momente!$E$2*$AF$1*D29,PlotData!$CB$3)</f>
        <v>15.870653783223377</v>
      </c>
      <c r="AE29" s="566">
        <f>IF(ISNUMBER(System!$C30),PlotData!E30+Momente!$E$2* $AF$1*E29,PlotData!$CB$3)</f>
        <v>16.005572185308818</v>
      </c>
      <c r="AF29" s="566">
        <f>IF(ISNUMBER(System!$C30),PlotData!F30+Momente!$E$2* $AF$1*F29,PlotData!$CB$3)</f>
        <v>16.140490587394257</v>
      </c>
      <c r="AG29" s="566">
        <f>IF(ISNUMBER(System!$C30),PlotData!G30+ Momente!$E$2*$AF$1*G29,PlotData!$CB$3)</f>
        <v>16.275408989479697</v>
      </c>
      <c r="AH29" s="566">
        <f>IF(ISNUMBER(System!$C30),PlotData!H30+ Momente!$E$2*$AF$1*H29,PlotData!$CB$3)</f>
        <v>16.410327391565136</v>
      </c>
      <c r="AI29" s="566">
        <f>IF(ISNUMBER(System!$C30),PlotData!I30+ Momente!$E$2*$AF$1*I29,PlotData!$CB$3)</f>
        <v>16.545245793650576</v>
      </c>
      <c r="AJ29" s="566">
        <f>IF(ISNUMBER(System!$C30),PlotData!J30+ Momente!$E$2*$AF$1*J29,PlotData!$CB$3)</f>
        <v>16.680164195736015</v>
      </c>
      <c r="AK29" s="566">
        <f>IF(ISNUMBER(System!$C30),PlotData!K30+ Momente!$E$2*$AF$1*K29,PlotData!$CB$3)</f>
        <v>16.815082597821455</v>
      </c>
      <c r="AL29" s="567">
        <f>IF(ISNUMBER(System!$C30),PlotData!L30+Momente!$E$2* $AF$1*L29,PlotData!$CB$3)</f>
        <v>16.950000999906894</v>
      </c>
      <c r="AM29" s="565">
        <f>IF(ISNUMBER(System!$C30),PlotData!L30,PlotData!$CB$3)</f>
        <v>16.950001</v>
      </c>
      <c r="AN29" s="566">
        <f>IF(ISNUMBER(System!$C30),PlotData!B30,PlotData!$CB$3)</f>
        <v>15.600816999999999</v>
      </c>
      <c r="AO29" s="447">
        <f>IF(ISNUMBER(System!$C30),AB29,PlotData!$CB$3)</f>
        <v>15.600816979052498</v>
      </c>
      <c r="AQ29" s="580">
        <v>27</v>
      </c>
      <c r="AR29" s="565">
        <f>IF(ISNUMBER(System!$C30),PlotData!O30+ Momente!$E$2*$AF$1*O29,PlotData!$CB$4)</f>
        <v>0.90000832947399412</v>
      </c>
      <c r="AS29" s="566">
        <f>IF(ISNUMBER(System!$C30),PlotData!P30+Momente!$E$2* $AF$1*P29,PlotData!$CB$4)</f>
        <v>0.90000757312112456</v>
      </c>
      <c r="AT29" s="566">
        <f>IF(ISNUMBER(System!$C30),PlotData!Q30+ Momente!$E$2*$AF$1*Q29,PlotData!$CB$4)</f>
        <v>0.900006816768255</v>
      </c>
      <c r="AU29" s="566">
        <f>IF(ISNUMBER(System!$C30),PlotData!R30+Momente!$E$2* $AF$1*R29,PlotData!$CB$4)</f>
        <v>0.90000606041538533</v>
      </c>
      <c r="AV29" s="566">
        <f>IF(ISNUMBER(System!$C30),PlotData!S30+ Momente!$E$2*$AF$1*S29,PlotData!$CB$4)</f>
        <v>0.90000530406251578</v>
      </c>
      <c r="AW29" s="566">
        <f>IF(ISNUMBER(System!$C30),PlotData!T30+ Momente!$E$2*$AF$1*T29,PlotData!$CB$4)</f>
        <v>0.90000454770964622</v>
      </c>
      <c r="AX29" s="566">
        <f>IF(ISNUMBER(System!$C30),PlotData!U30+ Momente!$E$2*$AF$1*U29,PlotData!$CB$4)</f>
        <v>0.90000379135677655</v>
      </c>
      <c r="AY29" s="566">
        <f>IF(ISNUMBER(System!$C30),PlotData!V30+ Momente!$E$2*$AF$1*V29,PlotData!$CB$4)</f>
        <v>0.90000303500390699</v>
      </c>
      <c r="AZ29" s="566">
        <f>IF(ISNUMBER(System!$C30),PlotData!W30+ Momente!$E$2*$AF$1*W29,PlotData!$CB$4)</f>
        <v>0.90000227865103744</v>
      </c>
      <c r="BA29" s="566">
        <f>IF(ISNUMBER(System!$C30),PlotData!X30+ Momente!$E$2*$AF$1*X29,PlotData!$CB$4)</f>
        <v>0.90000152229816777</v>
      </c>
      <c r="BB29" s="567">
        <f>IF(ISNUMBER(System!$C30),PlotData!Y30+ Momente!$E$2*$AF$1*Y29,PlotData!$CB$4)</f>
        <v>0.90000076594529821</v>
      </c>
      <c r="BC29" s="607">
        <f>IF(ISNUMBER(System!$C30),PlotData!Y30, PlotData!CB$4)</f>
        <v>0.90000000000000024</v>
      </c>
      <c r="BD29" s="566">
        <f>IF(ISNUMBER(System!$C30),PlotData!O30, PlotData!$CB$4)</f>
        <v>0.89983599999999997</v>
      </c>
      <c r="BE29" s="567">
        <f>IF(ISNUMBER(System!$C30), AR29,PlotData!$CB$4)</f>
        <v>0.90000832947399412</v>
      </c>
    </row>
    <row r="30" spans="1:57" x14ac:dyDescent="0.35">
      <c r="A30" s="609">
        <v>28</v>
      </c>
      <c r="B30" s="565">
        <v>2.6295218560511827E-7</v>
      </c>
      <c r="C30" s="566">
        <v>2.3665696704460646E-7</v>
      </c>
      <c r="D30" s="566">
        <v>2.1036174848409458E-7</v>
      </c>
      <c r="E30" s="566">
        <v>1.8406652992358282E-7</v>
      </c>
      <c r="F30" s="566">
        <v>1.5777131136307099E-7</v>
      </c>
      <c r="G30" s="566">
        <v>1.3147609280255913E-7</v>
      </c>
      <c r="H30" s="566">
        <v>1.0518087424204729E-7</v>
      </c>
      <c r="I30" s="566">
        <v>7.8885655681535483E-8</v>
      </c>
      <c r="J30" s="566">
        <v>5.2590437121023697E-8</v>
      </c>
      <c r="K30" s="566">
        <v>2.6295218560511849E-8</v>
      </c>
      <c r="L30" s="567">
        <v>0</v>
      </c>
      <c r="N30" s="609">
        <v>28</v>
      </c>
      <c r="O30" s="565">
        <v>-5.4967332474837914E-3</v>
      </c>
      <c r="P30" s="566">
        <v>-4.9470599227354126E-3</v>
      </c>
      <c r="Q30" s="566">
        <v>-4.3973865979870319E-3</v>
      </c>
      <c r="R30" s="566">
        <v>-3.8477132732386539E-3</v>
      </c>
      <c r="S30" s="566">
        <v>-3.2980399484902755E-3</v>
      </c>
      <c r="T30" s="566">
        <v>-2.7483666237418957E-3</v>
      </c>
      <c r="U30" s="566">
        <v>-2.198693298993516E-3</v>
      </c>
      <c r="V30" s="566">
        <v>-1.6490199742451373E-3</v>
      </c>
      <c r="W30" s="566">
        <v>-1.0993466494967591E-3</v>
      </c>
      <c r="X30" s="566">
        <v>-5.4967332474837954E-4</v>
      </c>
      <c r="Y30" s="567">
        <v>0</v>
      </c>
      <c r="AA30" s="580">
        <v>28</v>
      </c>
      <c r="AB30" s="565">
        <f>IF(ISNUMBER(System!$C31),PlotData!B31+Momente!$E$2* $AF$1*B30,PlotData!$CB$3)</f>
        <v>18.32175600830368</v>
      </c>
      <c r="AC30" s="566">
        <f>IF(ISNUMBER(System!$C31),PlotData!C31+ Momente!$E$2*$AF$1*C30,PlotData!$CB$3)</f>
        <v>18.664580407473316</v>
      </c>
      <c r="AD30" s="566">
        <f>IF(ISNUMBER(System!$C31),PlotData!D31+ Momente!$E$2*$AF$1*D30,PlotData!$CB$3)</f>
        <v>19.007404806642949</v>
      </c>
      <c r="AE30" s="566">
        <f>IF(ISNUMBER(System!$C31),PlotData!E31+Momente!$E$2* $AF$1*E30,PlotData!$CB$3)</f>
        <v>19.350229205812582</v>
      </c>
      <c r="AF30" s="566">
        <f>IF(ISNUMBER(System!$C31),PlotData!F31+Momente!$E$2* $AF$1*F30,PlotData!$CB$3)</f>
        <v>19.693053604982214</v>
      </c>
      <c r="AG30" s="566">
        <f>IF(ISNUMBER(System!$C31),PlotData!G31+ Momente!$E$2*$AF$1*G30,PlotData!$CB$3)</f>
        <v>20.035878004151847</v>
      </c>
      <c r="AH30" s="566">
        <f>IF(ISNUMBER(System!$C31),PlotData!H31+ Momente!$E$2*$AF$1*H30,PlotData!$CB$3)</f>
        <v>20.37870240332148</v>
      </c>
      <c r="AI30" s="566">
        <f>IF(ISNUMBER(System!$C31),PlotData!I31+ Momente!$E$2*$AF$1*I30,PlotData!$CB$3)</f>
        <v>20.721526802491116</v>
      </c>
      <c r="AJ30" s="566">
        <f>IF(ISNUMBER(System!$C31),PlotData!J31+ Momente!$E$2*$AF$1*J30,PlotData!$CB$3)</f>
        <v>21.064351201660749</v>
      </c>
      <c r="AK30" s="566">
        <f>IF(ISNUMBER(System!$C31),PlotData!K31+ Momente!$E$2*$AF$1*K30,PlotData!$CB$3)</f>
        <v>21.407175600830382</v>
      </c>
      <c r="AL30" s="567">
        <f>IF(ISNUMBER(System!$C31),PlotData!L31+Momente!$E$2* $AF$1*L30,PlotData!$CB$3)</f>
        <v>21.750000000000014</v>
      </c>
      <c r="AM30" s="565">
        <f>IF(ISNUMBER(System!$C31),PlotData!L31,PlotData!$CB$3)</f>
        <v>21.750000000000014</v>
      </c>
      <c r="AN30" s="566">
        <f>IF(ISNUMBER(System!$C31),PlotData!B31,PlotData!$CB$3)</f>
        <v>18.321756000000001</v>
      </c>
      <c r="AO30" s="447">
        <f>IF(ISNUMBER(System!$C31),AB30,PlotData!$CB$3)</f>
        <v>18.32175600830368</v>
      </c>
      <c r="AQ30" s="580">
        <v>28</v>
      </c>
      <c r="AR30" s="565">
        <f>IF(ISNUMBER(System!$C31),PlotData!O31+ Momente!$E$2*$AF$1*O30,PlotData!$CB$4)</f>
        <v>0.89966242046371359</v>
      </c>
      <c r="AS30" s="566">
        <f>IF(ISNUMBER(System!$C31),PlotData!P31+Momente!$E$2* $AF$1*P30,PlotData!$CB$4)</f>
        <v>0.89969617841734217</v>
      </c>
      <c r="AT30" s="566">
        <f>IF(ISNUMBER(System!$C31),PlotData!Q31+ Momente!$E$2*$AF$1*Q30,PlotData!$CB$4)</f>
        <v>0.89972993637097087</v>
      </c>
      <c r="AU30" s="566">
        <f>IF(ISNUMBER(System!$C31),PlotData!R31+Momente!$E$2* $AF$1*R30,PlotData!$CB$4)</f>
        <v>0.89976369432459957</v>
      </c>
      <c r="AV30" s="566">
        <f>IF(ISNUMBER(System!$C31),PlotData!S31+ Momente!$E$2*$AF$1*S30,PlotData!$CB$4)</f>
        <v>0.89979745227822827</v>
      </c>
      <c r="AW30" s="566">
        <f>IF(ISNUMBER(System!$C31),PlotData!T31+ Momente!$E$2*$AF$1*T30,PlotData!$CB$4)</f>
        <v>0.89983121023185686</v>
      </c>
      <c r="AX30" s="566">
        <f>IF(ISNUMBER(System!$C31),PlotData!U31+ Momente!$E$2*$AF$1*U30,PlotData!$CB$4)</f>
        <v>0.89986496818548556</v>
      </c>
      <c r="AY30" s="566">
        <f>IF(ISNUMBER(System!$C31),PlotData!V31+ Momente!$E$2*$AF$1*V30,PlotData!$CB$4)</f>
        <v>0.89989872613911426</v>
      </c>
      <c r="AZ30" s="566">
        <f>IF(ISNUMBER(System!$C31),PlotData!W31+ Momente!$E$2*$AF$1*W30,PlotData!$CB$4)</f>
        <v>0.89993248409274296</v>
      </c>
      <c r="BA30" s="566">
        <f>IF(ISNUMBER(System!$C31),PlotData!X31+ Momente!$E$2*$AF$1*X30,PlotData!$CB$4)</f>
        <v>0.89996624204637155</v>
      </c>
      <c r="BB30" s="567">
        <f>IF(ISNUMBER(System!$C31),PlotData!Y31+ Momente!$E$2*$AF$1*Y30,PlotData!$CB$4)</f>
        <v>0.90000000000000024</v>
      </c>
      <c r="BC30" s="607">
        <f>IF(ISNUMBER(System!$C31),PlotData!Y31, PlotData!CB$4)</f>
        <v>0.90000000000000024</v>
      </c>
      <c r="BD30" s="566">
        <f>IF(ISNUMBER(System!$C31),PlotData!O31, PlotData!$CB$4)</f>
        <v>0.89983599999999997</v>
      </c>
      <c r="BE30" s="567">
        <f>IF(ISNUMBER(System!$C31), AR30,PlotData!$CB$4)</f>
        <v>0.89966242046371359</v>
      </c>
    </row>
    <row r="31" spans="1:57" x14ac:dyDescent="0.35">
      <c r="A31" s="609">
        <v>29</v>
      </c>
      <c r="B31" s="565">
        <v>-9.3428837579698047E-4</v>
      </c>
      <c r="C31" s="566">
        <v>-8.4107398402747009E-4</v>
      </c>
      <c r="D31" s="566">
        <v>-7.478595922579596E-4</v>
      </c>
      <c r="E31" s="566">
        <v>-6.5464520048844912E-4</v>
      </c>
      <c r="F31" s="566">
        <v>-5.6143080871893874E-4</v>
      </c>
      <c r="G31" s="566">
        <v>-4.6821641694942819E-4</v>
      </c>
      <c r="H31" s="566">
        <v>-3.7500202517991787E-4</v>
      </c>
      <c r="I31" s="566">
        <v>-2.8178763341040744E-4</v>
      </c>
      <c r="J31" s="566">
        <v>-1.8857324164089711E-4</v>
      </c>
      <c r="K31" s="566">
        <v>-9.5358849871386594E-5</v>
      </c>
      <c r="L31" s="567">
        <v>-2.1444581018760636E-6</v>
      </c>
      <c r="N31" s="609">
        <v>29</v>
      </c>
      <c r="O31" s="565">
        <v>-9.9506983551045464E-5</v>
      </c>
      <c r="P31" s="566">
        <v>-8.9579124884691974E-5</v>
      </c>
      <c r="Q31" s="566">
        <v>-7.9651266218338471E-5</v>
      </c>
      <c r="R31" s="566">
        <v>-6.9723407551984968E-5</v>
      </c>
      <c r="S31" s="566">
        <v>-5.9795548885631485E-5</v>
      </c>
      <c r="T31" s="566">
        <v>-4.9867690219277981E-5</v>
      </c>
      <c r="U31" s="566">
        <v>-3.9939831552924498E-5</v>
      </c>
      <c r="V31" s="566">
        <v>-3.0011972886571002E-5</v>
      </c>
      <c r="W31" s="566">
        <v>-2.0084114220217522E-5</v>
      </c>
      <c r="X31" s="566">
        <v>-1.0156255553864021E-5</v>
      </c>
      <c r="Y31" s="567">
        <v>-2.283968875105181E-7</v>
      </c>
      <c r="AA31" s="580">
        <v>29</v>
      </c>
      <c r="AB31" s="565">
        <f>IF(ISNUMBER(System!$C32),PlotData!B32+Momente!$E$2* $AF$1*B31,PlotData!$CB$3)</f>
        <v>16.435620496413829</v>
      </c>
      <c r="AC31" s="566">
        <f>IF(ISNUMBER(System!$C32),PlotData!C32+ Momente!$E$2*$AF$1*C31,PlotData!$CB$3)</f>
        <v>16.487058540000529</v>
      </c>
      <c r="AD31" s="566">
        <f>IF(ISNUMBER(System!$C32),PlotData!D32+ Momente!$E$2*$AF$1*D31,PlotData!$CB$3)</f>
        <v>16.538496583587232</v>
      </c>
      <c r="AE31" s="566">
        <f>IF(ISNUMBER(System!$C32),PlotData!E32+Momente!$E$2* $AF$1*E31,PlotData!$CB$3)</f>
        <v>16.589934627173935</v>
      </c>
      <c r="AF31" s="566">
        <f>IF(ISNUMBER(System!$C32),PlotData!F32+Momente!$E$2* $AF$1*F31,PlotData!$CB$3)</f>
        <v>16.641372670760635</v>
      </c>
      <c r="AG31" s="566">
        <f>IF(ISNUMBER(System!$C32),PlotData!G32+ Momente!$E$2*$AF$1*G31,PlotData!$CB$3)</f>
        <v>16.692810714347338</v>
      </c>
      <c r="AH31" s="566">
        <f>IF(ISNUMBER(System!$C32),PlotData!H32+ Momente!$E$2*$AF$1*H31,PlotData!$CB$3)</f>
        <v>16.744248757934042</v>
      </c>
      <c r="AI31" s="566">
        <f>IF(ISNUMBER(System!$C32),PlotData!I32+ Momente!$E$2*$AF$1*I31,PlotData!$CB$3)</f>
        <v>16.795686801520745</v>
      </c>
      <c r="AJ31" s="566">
        <f>IF(ISNUMBER(System!$C32),PlotData!J32+ Momente!$E$2*$AF$1*J31,PlotData!$CB$3)</f>
        <v>16.847124845107444</v>
      </c>
      <c r="AK31" s="566">
        <f>IF(ISNUMBER(System!$C32),PlotData!K32+ Momente!$E$2*$AF$1*K31,PlotData!$CB$3)</f>
        <v>16.898562888694148</v>
      </c>
      <c r="AL31" s="567">
        <f>IF(ISNUMBER(System!$C32),PlotData!L32+Momente!$E$2* $AF$1*L31,PlotData!$CB$3)</f>
        <v>16.950000932280851</v>
      </c>
      <c r="AM31" s="565">
        <f>IF(ISNUMBER(System!$C32),PlotData!L32,PlotData!$CB$3)</f>
        <v>16.95000099999999</v>
      </c>
      <c r="AN31" s="566">
        <f>IF(ISNUMBER(System!$C32),PlotData!B32,PlotData!$CB$3)</f>
        <v>16.435649999999999</v>
      </c>
      <c r="AO31" s="447">
        <f>IF(ISNUMBER(System!$C32),AB31,PlotData!$CB$3)</f>
        <v>16.435620496413829</v>
      </c>
      <c r="AQ31" s="580">
        <v>29</v>
      </c>
      <c r="AR31" s="565">
        <f>IF(ISNUMBER(System!$C32),PlotData!O32+ Momente!$E$2*$AF$1*O31,PlotData!$CB$4)</f>
        <v>2.7293278577016049</v>
      </c>
      <c r="AS31" s="566">
        <f>IF(ISNUMBER(System!$C32),PlotData!P32+Momente!$E$2* $AF$1*P31,PlotData!$CB$4)</f>
        <v>2.2463950712101974</v>
      </c>
      <c r="AT31" s="566">
        <f>IF(ISNUMBER(System!$C32),PlotData!Q32+ Momente!$E$2*$AF$1*Q31,PlotData!$CB$4)</f>
        <v>1.76346228471879</v>
      </c>
      <c r="AU31" s="566">
        <f>IF(ISNUMBER(System!$C32),PlotData!R32+Momente!$E$2* $AF$1*R31,PlotData!$CB$4)</f>
        <v>1.2805294982273823</v>
      </c>
      <c r="AV31" s="566">
        <f>IF(ISNUMBER(System!$C32),PlotData!S32+ Momente!$E$2*$AF$1*S31,PlotData!$CB$4)</f>
        <v>0.79759671173597468</v>
      </c>
      <c r="AW31" s="566">
        <f>IF(ISNUMBER(System!$C32),PlotData!T32+ Momente!$E$2*$AF$1*T31,PlotData!$CB$4)</f>
        <v>0.3146639252445671</v>
      </c>
      <c r="AX31" s="566">
        <f>IF(ISNUMBER(System!$C32),PlotData!U32+ Momente!$E$2*$AF$1*U31,PlotData!$CB$4)</f>
        <v>-0.16826886124684048</v>
      </c>
      <c r="AY31" s="566">
        <f>IF(ISNUMBER(System!$C32),PlotData!V32+ Momente!$E$2*$AF$1*V31,PlotData!$CB$4)</f>
        <v>-0.65120164773824796</v>
      </c>
      <c r="AZ31" s="566">
        <f>IF(ISNUMBER(System!$C32),PlotData!W32+ Momente!$E$2*$AF$1*W31,PlotData!$CB$4)</f>
        <v>-1.1341344342296555</v>
      </c>
      <c r="BA31" s="566">
        <f>IF(ISNUMBER(System!$C32),PlotData!X32+ Momente!$E$2*$AF$1*X31,PlotData!$CB$4)</f>
        <v>-1.6170672207210632</v>
      </c>
      <c r="BB31" s="567">
        <f>IF(ISNUMBER(System!$C32),PlotData!Y32+ Momente!$E$2*$AF$1*Y31,PlotData!$CB$4)</f>
        <v>-2.1000000072124707</v>
      </c>
      <c r="BC31" s="607">
        <f>IF(ISNUMBER(System!$C32),PlotData!Y32, PlotData!CB$4)</f>
        <v>-2.1000000000000005</v>
      </c>
      <c r="BD31" s="566">
        <f>IF(ISNUMBER(System!$C32),PlotData!O32, PlotData!$CB$4)</f>
        <v>2.7293310000000002</v>
      </c>
      <c r="BE31" s="567">
        <f>IF(ISNUMBER(System!$C32), AR31,PlotData!$CB$4)</f>
        <v>2.7293278577016049</v>
      </c>
    </row>
    <row r="32" spans="1:57" x14ac:dyDescent="0.35">
      <c r="A32" s="609">
        <v>30</v>
      </c>
      <c r="B32" s="565">
        <v>-9.4026806408019814E-4</v>
      </c>
      <c r="C32" s="566">
        <v>-8.4602676568785919E-4</v>
      </c>
      <c r="D32" s="566">
        <v>-7.5178546729552057E-4</v>
      </c>
      <c r="E32" s="566">
        <v>-6.5754416890318216E-4</v>
      </c>
      <c r="F32" s="566">
        <v>-5.6330287051084365E-4</v>
      </c>
      <c r="G32" s="566">
        <v>-4.6906157211850502E-4</v>
      </c>
      <c r="H32" s="566">
        <v>-3.7482027372616656E-4</v>
      </c>
      <c r="I32" s="566">
        <v>-2.8057897533382794E-4</v>
      </c>
      <c r="J32" s="566">
        <v>-1.8633767694148964E-4</v>
      </c>
      <c r="K32" s="566">
        <v>-9.2096378549150787E-5</v>
      </c>
      <c r="L32" s="567">
        <v>2.1449198431876115E-6</v>
      </c>
      <c r="N32" s="609">
        <v>30</v>
      </c>
      <c r="O32" s="565">
        <v>9.8203201262027953E-5</v>
      </c>
      <c r="P32" s="566">
        <v>8.8360479226933582E-5</v>
      </c>
      <c r="Q32" s="566">
        <v>7.8517757191839252E-5</v>
      </c>
      <c r="R32" s="566">
        <v>6.8675035156744936E-5</v>
      </c>
      <c r="S32" s="566">
        <v>5.8832313121650606E-5</v>
      </c>
      <c r="T32" s="566">
        <v>4.8989591086556269E-5</v>
      </c>
      <c r="U32" s="566">
        <v>3.9146869051461946E-5</v>
      </c>
      <c r="V32" s="566">
        <v>2.9304147016367609E-5</v>
      </c>
      <c r="W32" s="566">
        <v>1.9461424981273302E-5</v>
      </c>
      <c r="X32" s="566">
        <v>9.6187029461789402E-6</v>
      </c>
      <c r="Y32" s="567">
        <v>-2.2401908891537611E-7</v>
      </c>
      <c r="AA32" s="580">
        <v>30</v>
      </c>
      <c r="AB32" s="565">
        <f>IF(ISNUMBER(System!$C33),PlotData!B33+Momente!$E$2* $AF$1*B32,PlotData!$CB$3)</f>
        <v>17.455973307583214</v>
      </c>
      <c r="AC32" s="566">
        <f>IF(ISNUMBER(System!$C33),PlotData!C33+ Momente!$E$2*$AF$1*C32,PlotData!$CB$3)</f>
        <v>17.405376083598263</v>
      </c>
      <c r="AD32" s="566">
        <f>IF(ISNUMBER(System!$C33),PlotData!D33+ Momente!$E$2*$AF$1*D32,PlotData!$CB$3)</f>
        <v>17.354778859613315</v>
      </c>
      <c r="AE32" s="566">
        <f>IF(ISNUMBER(System!$C33),PlotData!E33+Momente!$E$2* $AF$1*E32,PlotData!$CB$3)</f>
        <v>17.304181635628368</v>
      </c>
      <c r="AF32" s="566">
        <f>IF(ISNUMBER(System!$C33),PlotData!F33+Momente!$E$2* $AF$1*F32,PlotData!$CB$3)</f>
        <v>17.25358441164342</v>
      </c>
      <c r="AG32" s="566">
        <f>IF(ISNUMBER(System!$C33),PlotData!G33+ Momente!$E$2*$AF$1*G32,PlotData!$CB$3)</f>
        <v>17.202987187658472</v>
      </c>
      <c r="AH32" s="566">
        <f>IF(ISNUMBER(System!$C33),PlotData!H33+ Momente!$E$2*$AF$1*H32,PlotData!$CB$3)</f>
        <v>17.152389963673524</v>
      </c>
      <c r="AI32" s="566">
        <f>IF(ISNUMBER(System!$C33),PlotData!I33+ Momente!$E$2*$AF$1*I32,PlotData!$CB$3)</f>
        <v>17.101792739688577</v>
      </c>
      <c r="AJ32" s="566">
        <f>IF(ISNUMBER(System!$C33),PlotData!J33+ Momente!$E$2*$AF$1*J32,PlotData!$CB$3)</f>
        <v>17.051195515703629</v>
      </c>
      <c r="AK32" s="566">
        <f>IF(ISNUMBER(System!$C33),PlotData!K33+ Momente!$E$2*$AF$1*K32,PlotData!$CB$3)</f>
        <v>17.000598291718681</v>
      </c>
      <c r="AL32" s="567">
        <f>IF(ISNUMBER(System!$C33),PlotData!L33+Momente!$E$2* $AF$1*L32,PlotData!$CB$3)</f>
        <v>16.950001067733734</v>
      </c>
      <c r="AM32" s="565">
        <f>IF(ISNUMBER(System!$C33),PlotData!L33,PlotData!$CB$3)</f>
        <v>16.950001000000015</v>
      </c>
      <c r="AN32" s="566">
        <f>IF(ISNUMBER(System!$C33),PlotData!B33,PlotData!$CB$3)</f>
        <v>17.456002999999999</v>
      </c>
      <c r="AO32" s="447">
        <f>IF(ISNUMBER(System!$C33),AB32,PlotData!$CB$3)</f>
        <v>17.455973307583214</v>
      </c>
      <c r="AQ32" s="580">
        <v>30</v>
      </c>
      <c r="AR32" s="565">
        <f>IF(ISNUMBER(System!$C33),PlotData!O33+ Momente!$E$2*$AF$1*O32,PlotData!$CB$4)</f>
        <v>2.7448301011266816</v>
      </c>
      <c r="AS32" s="566">
        <f>IF(ISNUMBER(System!$C33),PlotData!P33+Momente!$E$2* $AF$1*P32,PlotData!$CB$4)</f>
        <v>2.260347090306591</v>
      </c>
      <c r="AT32" s="566">
        <f>IF(ISNUMBER(System!$C33),PlotData!Q33+ Momente!$E$2*$AF$1*Q32,PlotData!$CB$4)</f>
        <v>1.7758640794865002</v>
      </c>
      <c r="AU32" s="566">
        <f>IF(ISNUMBER(System!$C33),PlotData!R33+Momente!$E$2* $AF$1*R32,PlotData!$CB$4)</f>
        <v>1.2913810686664096</v>
      </c>
      <c r="AV32" s="566">
        <f>IF(ISNUMBER(System!$C33),PlotData!S33+ Momente!$E$2*$AF$1*S32,PlotData!$CB$4)</f>
        <v>0.80689805784631874</v>
      </c>
      <c r="AW32" s="566">
        <f>IF(ISNUMBER(System!$C33),PlotData!T33+ Momente!$E$2*$AF$1*T32,PlotData!$CB$4)</f>
        <v>0.32241504702622797</v>
      </c>
      <c r="AX32" s="566">
        <f>IF(ISNUMBER(System!$C33),PlotData!U33+ Momente!$E$2*$AF$1*U32,PlotData!$CB$4)</f>
        <v>-0.16206796379386282</v>
      </c>
      <c r="AY32" s="566">
        <f>IF(ISNUMBER(System!$C33),PlotData!V33+ Momente!$E$2*$AF$1*V32,PlotData!$CB$4)</f>
        <v>-0.64655097461395361</v>
      </c>
      <c r="AZ32" s="566">
        <f>IF(ISNUMBER(System!$C33),PlotData!W33+ Momente!$E$2*$AF$1*W32,PlotData!$CB$4)</f>
        <v>-1.1310339854340443</v>
      </c>
      <c r="BA32" s="566">
        <f>IF(ISNUMBER(System!$C33),PlotData!X33+ Momente!$E$2*$AF$1*X32,PlotData!$CB$4)</f>
        <v>-1.6155169962541351</v>
      </c>
      <c r="BB32" s="567">
        <f>IF(ISNUMBER(System!$C33),PlotData!Y33+ Momente!$E$2*$AF$1*Y32,PlotData!$CB$4)</f>
        <v>-2.1000000070742257</v>
      </c>
      <c r="BC32" s="607">
        <f>IF(ISNUMBER(System!$C33),PlotData!Y33, PlotData!CB$4)</f>
        <v>-2.1000000000000005</v>
      </c>
      <c r="BD32" s="566">
        <f>IF(ISNUMBER(System!$C33),PlotData!O33, PlotData!$CB$4)</f>
        <v>2.7448269999999999</v>
      </c>
      <c r="BE32" s="567">
        <f>IF(ISNUMBER(System!$C33), AR32,PlotData!$CB$4)</f>
        <v>2.7448301011266816</v>
      </c>
    </row>
    <row r="33" spans="1:57" x14ac:dyDescent="0.35">
      <c r="A33" s="609">
        <v>31</v>
      </c>
      <c r="B33" s="565">
        <v>1.219028923318578E-2</v>
      </c>
      <c r="C33" s="566">
        <v>9.6503204207401914E-3</v>
      </c>
      <c r="D33" s="566">
        <v>7.1103516082946065E-3</v>
      </c>
      <c r="E33" s="566">
        <v>4.5703827958490191E-3</v>
      </c>
      <c r="F33" s="566">
        <v>2.0304139834034342E-3</v>
      </c>
      <c r="G33" s="566">
        <v>-5.0955482904215107E-4</v>
      </c>
      <c r="H33" s="566">
        <v>-3.0495236414877364E-3</v>
      </c>
      <c r="I33" s="566">
        <v>-5.5894924539333212E-3</v>
      </c>
      <c r="J33" s="566">
        <v>-8.1294612663789078E-3</v>
      </c>
      <c r="K33" s="566">
        <v>-1.0669430078824491E-2</v>
      </c>
      <c r="L33" s="567">
        <v>-1.3209398891270076E-2</v>
      </c>
      <c r="N33" s="609">
        <v>31</v>
      </c>
      <c r="O33" s="565">
        <v>-5.5626584010386362E-3</v>
      </c>
      <c r="P33" s="566">
        <v>-4.4036228291456344E-3</v>
      </c>
      <c r="Q33" s="566">
        <v>-3.2445872572526343E-3</v>
      </c>
      <c r="R33" s="566">
        <v>-2.0855516853596334E-3</v>
      </c>
      <c r="S33" s="566">
        <v>-9.2651611346663339E-4</v>
      </c>
      <c r="T33" s="566">
        <v>2.3251945842636679E-4</v>
      </c>
      <c r="U33" s="566">
        <v>1.3915550303193671E-3</v>
      </c>
      <c r="V33" s="566">
        <v>2.5505906022123669E-3</v>
      </c>
      <c r="W33" s="566">
        <v>3.7096261741053674E-3</v>
      </c>
      <c r="X33" s="566">
        <v>4.8686617459983671E-3</v>
      </c>
      <c r="Y33" s="567">
        <v>6.0276973178913671E-3</v>
      </c>
      <c r="AA33" s="580">
        <v>31</v>
      </c>
      <c r="AB33" s="565">
        <f>IF(ISNUMBER(System!$C34),PlotData!B34+Momente!$E$2* $AF$1*B33,PlotData!$CB$3)</f>
        <v>16.436034953145263</v>
      </c>
      <c r="AC33" s="566">
        <f>IF(ISNUMBER(System!$C34),PlotData!C34+ Momente!$E$2*$AF$1*C33,PlotData!$CB$3)</f>
        <v>16.352471444303248</v>
      </c>
      <c r="AD33" s="566">
        <f>IF(ISNUMBER(System!$C34),PlotData!D34+ Momente!$E$2*$AF$1*D33,PlotData!$CB$3)</f>
        <v>16.268907935461229</v>
      </c>
      <c r="AE33" s="566">
        <f>IF(ISNUMBER(System!$C34),PlotData!E34+Momente!$E$2* $AF$1*E33,PlotData!$CB$3)</f>
        <v>16.185344426619213</v>
      </c>
      <c r="AF33" s="566">
        <f>IF(ISNUMBER(System!$C34),PlotData!F34+Momente!$E$2* $AF$1*F33,PlotData!$CB$3)</f>
        <v>16.101780917777198</v>
      </c>
      <c r="AG33" s="566">
        <f>IF(ISNUMBER(System!$C34),PlotData!G34+ Momente!$E$2*$AF$1*G33,PlotData!$CB$3)</f>
        <v>16.018217408935183</v>
      </c>
      <c r="AH33" s="566">
        <f>IF(ISNUMBER(System!$C34),PlotData!H34+ Momente!$E$2*$AF$1*H33,PlotData!$CB$3)</f>
        <v>15.934653900093167</v>
      </c>
      <c r="AI33" s="566">
        <f>IF(ISNUMBER(System!$C34),PlotData!I34+ Momente!$E$2*$AF$1*I33,PlotData!$CB$3)</f>
        <v>15.851090391251153</v>
      </c>
      <c r="AJ33" s="566">
        <f>IF(ISNUMBER(System!$C34),PlotData!J34+ Momente!$E$2*$AF$1*J33,PlotData!$CB$3)</f>
        <v>15.76752688240914</v>
      </c>
      <c r="AK33" s="566">
        <f>IF(ISNUMBER(System!$C34),PlotData!K34+ Momente!$E$2*$AF$1*K33,PlotData!$CB$3)</f>
        <v>15.683963373567124</v>
      </c>
      <c r="AL33" s="567">
        <f>IF(ISNUMBER(System!$C34),PlotData!L34+Momente!$E$2* $AF$1*L33,PlotData!$CB$3)</f>
        <v>15.600399864725111</v>
      </c>
      <c r="AM33" s="565">
        <f>IF(ISNUMBER(System!$C34),PlotData!L34,PlotData!$CB$3)</f>
        <v>15.600816999999997</v>
      </c>
      <c r="AN33" s="566">
        <f>IF(ISNUMBER(System!$C34),PlotData!B34,PlotData!$CB$3)</f>
        <v>16.435649999999999</v>
      </c>
      <c r="AO33" s="447">
        <f>IF(ISNUMBER(System!$C34),AB33,PlotData!$CB$3)</f>
        <v>16.436034953145263</v>
      </c>
      <c r="AQ33" s="580">
        <v>31</v>
      </c>
      <c r="AR33" s="565">
        <f>IF(ISNUMBER(System!$C34),PlotData!O34+ Momente!$E$2*$AF$1*O33,PlotData!$CB$4)</f>
        <v>2.729155338634913</v>
      </c>
      <c r="AS33" s="566">
        <f>IF(ISNUMBER(System!$C34),PlotData!P34+Momente!$E$2* $AF$1*P33,PlotData!$CB$4)</f>
        <v>2.546242439439073</v>
      </c>
      <c r="AT33" s="566">
        <f>IF(ISNUMBER(System!$C34),PlotData!Q34+ Momente!$E$2*$AF$1*Q33,PlotData!$CB$4)</f>
        <v>2.3633295402432326</v>
      </c>
      <c r="AU33" s="566">
        <f>IF(ISNUMBER(System!$C34),PlotData!R34+Momente!$E$2* $AF$1*R33,PlotData!$CB$4)</f>
        <v>2.1804166410473922</v>
      </c>
      <c r="AV33" s="566">
        <f>IF(ISNUMBER(System!$C34),PlotData!S34+ Momente!$E$2*$AF$1*S33,PlotData!$CB$4)</f>
        <v>1.9975037418515518</v>
      </c>
      <c r="AW33" s="566">
        <f>IF(ISNUMBER(System!$C34),PlotData!T34+ Momente!$E$2*$AF$1*T33,PlotData!$CB$4)</f>
        <v>1.8145908426557114</v>
      </c>
      <c r="AX33" s="566">
        <f>IF(ISNUMBER(System!$C34),PlotData!U34+ Momente!$E$2*$AF$1*U33,PlotData!$CB$4)</f>
        <v>1.6316779434598707</v>
      </c>
      <c r="AY33" s="566">
        <f>IF(ISNUMBER(System!$C34),PlotData!V34+ Momente!$E$2*$AF$1*V33,PlotData!$CB$4)</f>
        <v>1.4487650442640303</v>
      </c>
      <c r="AZ33" s="566">
        <f>IF(ISNUMBER(System!$C34),PlotData!W34+ Momente!$E$2*$AF$1*W33,PlotData!$CB$4)</f>
        <v>1.2658521450681897</v>
      </c>
      <c r="BA33" s="566">
        <f>IF(ISNUMBER(System!$C34),PlotData!X34+ Momente!$E$2*$AF$1*X33,PlotData!$CB$4)</f>
        <v>1.0829392458723492</v>
      </c>
      <c r="BB33" s="567">
        <f>IF(ISNUMBER(System!$C34),PlotData!Y34+ Momente!$E$2*$AF$1*Y33,PlotData!$CB$4)</f>
        <v>0.90002634667650872</v>
      </c>
      <c r="BC33" s="607">
        <f>IF(ISNUMBER(System!$C34),PlotData!Y34, PlotData!CB$4)</f>
        <v>0.89983599999999986</v>
      </c>
      <c r="BD33" s="566">
        <f>IF(ISNUMBER(System!$C34),PlotData!O34, PlotData!$CB$4)</f>
        <v>2.7293310000000002</v>
      </c>
      <c r="BE33" s="567">
        <f>IF(ISNUMBER(System!$C34), AR33,PlotData!$CB$4)</f>
        <v>2.729155338634913</v>
      </c>
    </row>
    <row r="34" spans="1:57" x14ac:dyDescent="0.35">
      <c r="A34" s="609">
        <v>32</v>
      </c>
      <c r="B34" s="565">
        <v>1.1824527203227186E-2</v>
      </c>
      <c r="C34" s="566">
        <v>9.3586257169007113E-3</v>
      </c>
      <c r="D34" s="566">
        <v>6.8927242305742396E-3</v>
      </c>
      <c r="E34" s="566">
        <v>4.426822744247768E-3</v>
      </c>
      <c r="F34" s="566">
        <v>1.960921257921295E-3</v>
      </c>
      <c r="G34" s="566">
        <v>-5.0498022840517729E-4</v>
      </c>
      <c r="H34" s="566">
        <v>-2.97088171473165E-3</v>
      </c>
      <c r="I34" s="566">
        <v>-5.4367832010581221E-3</v>
      </c>
      <c r="J34" s="566">
        <v>-7.9026846873845921E-3</v>
      </c>
      <c r="K34" s="566">
        <v>-1.0368586173711067E-2</v>
      </c>
      <c r="L34" s="567">
        <v>-1.2834487660037537E-2</v>
      </c>
      <c r="N34" s="609">
        <v>32</v>
      </c>
      <c r="O34" s="565">
        <v>5.5486015377720355E-3</v>
      </c>
      <c r="P34" s="566">
        <v>4.3914893299121542E-3</v>
      </c>
      <c r="Q34" s="566">
        <v>3.2343771220522759E-3</v>
      </c>
      <c r="R34" s="566">
        <v>2.0772649141923968E-3</v>
      </c>
      <c r="S34" s="566">
        <v>9.2015270633251768E-4</v>
      </c>
      <c r="T34" s="566">
        <v>-2.3695950152736152E-4</v>
      </c>
      <c r="U34" s="566">
        <v>-1.3940717093872408E-3</v>
      </c>
      <c r="V34" s="566">
        <v>-2.5511839172471197E-3</v>
      </c>
      <c r="W34" s="566">
        <v>-3.7082961251069979E-3</v>
      </c>
      <c r="X34" s="566">
        <v>-4.8654083329668779E-3</v>
      </c>
      <c r="Y34" s="567">
        <v>-6.0225205408267557E-3</v>
      </c>
      <c r="AA34" s="580">
        <v>32</v>
      </c>
      <c r="AB34" s="565">
        <f>IF(ISNUMBER(System!$C35),PlotData!B35+Momente!$E$2* $AF$1*B34,PlotData!$CB$3)</f>
        <v>17.456376402866088</v>
      </c>
      <c r="AC34" s="566">
        <f>IF(ISNUMBER(System!$C35),PlotData!C35+ Momente!$E$2*$AF$1*C34,PlotData!$CB$3)</f>
        <v>17.542873832971871</v>
      </c>
      <c r="AD34" s="566">
        <f>IF(ISNUMBER(System!$C35),PlotData!D35+ Momente!$E$2*$AF$1*D34,PlotData!$CB$3)</f>
        <v>17.629371263077655</v>
      </c>
      <c r="AE34" s="566">
        <f>IF(ISNUMBER(System!$C35),PlotData!E35+Momente!$E$2* $AF$1*E34,PlotData!$CB$3)</f>
        <v>17.715868693183435</v>
      </c>
      <c r="AF34" s="566">
        <f>IF(ISNUMBER(System!$C35),PlotData!F35+Momente!$E$2* $AF$1*F34,PlotData!$CB$3)</f>
        <v>17.802366123289218</v>
      </c>
      <c r="AG34" s="566">
        <f>IF(ISNUMBER(System!$C35),PlotData!G35+ Momente!$E$2*$AF$1*G34,PlotData!$CB$3)</f>
        <v>17.888863553394998</v>
      </c>
      <c r="AH34" s="566">
        <f>IF(ISNUMBER(System!$C35),PlotData!H35+ Momente!$E$2*$AF$1*H34,PlotData!$CB$3)</f>
        <v>17.975360983500781</v>
      </c>
      <c r="AI34" s="566">
        <f>IF(ISNUMBER(System!$C35),PlotData!I35+ Momente!$E$2*$AF$1*I34,PlotData!$CB$3)</f>
        <v>18.061858413606565</v>
      </c>
      <c r="AJ34" s="566">
        <f>IF(ISNUMBER(System!$C35),PlotData!J35+ Momente!$E$2*$AF$1*J34,PlotData!$CB$3)</f>
        <v>18.148355843712345</v>
      </c>
      <c r="AK34" s="566">
        <f>IF(ISNUMBER(System!$C35),PlotData!K35+ Momente!$E$2*$AF$1*K34,PlotData!$CB$3)</f>
        <v>18.234853273818128</v>
      </c>
      <c r="AL34" s="567">
        <f>IF(ISNUMBER(System!$C35),PlotData!L35+Momente!$E$2* $AF$1*L34,PlotData!$CB$3)</f>
        <v>18.321350703923908</v>
      </c>
      <c r="AM34" s="565">
        <f>IF(ISNUMBER(System!$C35),PlotData!L35,PlotData!$CB$3)</f>
        <v>18.321755999999997</v>
      </c>
      <c r="AN34" s="566">
        <f>IF(ISNUMBER(System!$C35),PlotData!B35,PlotData!$CB$3)</f>
        <v>17.456002999999999</v>
      </c>
      <c r="AO34" s="447">
        <f>IF(ISNUMBER(System!$C35),AB34,PlotData!$CB$3)</f>
        <v>17.456376402866088</v>
      </c>
      <c r="AQ34" s="580">
        <v>32</v>
      </c>
      <c r="AR34" s="565">
        <f>IF(ISNUMBER(System!$C35),PlotData!O35+ Momente!$E$2*$AF$1*O34,PlotData!$CB$4)</f>
        <v>2.7450022174680124</v>
      </c>
      <c r="AS34" s="566">
        <f>IF(ISNUMBER(System!$C35),PlotData!P35+Momente!$E$2* $AF$1*P34,PlotData!$CB$4)</f>
        <v>2.5604665774011348</v>
      </c>
      <c r="AT34" s="566">
        <f>IF(ISNUMBER(System!$C35),PlotData!Q35+ Momente!$E$2*$AF$1*Q34,PlotData!$CB$4)</f>
        <v>2.3759309373342572</v>
      </c>
      <c r="AU34" s="566">
        <f>IF(ISNUMBER(System!$C35),PlotData!R35+Momente!$E$2* $AF$1*R34,PlotData!$CB$4)</f>
        <v>2.1913952972673796</v>
      </c>
      <c r="AV34" s="566">
        <f>IF(ISNUMBER(System!$C35),PlotData!S35+ Momente!$E$2*$AF$1*S34,PlotData!$CB$4)</f>
        <v>2.006859657200502</v>
      </c>
      <c r="AW34" s="566">
        <f>IF(ISNUMBER(System!$C35),PlotData!T35+ Momente!$E$2*$AF$1*T34,PlotData!$CB$4)</f>
        <v>1.8223240171336241</v>
      </c>
      <c r="AX34" s="566">
        <f>IF(ISNUMBER(System!$C35),PlotData!U35+ Momente!$E$2*$AF$1*U34,PlotData!$CB$4)</f>
        <v>1.6377883770667463</v>
      </c>
      <c r="AY34" s="566">
        <f>IF(ISNUMBER(System!$C35),PlotData!V35+ Momente!$E$2*$AF$1*V34,PlotData!$CB$4)</f>
        <v>1.4532527369998687</v>
      </c>
      <c r="AZ34" s="566">
        <f>IF(ISNUMBER(System!$C35),PlotData!W35+ Momente!$E$2*$AF$1*W34,PlotData!$CB$4)</f>
        <v>1.2687170969329911</v>
      </c>
      <c r="BA34" s="566">
        <f>IF(ISNUMBER(System!$C35),PlotData!X35+ Momente!$E$2*$AF$1*X34,PlotData!$CB$4)</f>
        <v>1.0841814568661134</v>
      </c>
      <c r="BB34" s="567">
        <f>IF(ISNUMBER(System!$C35),PlotData!Y35+ Momente!$E$2*$AF$1*Y34,PlotData!$CB$4)</f>
        <v>0.89964581679923572</v>
      </c>
      <c r="BC34" s="607">
        <f>IF(ISNUMBER(System!$C35),PlotData!Y35, PlotData!CB$4)</f>
        <v>0.89983599999999964</v>
      </c>
      <c r="BD34" s="566">
        <f>IF(ISNUMBER(System!$C35),PlotData!O35, PlotData!$CB$4)</f>
        <v>2.7448269999999999</v>
      </c>
      <c r="BE34" s="567">
        <f>IF(ISNUMBER(System!$C35), AR34,PlotData!$CB$4)</f>
        <v>2.7450022174680124</v>
      </c>
    </row>
    <row r="35" spans="1:57" x14ac:dyDescent="0.35">
      <c r="A35" s="609">
        <v>33</v>
      </c>
      <c r="B35" s="565">
        <v>1.3627283935899678E-4</v>
      </c>
      <c r="C35" s="566">
        <v>1.0898705376968073E-4</v>
      </c>
      <c r="D35" s="566">
        <v>8.1701268180364657E-5</v>
      </c>
      <c r="E35" s="566">
        <v>5.4415482591048591E-5</v>
      </c>
      <c r="F35" s="566">
        <v>2.7129697001732535E-5</v>
      </c>
      <c r="G35" s="566">
        <v>-1.5608858758351674E-7</v>
      </c>
      <c r="H35" s="566">
        <v>-2.7441874176899569E-5</v>
      </c>
      <c r="I35" s="566">
        <v>-5.4727659766215618E-5</v>
      </c>
      <c r="J35" s="566">
        <v>-8.2013445355531684E-5</v>
      </c>
      <c r="K35" s="566">
        <v>-1.0929923094484774E-4</v>
      </c>
      <c r="L35" s="567">
        <v>-1.3658501653416376E-4</v>
      </c>
      <c r="N35" s="609">
        <v>33</v>
      </c>
      <c r="O35" s="565">
        <v>-8.9730511395503913E-3</v>
      </c>
      <c r="P35" s="566">
        <v>-7.1763853429954163E-3</v>
      </c>
      <c r="Q35" s="566">
        <v>-5.3797195464404405E-3</v>
      </c>
      <c r="R35" s="566">
        <v>-3.5830537498854655E-3</v>
      </c>
      <c r="S35" s="566">
        <v>-1.7863879533304902E-3</v>
      </c>
      <c r="T35" s="566">
        <v>1.0277843224484178E-5</v>
      </c>
      <c r="U35" s="566">
        <v>1.8069436397794587E-3</v>
      </c>
      <c r="V35" s="566">
        <v>3.6036094363344332E-3</v>
      </c>
      <c r="W35" s="566">
        <v>5.4002752328894087E-3</v>
      </c>
      <c r="X35" s="566">
        <v>7.1969410294443828E-3</v>
      </c>
      <c r="Y35" s="567">
        <v>8.9936068259993569E-3</v>
      </c>
      <c r="AA35" s="580">
        <v>33</v>
      </c>
      <c r="AB35" s="565">
        <f>IF(ISNUMBER(System!$C36),PlotData!B36+Momente!$E$2* $AF$1*B35,PlotData!$CB$3)</f>
        <v>16.435654303315296</v>
      </c>
      <c r="AC35" s="566">
        <f>IF(ISNUMBER(System!$C36),PlotData!C36+ Momente!$E$2*$AF$1*C35,PlotData!$CB$3)</f>
        <v>16.537688741666422</v>
      </c>
      <c r="AD35" s="566">
        <f>IF(ISNUMBER(System!$C36),PlotData!D36+ Momente!$E$2*$AF$1*D35,PlotData!$CB$3)</f>
        <v>16.639723180017551</v>
      </c>
      <c r="AE35" s="566">
        <f>IF(ISNUMBER(System!$C36),PlotData!E36+Momente!$E$2* $AF$1*E35,PlotData!$CB$3)</f>
        <v>16.741757618368677</v>
      </c>
      <c r="AF35" s="566">
        <f>IF(ISNUMBER(System!$C36),PlotData!F36+Momente!$E$2* $AF$1*F35,PlotData!$CB$3)</f>
        <v>16.843792056719806</v>
      </c>
      <c r="AG35" s="566">
        <f>IF(ISNUMBER(System!$C36),PlotData!G36+ Momente!$E$2*$AF$1*G35,PlotData!$CB$3)</f>
        <v>16.945826495070932</v>
      </c>
      <c r="AH35" s="566">
        <f>IF(ISNUMBER(System!$C36),PlotData!H36+ Momente!$E$2*$AF$1*H35,PlotData!$CB$3)</f>
        <v>17.047860933422058</v>
      </c>
      <c r="AI35" s="566">
        <f>IF(ISNUMBER(System!$C36),PlotData!I36+ Momente!$E$2*$AF$1*I35,PlotData!$CB$3)</f>
        <v>17.149895371773187</v>
      </c>
      <c r="AJ35" s="566">
        <f>IF(ISNUMBER(System!$C36),PlotData!J36+ Momente!$E$2*$AF$1*J35,PlotData!$CB$3)</f>
        <v>17.251929810124313</v>
      </c>
      <c r="AK35" s="566">
        <f>IF(ISNUMBER(System!$C36),PlotData!K36+ Momente!$E$2*$AF$1*K35,PlotData!$CB$3)</f>
        <v>17.353964248475442</v>
      </c>
      <c r="AL35" s="567">
        <f>IF(ISNUMBER(System!$C36),PlotData!L36+Momente!$E$2* $AF$1*L35,PlotData!$CB$3)</f>
        <v>17.455998686826568</v>
      </c>
      <c r="AM35" s="565">
        <f>IF(ISNUMBER(System!$C36),PlotData!L36,PlotData!$CB$3)</f>
        <v>17.456003000000006</v>
      </c>
      <c r="AN35" s="566">
        <f>IF(ISNUMBER(System!$C36),PlotData!B36,PlotData!$CB$3)</f>
        <v>16.435649999999999</v>
      </c>
      <c r="AO35" s="447">
        <f>IF(ISNUMBER(System!$C36),AB35,PlotData!$CB$3)</f>
        <v>16.435654303315296</v>
      </c>
      <c r="AQ35" s="580">
        <v>33</v>
      </c>
      <c r="AR35" s="565">
        <f>IF(ISNUMBER(System!$C36),PlotData!O36+ Momente!$E$2*$AF$1*O35,PlotData!$CB$4)</f>
        <v>2.7290476429612371</v>
      </c>
      <c r="AS35" s="566">
        <f>IF(ISNUMBER(System!$C36),PlotData!P36+Momente!$E$2* $AF$1*P35,PlotData!$CB$4)</f>
        <v>2.7306539792811177</v>
      </c>
      <c r="AT35" s="566">
        <f>IF(ISNUMBER(System!$C36),PlotData!Q36+ Momente!$E$2*$AF$1*Q35,PlotData!$CB$4)</f>
        <v>2.7322603156009988</v>
      </c>
      <c r="AU35" s="566">
        <f>IF(ISNUMBER(System!$C36),PlotData!R36+Momente!$E$2* $AF$1*R35,PlotData!$CB$4)</f>
        <v>2.7338666519208794</v>
      </c>
      <c r="AV35" s="566">
        <f>IF(ISNUMBER(System!$C36),PlotData!S36+ Momente!$E$2*$AF$1*S35,PlotData!$CB$4)</f>
        <v>2.73547298824076</v>
      </c>
      <c r="AW35" s="566">
        <f>IF(ISNUMBER(System!$C36),PlotData!T36+ Momente!$E$2*$AF$1*T35,PlotData!$CB$4)</f>
        <v>2.7370793245606411</v>
      </c>
      <c r="AX35" s="566">
        <f>IF(ISNUMBER(System!$C36),PlotData!U36+ Momente!$E$2*$AF$1*U35,PlotData!$CB$4)</f>
        <v>2.7386856608805217</v>
      </c>
      <c r="AY35" s="566">
        <f>IF(ISNUMBER(System!$C36),PlotData!V36+ Momente!$E$2*$AF$1*V35,PlotData!$CB$4)</f>
        <v>2.7402919972004023</v>
      </c>
      <c r="AZ35" s="566">
        <f>IF(ISNUMBER(System!$C36),PlotData!W36+ Momente!$E$2*$AF$1*W35,PlotData!$CB$4)</f>
        <v>2.7418983335202833</v>
      </c>
      <c r="BA35" s="566">
        <f>IF(ISNUMBER(System!$C36),PlotData!X36+ Momente!$E$2*$AF$1*X35,PlotData!$CB$4)</f>
        <v>2.7435046698401639</v>
      </c>
      <c r="BB35" s="567">
        <f>IF(ISNUMBER(System!$C36),PlotData!Y36+ Momente!$E$2*$AF$1*Y35,PlotData!$CB$4)</f>
        <v>2.745111006160045</v>
      </c>
      <c r="BC35" s="607">
        <f>IF(ISNUMBER(System!$C36),PlotData!Y36, PlotData!CB$4)</f>
        <v>2.7448270000000017</v>
      </c>
      <c r="BD35" s="566">
        <f>IF(ISNUMBER(System!$C36),PlotData!O36, PlotData!$CB$4)</f>
        <v>2.7293310000000002</v>
      </c>
      <c r="BE35" s="567">
        <f>IF(ISNUMBER(System!$C36), AR35,PlotData!$CB$4)</f>
        <v>2.7290476429612371</v>
      </c>
    </row>
    <row r="36" spans="1:57" x14ac:dyDescent="0.35">
      <c r="A36" s="609">
        <v>34</v>
      </c>
      <c r="B36" s="565"/>
      <c r="C36" s="566"/>
      <c r="D36" s="566"/>
      <c r="E36" s="566"/>
      <c r="F36" s="566"/>
      <c r="G36" s="566"/>
      <c r="H36" s="566"/>
      <c r="I36" s="566"/>
      <c r="J36" s="566"/>
      <c r="K36" s="566"/>
      <c r="L36" s="567"/>
      <c r="N36" s="609">
        <v>34</v>
      </c>
      <c r="O36" s="565"/>
      <c r="P36" s="566"/>
      <c r="Q36" s="566"/>
      <c r="R36" s="566"/>
      <c r="S36" s="566"/>
      <c r="T36" s="566"/>
      <c r="U36" s="566"/>
      <c r="V36" s="566"/>
      <c r="W36" s="566"/>
      <c r="X36" s="566"/>
      <c r="Y36" s="567"/>
      <c r="AA36" s="580">
        <v>34</v>
      </c>
      <c r="AB36" s="565">
        <f>IF(ISNUMBER(System!$C37),PlotData!B37+Momente!$E$2* $AF$1*B36,PlotData!$CB$3)</f>
        <v>7.6500000953674316</v>
      </c>
      <c r="AC36" s="566">
        <f>IF(ISNUMBER(System!$C37),PlotData!C37+ Momente!$E$2*$AF$1*C36,PlotData!$CB$3)</f>
        <v>7.6500000953674316</v>
      </c>
      <c r="AD36" s="566">
        <f>IF(ISNUMBER(System!$C37),PlotData!D37+ Momente!$E$2*$AF$1*D36,PlotData!$CB$3)</f>
        <v>7.6500000953674316</v>
      </c>
      <c r="AE36" s="566">
        <f>IF(ISNUMBER(System!$C37),PlotData!E37+Momente!$E$2* $AF$1*E36,PlotData!$CB$3)</f>
        <v>7.6500000953674316</v>
      </c>
      <c r="AF36" s="566">
        <f>IF(ISNUMBER(System!$C37),PlotData!F37+Momente!$E$2* $AF$1*F36,PlotData!$CB$3)</f>
        <v>7.6500000953674316</v>
      </c>
      <c r="AG36" s="566">
        <f>IF(ISNUMBER(System!$C37),PlotData!G37+ Momente!$E$2*$AF$1*G36,PlotData!$CB$3)</f>
        <v>7.6500000953674316</v>
      </c>
      <c r="AH36" s="566">
        <f>IF(ISNUMBER(System!$C37),PlotData!H37+ Momente!$E$2*$AF$1*H36,PlotData!$CB$3)</f>
        <v>7.6500000953674316</v>
      </c>
      <c r="AI36" s="566">
        <f>IF(ISNUMBER(System!$C37),PlotData!I37+ Momente!$E$2*$AF$1*I36,PlotData!$CB$3)</f>
        <v>7.6500000953674316</v>
      </c>
      <c r="AJ36" s="566">
        <f>IF(ISNUMBER(System!$C37),PlotData!J37+ Momente!$E$2*$AF$1*J36,PlotData!$CB$3)</f>
        <v>7.6500000953674316</v>
      </c>
      <c r="AK36" s="566">
        <f>IF(ISNUMBER(System!$C37),PlotData!K37+ Momente!$E$2*$AF$1*K36,PlotData!$CB$3)</f>
        <v>7.6500000953674316</v>
      </c>
      <c r="AL36" s="567">
        <f>IF(ISNUMBER(System!$C37),PlotData!L37+Momente!$E$2* $AF$1*L36,PlotData!$CB$3)</f>
        <v>7.6500000953674316</v>
      </c>
      <c r="AM36" s="565">
        <f>IF(ISNUMBER(System!$C37),PlotData!L37,PlotData!$CB$3)</f>
        <v>7.6500000953674316</v>
      </c>
      <c r="AN36" s="566">
        <f>IF(ISNUMBER(System!$C37),PlotData!B37,PlotData!$CB$3)</f>
        <v>7.6500000953674316</v>
      </c>
      <c r="AO36" s="447">
        <f>IF(ISNUMBER(System!$C37),AB36,PlotData!$CB$3)</f>
        <v>7.6500000953674316</v>
      </c>
      <c r="AQ36" s="580">
        <v>34</v>
      </c>
      <c r="AR36" s="565">
        <f>IF(ISNUMBER(System!$C37),PlotData!O37+ Momente!$E$2*$AF$1*O36,PlotData!$CB$4)</f>
        <v>0.75</v>
      </c>
      <c r="AS36" s="566">
        <f>IF(ISNUMBER(System!$C37),PlotData!P37+Momente!$E$2* $AF$1*P36,PlotData!$CB$4)</f>
        <v>0.75</v>
      </c>
      <c r="AT36" s="566">
        <f>IF(ISNUMBER(System!$C37),PlotData!Q37+ Momente!$E$2*$AF$1*Q36,PlotData!$CB$4)</f>
        <v>0.75</v>
      </c>
      <c r="AU36" s="566">
        <f>IF(ISNUMBER(System!$C37),PlotData!R37+Momente!$E$2* $AF$1*R36,PlotData!$CB$4)</f>
        <v>0.75</v>
      </c>
      <c r="AV36" s="566">
        <f>IF(ISNUMBER(System!$C37),PlotData!S37+ Momente!$E$2*$AF$1*S36,PlotData!$CB$4)</f>
        <v>0.75</v>
      </c>
      <c r="AW36" s="566">
        <f>IF(ISNUMBER(System!$C37),PlotData!T37+ Momente!$E$2*$AF$1*T36,PlotData!$CB$4)</f>
        <v>0.75</v>
      </c>
      <c r="AX36" s="566">
        <f>IF(ISNUMBER(System!$C37),PlotData!U37+ Momente!$E$2*$AF$1*U36,PlotData!$CB$4)</f>
        <v>0.75</v>
      </c>
      <c r="AY36" s="566">
        <f>IF(ISNUMBER(System!$C37),PlotData!V37+ Momente!$E$2*$AF$1*V36,PlotData!$CB$4)</f>
        <v>0.75</v>
      </c>
      <c r="AZ36" s="566">
        <f>IF(ISNUMBER(System!$C37),PlotData!W37+ Momente!$E$2*$AF$1*W36,PlotData!$CB$4)</f>
        <v>0.75</v>
      </c>
      <c r="BA36" s="566">
        <f>IF(ISNUMBER(System!$C37),PlotData!X37+ Momente!$E$2*$AF$1*X36,PlotData!$CB$4)</f>
        <v>0.75</v>
      </c>
      <c r="BB36" s="567">
        <f>IF(ISNUMBER(System!$C37),PlotData!Y37+ Momente!$E$2*$AF$1*Y36,PlotData!$CB$4)</f>
        <v>0.75</v>
      </c>
      <c r="BC36" s="607">
        <f>IF(ISNUMBER(System!$C37),PlotData!Y37, PlotData!CB$4)</f>
        <v>0.75</v>
      </c>
      <c r="BD36" s="566">
        <f>IF(ISNUMBER(System!$C37),PlotData!O37, PlotData!$CB$4)</f>
        <v>0.75</v>
      </c>
      <c r="BE36" s="567">
        <f>IF(ISNUMBER(System!$C37), AR36,PlotData!$CB$4)</f>
        <v>0.75</v>
      </c>
    </row>
    <row r="37" spans="1:57" x14ac:dyDescent="0.35">
      <c r="A37" s="609">
        <v>35</v>
      </c>
      <c r="B37" s="565"/>
      <c r="C37" s="566"/>
      <c r="D37" s="566"/>
      <c r="E37" s="566"/>
      <c r="F37" s="566"/>
      <c r="G37" s="566"/>
      <c r="H37" s="566"/>
      <c r="I37" s="566"/>
      <c r="J37" s="566"/>
      <c r="K37" s="566"/>
      <c r="L37" s="567"/>
      <c r="N37" s="609">
        <v>35</v>
      </c>
      <c r="O37" s="565"/>
      <c r="P37" s="566"/>
      <c r="Q37" s="566"/>
      <c r="R37" s="566"/>
      <c r="S37" s="566"/>
      <c r="T37" s="566"/>
      <c r="U37" s="566"/>
      <c r="V37" s="566"/>
      <c r="W37" s="566"/>
      <c r="X37" s="566"/>
      <c r="Y37" s="567"/>
      <c r="AA37" s="580">
        <v>35</v>
      </c>
      <c r="AB37" s="565">
        <f>IF(ISNUMBER(System!$C38),PlotData!B38+Momente!$E$2* $AF$1*B37,PlotData!$CB$3)</f>
        <v>7.6500000953674316</v>
      </c>
      <c r="AC37" s="566">
        <f>IF(ISNUMBER(System!$C38),PlotData!C38+ Momente!$E$2*$AF$1*C37,PlotData!$CB$3)</f>
        <v>7.6500000953674316</v>
      </c>
      <c r="AD37" s="566">
        <f>IF(ISNUMBER(System!$C38),PlotData!D38+ Momente!$E$2*$AF$1*D37,PlotData!$CB$3)</f>
        <v>7.6500000953674316</v>
      </c>
      <c r="AE37" s="566">
        <f>IF(ISNUMBER(System!$C38),PlotData!E38+Momente!$E$2* $AF$1*E37,PlotData!$CB$3)</f>
        <v>7.6500000953674316</v>
      </c>
      <c r="AF37" s="566">
        <f>IF(ISNUMBER(System!$C38),PlotData!F38+Momente!$E$2* $AF$1*F37,PlotData!$CB$3)</f>
        <v>7.6500000953674316</v>
      </c>
      <c r="AG37" s="566">
        <f>IF(ISNUMBER(System!$C38),PlotData!G38+ Momente!$E$2*$AF$1*G37,PlotData!$CB$3)</f>
        <v>7.6500000953674316</v>
      </c>
      <c r="AH37" s="566">
        <f>IF(ISNUMBER(System!$C38),PlotData!H38+ Momente!$E$2*$AF$1*H37,PlotData!$CB$3)</f>
        <v>7.6500000953674316</v>
      </c>
      <c r="AI37" s="566">
        <f>IF(ISNUMBER(System!$C38),PlotData!I38+ Momente!$E$2*$AF$1*I37,PlotData!$CB$3)</f>
        <v>7.6500000953674316</v>
      </c>
      <c r="AJ37" s="566">
        <f>IF(ISNUMBER(System!$C38),PlotData!J38+ Momente!$E$2*$AF$1*J37,PlotData!$CB$3)</f>
        <v>7.6500000953674316</v>
      </c>
      <c r="AK37" s="566">
        <f>IF(ISNUMBER(System!$C38),PlotData!K38+ Momente!$E$2*$AF$1*K37,PlotData!$CB$3)</f>
        <v>7.6500000953674316</v>
      </c>
      <c r="AL37" s="567">
        <f>IF(ISNUMBER(System!$C38),PlotData!L38+Momente!$E$2* $AF$1*L37,PlotData!$CB$3)</f>
        <v>7.6500000953674316</v>
      </c>
      <c r="AM37" s="565">
        <f>IF(ISNUMBER(System!$C38),PlotData!L38,PlotData!$CB$3)</f>
        <v>7.6500000953674316</v>
      </c>
      <c r="AN37" s="566">
        <f>IF(ISNUMBER(System!$C38),PlotData!B38,PlotData!$CB$3)</f>
        <v>7.6500000953674316</v>
      </c>
      <c r="AO37" s="447">
        <f>IF(ISNUMBER(System!$C38),AB37,PlotData!$CB$3)</f>
        <v>7.6500000953674316</v>
      </c>
      <c r="AQ37" s="580">
        <v>35</v>
      </c>
      <c r="AR37" s="565">
        <f>IF(ISNUMBER(System!$C38),PlotData!O38+ Momente!$E$2*$AF$1*O37,PlotData!$CB$4)</f>
        <v>0.75</v>
      </c>
      <c r="AS37" s="566">
        <f>IF(ISNUMBER(System!$C38),PlotData!P38+Momente!$E$2* $AF$1*P37,PlotData!$CB$4)</f>
        <v>0.75</v>
      </c>
      <c r="AT37" s="566">
        <f>IF(ISNUMBER(System!$C38),PlotData!Q38+ Momente!$E$2*$AF$1*Q37,PlotData!$CB$4)</f>
        <v>0.75</v>
      </c>
      <c r="AU37" s="566">
        <f>IF(ISNUMBER(System!$C38),PlotData!R38+Momente!$E$2* $AF$1*R37,PlotData!$CB$4)</f>
        <v>0.75</v>
      </c>
      <c r="AV37" s="566">
        <f>IF(ISNUMBER(System!$C38),PlotData!S38+ Momente!$E$2*$AF$1*S37,PlotData!$CB$4)</f>
        <v>0.75</v>
      </c>
      <c r="AW37" s="566">
        <f>IF(ISNUMBER(System!$C38),PlotData!T38+ Momente!$E$2*$AF$1*T37,PlotData!$CB$4)</f>
        <v>0.75</v>
      </c>
      <c r="AX37" s="566">
        <f>IF(ISNUMBER(System!$C38),PlotData!U38+ Momente!$E$2*$AF$1*U37,PlotData!$CB$4)</f>
        <v>0.75</v>
      </c>
      <c r="AY37" s="566">
        <f>IF(ISNUMBER(System!$C38),PlotData!V38+ Momente!$E$2*$AF$1*V37,PlotData!$CB$4)</f>
        <v>0.75</v>
      </c>
      <c r="AZ37" s="566">
        <f>IF(ISNUMBER(System!$C38),PlotData!W38+ Momente!$E$2*$AF$1*W37,PlotData!$CB$4)</f>
        <v>0.75</v>
      </c>
      <c r="BA37" s="566">
        <f>IF(ISNUMBER(System!$C38),PlotData!X38+ Momente!$E$2*$AF$1*X37,PlotData!$CB$4)</f>
        <v>0.75</v>
      </c>
      <c r="BB37" s="567">
        <f>IF(ISNUMBER(System!$C38),PlotData!Y38+ Momente!$E$2*$AF$1*Y37,PlotData!$CB$4)</f>
        <v>0.75</v>
      </c>
      <c r="BC37" s="607">
        <f>IF(ISNUMBER(System!$C38),PlotData!Y38, PlotData!CB$4)</f>
        <v>0.75</v>
      </c>
      <c r="BD37" s="566">
        <f>IF(ISNUMBER(System!$C38),PlotData!O38, PlotData!$CB$4)</f>
        <v>0.75</v>
      </c>
      <c r="BE37" s="567">
        <f>IF(ISNUMBER(System!$C38), AR37,PlotData!$CB$4)</f>
        <v>0.75</v>
      </c>
    </row>
    <row r="38" spans="1:57" x14ac:dyDescent="0.35">
      <c r="A38" s="609">
        <v>36</v>
      </c>
      <c r="B38" s="565"/>
      <c r="C38" s="566"/>
      <c r="D38" s="566"/>
      <c r="E38" s="566"/>
      <c r="F38" s="566"/>
      <c r="G38" s="566"/>
      <c r="H38" s="566"/>
      <c r="I38" s="566"/>
      <c r="J38" s="566"/>
      <c r="K38" s="566"/>
      <c r="L38" s="567"/>
      <c r="N38" s="609">
        <v>36</v>
      </c>
      <c r="O38" s="565"/>
      <c r="P38" s="566"/>
      <c r="Q38" s="566"/>
      <c r="R38" s="566"/>
      <c r="S38" s="566"/>
      <c r="T38" s="566"/>
      <c r="U38" s="566"/>
      <c r="V38" s="566"/>
      <c r="W38" s="566"/>
      <c r="X38" s="566"/>
      <c r="Y38" s="567"/>
      <c r="AA38" s="580">
        <v>36</v>
      </c>
      <c r="AB38" s="565">
        <f>IF(ISNUMBER(System!$C39),PlotData!B39+Momente!$E$2* $AF$1*B38,PlotData!$CB$3)</f>
        <v>7.6500000953674316</v>
      </c>
      <c r="AC38" s="566">
        <f>IF(ISNUMBER(System!$C39),PlotData!C39+ Momente!$E$2*$AF$1*C38,PlotData!$CB$3)</f>
        <v>7.6500000953674316</v>
      </c>
      <c r="AD38" s="566">
        <f>IF(ISNUMBER(System!$C39),PlotData!D39+ Momente!$E$2*$AF$1*D38,PlotData!$CB$3)</f>
        <v>7.6500000953674316</v>
      </c>
      <c r="AE38" s="566">
        <f>IF(ISNUMBER(System!$C39),PlotData!E39+Momente!$E$2* $AF$1*E38,PlotData!$CB$3)</f>
        <v>7.6500000953674316</v>
      </c>
      <c r="AF38" s="566">
        <f>IF(ISNUMBER(System!$C39),PlotData!F39+Momente!$E$2* $AF$1*F38,PlotData!$CB$3)</f>
        <v>7.6500000953674316</v>
      </c>
      <c r="AG38" s="566">
        <f>IF(ISNUMBER(System!$C39),PlotData!G39+ Momente!$E$2*$AF$1*G38,PlotData!$CB$3)</f>
        <v>7.6500000953674316</v>
      </c>
      <c r="AH38" s="566">
        <f>IF(ISNUMBER(System!$C39),PlotData!H39+ Momente!$E$2*$AF$1*H38,PlotData!$CB$3)</f>
        <v>7.6500000953674316</v>
      </c>
      <c r="AI38" s="566">
        <f>IF(ISNUMBER(System!$C39),PlotData!I39+ Momente!$E$2*$AF$1*I38,PlotData!$CB$3)</f>
        <v>7.6500000953674316</v>
      </c>
      <c r="AJ38" s="566">
        <f>IF(ISNUMBER(System!$C39),PlotData!J39+ Momente!$E$2*$AF$1*J38,PlotData!$CB$3)</f>
        <v>7.6500000953674316</v>
      </c>
      <c r="AK38" s="566">
        <f>IF(ISNUMBER(System!$C39),PlotData!K39+ Momente!$E$2*$AF$1*K38,PlotData!$CB$3)</f>
        <v>7.6500000953674316</v>
      </c>
      <c r="AL38" s="567">
        <f>IF(ISNUMBER(System!$C39),PlotData!L39+Momente!$E$2* $AF$1*L38,PlotData!$CB$3)</f>
        <v>7.6500000953674316</v>
      </c>
      <c r="AM38" s="565">
        <f>IF(ISNUMBER(System!$C39),PlotData!L39,PlotData!$CB$3)</f>
        <v>7.6500000953674316</v>
      </c>
      <c r="AN38" s="566">
        <f>IF(ISNUMBER(System!$C39),PlotData!B39,PlotData!$CB$3)</f>
        <v>7.6500000953674316</v>
      </c>
      <c r="AO38" s="447">
        <f>IF(ISNUMBER(System!$C39),AB38,PlotData!$CB$3)</f>
        <v>7.6500000953674316</v>
      </c>
      <c r="AQ38" s="580">
        <v>36</v>
      </c>
      <c r="AR38" s="565">
        <f>IF(ISNUMBER(System!$C39),PlotData!O39+ Momente!$E$2*$AF$1*O38,PlotData!$CB$4)</f>
        <v>0.75</v>
      </c>
      <c r="AS38" s="566">
        <f>IF(ISNUMBER(System!$C39),PlotData!P39+Momente!$E$2* $AF$1*P38,PlotData!$CB$4)</f>
        <v>0.75</v>
      </c>
      <c r="AT38" s="566">
        <f>IF(ISNUMBER(System!$C39),PlotData!Q39+ Momente!$E$2*$AF$1*Q38,PlotData!$CB$4)</f>
        <v>0.75</v>
      </c>
      <c r="AU38" s="566">
        <f>IF(ISNUMBER(System!$C39),PlotData!R39+Momente!$E$2* $AF$1*R38,PlotData!$CB$4)</f>
        <v>0.75</v>
      </c>
      <c r="AV38" s="566">
        <f>IF(ISNUMBER(System!$C39),PlotData!S39+ Momente!$E$2*$AF$1*S38,PlotData!$CB$4)</f>
        <v>0.75</v>
      </c>
      <c r="AW38" s="566">
        <f>IF(ISNUMBER(System!$C39),PlotData!T39+ Momente!$E$2*$AF$1*T38,PlotData!$CB$4)</f>
        <v>0.75</v>
      </c>
      <c r="AX38" s="566">
        <f>IF(ISNUMBER(System!$C39),PlotData!U39+ Momente!$E$2*$AF$1*U38,PlotData!$CB$4)</f>
        <v>0.75</v>
      </c>
      <c r="AY38" s="566">
        <f>IF(ISNUMBER(System!$C39),PlotData!V39+ Momente!$E$2*$AF$1*V38,PlotData!$CB$4)</f>
        <v>0.75</v>
      </c>
      <c r="AZ38" s="566">
        <f>IF(ISNUMBER(System!$C39),PlotData!W39+ Momente!$E$2*$AF$1*W38,PlotData!$CB$4)</f>
        <v>0.75</v>
      </c>
      <c r="BA38" s="566">
        <f>IF(ISNUMBER(System!$C39),PlotData!X39+ Momente!$E$2*$AF$1*X38,PlotData!$CB$4)</f>
        <v>0.75</v>
      </c>
      <c r="BB38" s="567">
        <f>IF(ISNUMBER(System!$C39),PlotData!Y39+ Momente!$E$2*$AF$1*Y38,PlotData!$CB$4)</f>
        <v>0.75</v>
      </c>
      <c r="BC38" s="607">
        <f>IF(ISNUMBER(System!$C39),PlotData!Y39, PlotData!CB$4)</f>
        <v>0.75</v>
      </c>
      <c r="BD38" s="566">
        <f>IF(ISNUMBER(System!$C39),PlotData!O39, PlotData!$CB$4)</f>
        <v>0.75</v>
      </c>
      <c r="BE38" s="567">
        <f>IF(ISNUMBER(System!$C39), AR38,PlotData!$CB$4)</f>
        <v>0.75</v>
      </c>
    </row>
    <row r="39" spans="1:57" x14ac:dyDescent="0.35">
      <c r="A39" s="609">
        <v>37</v>
      </c>
      <c r="B39" s="565"/>
      <c r="C39" s="566"/>
      <c r="D39" s="566"/>
      <c r="E39" s="566"/>
      <c r="F39" s="566"/>
      <c r="G39" s="566"/>
      <c r="H39" s="566"/>
      <c r="I39" s="566"/>
      <c r="J39" s="566"/>
      <c r="K39" s="566"/>
      <c r="L39" s="567"/>
      <c r="N39" s="609">
        <v>37</v>
      </c>
      <c r="O39" s="565"/>
      <c r="P39" s="566"/>
      <c r="Q39" s="566"/>
      <c r="R39" s="566"/>
      <c r="S39" s="566"/>
      <c r="T39" s="566"/>
      <c r="U39" s="566"/>
      <c r="V39" s="566"/>
      <c r="W39" s="566"/>
      <c r="X39" s="566"/>
      <c r="Y39" s="567"/>
      <c r="AA39" s="580">
        <v>37</v>
      </c>
      <c r="AB39" s="565">
        <f>IF(ISNUMBER(System!$C40),PlotData!B40+Momente!$E$2* $AF$1*B39,PlotData!$CB$3)</f>
        <v>7.6500000953674316</v>
      </c>
      <c r="AC39" s="566">
        <f>IF(ISNUMBER(System!$C40),PlotData!C40+ Momente!$E$2*$AF$1*C39,PlotData!$CB$3)</f>
        <v>7.6500000953674316</v>
      </c>
      <c r="AD39" s="566">
        <f>IF(ISNUMBER(System!$C40),PlotData!D40+ Momente!$E$2*$AF$1*D39,PlotData!$CB$3)</f>
        <v>7.6500000953674316</v>
      </c>
      <c r="AE39" s="566">
        <f>IF(ISNUMBER(System!$C40),PlotData!E40+Momente!$E$2* $AF$1*E39,PlotData!$CB$3)</f>
        <v>7.6500000953674316</v>
      </c>
      <c r="AF39" s="566">
        <f>IF(ISNUMBER(System!$C40),PlotData!F40+Momente!$E$2* $AF$1*F39,PlotData!$CB$3)</f>
        <v>7.6500000953674316</v>
      </c>
      <c r="AG39" s="566">
        <f>IF(ISNUMBER(System!$C40),PlotData!G40+ Momente!$E$2*$AF$1*G39,PlotData!$CB$3)</f>
        <v>7.6500000953674316</v>
      </c>
      <c r="AH39" s="566">
        <f>IF(ISNUMBER(System!$C40),PlotData!H40+ Momente!$E$2*$AF$1*H39,PlotData!$CB$3)</f>
        <v>7.6500000953674316</v>
      </c>
      <c r="AI39" s="566">
        <f>IF(ISNUMBER(System!$C40),PlotData!I40+ Momente!$E$2*$AF$1*I39,PlotData!$CB$3)</f>
        <v>7.6500000953674316</v>
      </c>
      <c r="AJ39" s="566">
        <f>IF(ISNUMBER(System!$C40),PlotData!J40+ Momente!$E$2*$AF$1*J39,PlotData!$CB$3)</f>
        <v>7.6500000953674316</v>
      </c>
      <c r="AK39" s="566">
        <f>IF(ISNUMBER(System!$C40),PlotData!K40+ Momente!$E$2*$AF$1*K39,PlotData!$CB$3)</f>
        <v>7.6500000953674316</v>
      </c>
      <c r="AL39" s="567">
        <f>IF(ISNUMBER(System!$C40),PlotData!L40+Momente!$E$2* $AF$1*L39,PlotData!$CB$3)</f>
        <v>7.6500000953674316</v>
      </c>
      <c r="AM39" s="565">
        <f>IF(ISNUMBER(System!$C40),PlotData!L40,PlotData!$CB$3)</f>
        <v>7.6500000953674316</v>
      </c>
      <c r="AN39" s="566">
        <f>IF(ISNUMBER(System!$C40),PlotData!B40,PlotData!$CB$3)</f>
        <v>7.6500000953674316</v>
      </c>
      <c r="AO39" s="447">
        <f>IF(ISNUMBER(System!$C40),AB39,PlotData!$CB$3)</f>
        <v>7.6500000953674316</v>
      </c>
      <c r="AQ39" s="580">
        <v>37</v>
      </c>
      <c r="AR39" s="565">
        <f>IF(ISNUMBER(System!$C40),PlotData!O40+ Momente!$E$2*$AF$1*O39,PlotData!$CB$4)</f>
        <v>0.75</v>
      </c>
      <c r="AS39" s="566">
        <f>IF(ISNUMBER(System!$C40),PlotData!P40+Momente!$E$2* $AF$1*P39,PlotData!$CB$4)</f>
        <v>0.75</v>
      </c>
      <c r="AT39" s="566">
        <f>IF(ISNUMBER(System!$C40),PlotData!Q40+ Momente!$E$2*$AF$1*Q39,PlotData!$CB$4)</f>
        <v>0.75</v>
      </c>
      <c r="AU39" s="566">
        <f>IF(ISNUMBER(System!$C40),PlotData!R40+Momente!$E$2* $AF$1*R39,PlotData!$CB$4)</f>
        <v>0.75</v>
      </c>
      <c r="AV39" s="566">
        <f>IF(ISNUMBER(System!$C40),PlotData!S40+ Momente!$E$2*$AF$1*S39,PlotData!$CB$4)</f>
        <v>0.75</v>
      </c>
      <c r="AW39" s="566">
        <f>IF(ISNUMBER(System!$C40),PlotData!T40+ Momente!$E$2*$AF$1*T39,PlotData!$CB$4)</f>
        <v>0.75</v>
      </c>
      <c r="AX39" s="566">
        <f>IF(ISNUMBER(System!$C40),PlotData!U40+ Momente!$E$2*$AF$1*U39,PlotData!$CB$4)</f>
        <v>0.75</v>
      </c>
      <c r="AY39" s="566">
        <f>IF(ISNUMBER(System!$C40),PlotData!V40+ Momente!$E$2*$AF$1*V39,PlotData!$CB$4)</f>
        <v>0.75</v>
      </c>
      <c r="AZ39" s="566">
        <f>IF(ISNUMBER(System!$C40),PlotData!W40+ Momente!$E$2*$AF$1*W39,PlotData!$CB$4)</f>
        <v>0.75</v>
      </c>
      <c r="BA39" s="566">
        <f>IF(ISNUMBER(System!$C40),PlotData!X40+ Momente!$E$2*$AF$1*X39,PlotData!$CB$4)</f>
        <v>0.75</v>
      </c>
      <c r="BB39" s="567">
        <f>IF(ISNUMBER(System!$C40),PlotData!Y40+ Momente!$E$2*$AF$1*Y39,PlotData!$CB$4)</f>
        <v>0.75</v>
      </c>
      <c r="BC39" s="607">
        <f>IF(ISNUMBER(System!$C40),PlotData!Y40, PlotData!CB$4)</f>
        <v>0.75</v>
      </c>
      <c r="BD39" s="566">
        <f>IF(ISNUMBER(System!$C40),PlotData!O40, PlotData!$CB$4)</f>
        <v>0.75</v>
      </c>
      <c r="BE39" s="567">
        <f>IF(ISNUMBER(System!$C40), AR39,PlotData!$CB$4)</f>
        <v>0.75</v>
      </c>
    </row>
    <row r="40" spans="1:57" x14ac:dyDescent="0.35">
      <c r="A40" s="609">
        <v>38</v>
      </c>
      <c r="B40" s="565"/>
      <c r="C40" s="566"/>
      <c r="D40" s="566"/>
      <c r="E40" s="566"/>
      <c r="F40" s="566"/>
      <c r="G40" s="566"/>
      <c r="H40" s="566"/>
      <c r="I40" s="566"/>
      <c r="J40" s="566"/>
      <c r="K40" s="566"/>
      <c r="L40" s="567"/>
      <c r="N40" s="609">
        <v>38</v>
      </c>
      <c r="O40" s="565"/>
      <c r="P40" s="566"/>
      <c r="Q40" s="566"/>
      <c r="R40" s="566"/>
      <c r="S40" s="566"/>
      <c r="T40" s="566"/>
      <c r="U40" s="566"/>
      <c r="V40" s="566"/>
      <c r="W40" s="566"/>
      <c r="X40" s="566"/>
      <c r="Y40" s="567"/>
      <c r="AA40" s="580">
        <v>38</v>
      </c>
      <c r="AB40" s="565">
        <f>IF(ISNUMBER(System!$C41),PlotData!B41+Momente!$E$2* $AF$1*B40,PlotData!$CB$3)</f>
        <v>7.6500000953674316</v>
      </c>
      <c r="AC40" s="566">
        <f>IF(ISNUMBER(System!$C41),PlotData!C41+ Momente!$E$2*$AF$1*C40,PlotData!$CB$3)</f>
        <v>7.6500000953674316</v>
      </c>
      <c r="AD40" s="566">
        <f>IF(ISNUMBER(System!$C41),PlotData!D41+ Momente!$E$2*$AF$1*D40,PlotData!$CB$3)</f>
        <v>7.6500000953674316</v>
      </c>
      <c r="AE40" s="566">
        <f>IF(ISNUMBER(System!$C41),PlotData!E41+Momente!$E$2* $AF$1*E40,PlotData!$CB$3)</f>
        <v>7.6500000953674316</v>
      </c>
      <c r="AF40" s="566">
        <f>IF(ISNUMBER(System!$C41),PlotData!F41+Momente!$E$2* $AF$1*F40,PlotData!$CB$3)</f>
        <v>7.6500000953674316</v>
      </c>
      <c r="AG40" s="566">
        <f>IF(ISNUMBER(System!$C41),PlotData!G41+ Momente!$E$2*$AF$1*G40,PlotData!$CB$3)</f>
        <v>7.6500000953674316</v>
      </c>
      <c r="AH40" s="566">
        <f>IF(ISNUMBER(System!$C41),PlotData!H41+ Momente!$E$2*$AF$1*H40,PlotData!$CB$3)</f>
        <v>7.6500000953674316</v>
      </c>
      <c r="AI40" s="566">
        <f>IF(ISNUMBER(System!$C41),PlotData!I41+ Momente!$E$2*$AF$1*I40,PlotData!$CB$3)</f>
        <v>7.6500000953674316</v>
      </c>
      <c r="AJ40" s="566">
        <f>IF(ISNUMBER(System!$C41),PlotData!J41+ Momente!$E$2*$AF$1*J40,PlotData!$CB$3)</f>
        <v>7.6500000953674316</v>
      </c>
      <c r="AK40" s="566">
        <f>IF(ISNUMBER(System!$C41),PlotData!K41+ Momente!$E$2*$AF$1*K40,PlotData!$CB$3)</f>
        <v>7.6500000953674316</v>
      </c>
      <c r="AL40" s="567">
        <f>IF(ISNUMBER(System!$C41),PlotData!L41+Momente!$E$2* $AF$1*L40,PlotData!$CB$3)</f>
        <v>7.6500000953674316</v>
      </c>
      <c r="AM40" s="565">
        <f>IF(ISNUMBER(System!$C41),PlotData!L41,PlotData!$CB$3)</f>
        <v>7.6500000953674316</v>
      </c>
      <c r="AN40" s="566">
        <f>IF(ISNUMBER(System!$C41),PlotData!B41,PlotData!$CB$3)</f>
        <v>7.6500000953674316</v>
      </c>
      <c r="AO40" s="447">
        <f>IF(ISNUMBER(System!$C41),AB40,PlotData!$CB$3)</f>
        <v>7.6500000953674316</v>
      </c>
      <c r="AQ40" s="580">
        <v>38</v>
      </c>
      <c r="AR40" s="565">
        <f>IF(ISNUMBER(System!$C41),PlotData!O41+ Momente!$E$2*$AF$1*O40,PlotData!$CB$4)</f>
        <v>0.75</v>
      </c>
      <c r="AS40" s="566">
        <f>IF(ISNUMBER(System!$C41),PlotData!P41+Momente!$E$2* $AF$1*P40,PlotData!$CB$4)</f>
        <v>0.75</v>
      </c>
      <c r="AT40" s="566">
        <f>IF(ISNUMBER(System!$C41),PlotData!Q41+ Momente!$E$2*$AF$1*Q40,PlotData!$CB$4)</f>
        <v>0.75</v>
      </c>
      <c r="AU40" s="566">
        <f>IF(ISNUMBER(System!$C41),PlotData!R41+Momente!$E$2* $AF$1*R40,PlotData!$CB$4)</f>
        <v>0.75</v>
      </c>
      <c r="AV40" s="566">
        <f>IF(ISNUMBER(System!$C41),PlotData!S41+ Momente!$E$2*$AF$1*S40,PlotData!$CB$4)</f>
        <v>0.75</v>
      </c>
      <c r="AW40" s="566">
        <f>IF(ISNUMBER(System!$C41),PlotData!T41+ Momente!$E$2*$AF$1*T40,PlotData!$CB$4)</f>
        <v>0.75</v>
      </c>
      <c r="AX40" s="566">
        <f>IF(ISNUMBER(System!$C41),PlotData!U41+ Momente!$E$2*$AF$1*U40,PlotData!$CB$4)</f>
        <v>0.75</v>
      </c>
      <c r="AY40" s="566">
        <f>IF(ISNUMBER(System!$C41),PlotData!V41+ Momente!$E$2*$AF$1*V40,PlotData!$CB$4)</f>
        <v>0.75</v>
      </c>
      <c r="AZ40" s="566">
        <f>IF(ISNUMBER(System!$C41),PlotData!W41+ Momente!$E$2*$AF$1*W40,PlotData!$CB$4)</f>
        <v>0.75</v>
      </c>
      <c r="BA40" s="566">
        <f>IF(ISNUMBER(System!$C41),PlotData!X41+ Momente!$E$2*$AF$1*X40,PlotData!$CB$4)</f>
        <v>0.75</v>
      </c>
      <c r="BB40" s="567">
        <f>IF(ISNUMBER(System!$C41),PlotData!Y41+ Momente!$E$2*$AF$1*Y40,PlotData!$CB$4)</f>
        <v>0.75</v>
      </c>
      <c r="BC40" s="607">
        <f>IF(ISNUMBER(System!$C41),PlotData!Y41, PlotData!CB$4)</f>
        <v>0.75</v>
      </c>
      <c r="BD40" s="566">
        <f>IF(ISNUMBER(System!$C41),PlotData!O41, PlotData!$CB$4)</f>
        <v>0.75</v>
      </c>
      <c r="BE40" s="567">
        <f>IF(ISNUMBER(System!$C41), AR40,PlotData!$CB$4)</f>
        <v>0.75</v>
      </c>
    </row>
    <row r="41" spans="1:57" x14ac:dyDescent="0.35">
      <c r="A41" s="609">
        <v>39</v>
      </c>
      <c r="B41" s="565"/>
      <c r="C41" s="566"/>
      <c r="D41" s="566"/>
      <c r="E41" s="566"/>
      <c r="F41" s="566"/>
      <c r="G41" s="566"/>
      <c r="H41" s="566"/>
      <c r="I41" s="566"/>
      <c r="J41" s="566"/>
      <c r="K41" s="566"/>
      <c r="L41" s="567"/>
      <c r="N41" s="609">
        <v>39</v>
      </c>
      <c r="O41" s="565"/>
      <c r="P41" s="566"/>
      <c r="Q41" s="566"/>
      <c r="R41" s="566"/>
      <c r="S41" s="566"/>
      <c r="T41" s="566"/>
      <c r="U41" s="566"/>
      <c r="V41" s="566"/>
      <c r="W41" s="566"/>
      <c r="X41" s="566"/>
      <c r="Y41" s="567"/>
      <c r="AA41" s="580">
        <v>39</v>
      </c>
      <c r="AB41" s="565">
        <f>IF(ISNUMBER(System!$C42),PlotData!B42+Momente!$E$2* $AF$1*B41,PlotData!$CB$3)</f>
        <v>7.6500000953674316</v>
      </c>
      <c r="AC41" s="566">
        <f>IF(ISNUMBER(System!$C42),PlotData!C42+ Momente!$E$2*$AF$1*C41,PlotData!$CB$3)</f>
        <v>7.6500000953674316</v>
      </c>
      <c r="AD41" s="566">
        <f>IF(ISNUMBER(System!$C42),PlotData!D42+ Momente!$E$2*$AF$1*D41,PlotData!$CB$3)</f>
        <v>7.6500000953674316</v>
      </c>
      <c r="AE41" s="566">
        <f>IF(ISNUMBER(System!$C42),PlotData!E42+Momente!$E$2* $AF$1*E41,PlotData!$CB$3)</f>
        <v>7.6500000953674316</v>
      </c>
      <c r="AF41" s="566">
        <f>IF(ISNUMBER(System!$C42),PlotData!F42+Momente!$E$2* $AF$1*F41,PlotData!$CB$3)</f>
        <v>7.6500000953674316</v>
      </c>
      <c r="AG41" s="566">
        <f>IF(ISNUMBER(System!$C42),PlotData!G42+ Momente!$E$2*$AF$1*G41,PlotData!$CB$3)</f>
        <v>7.6500000953674316</v>
      </c>
      <c r="AH41" s="566">
        <f>IF(ISNUMBER(System!$C42),PlotData!H42+ Momente!$E$2*$AF$1*H41,PlotData!$CB$3)</f>
        <v>7.6500000953674316</v>
      </c>
      <c r="AI41" s="566">
        <f>IF(ISNUMBER(System!$C42),PlotData!I42+ Momente!$E$2*$AF$1*I41,PlotData!$CB$3)</f>
        <v>7.6500000953674316</v>
      </c>
      <c r="AJ41" s="566">
        <f>IF(ISNUMBER(System!$C42),PlotData!J42+ Momente!$E$2*$AF$1*J41,PlotData!$CB$3)</f>
        <v>7.6500000953674316</v>
      </c>
      <c r="AK41" s="566">
        <f>IF(ISNUMBER(System!$C42),PlotData!K42+ Momente!$E$2*$AF$1*K41,PlotData!$CB$3)</f>
        <v>7.6500000953674316</v>
      </c>
      <c r="AL41" s="567">
        <f>IF(ISNUMBER(System!$C42),PlotData!L42+Momente!$E$2* $AF$1*L41,PlotData!$CB$3)</f>
        <v>7.6500000953674316</v>
      </c>
      <c r="AM41" s="565">
        <f>IF(ISNUMBER(System!$C42),PlotData!L42,PlotData!$CB$3)</f>
        <v>7.6500000953674316</v>
      </c>
      <c r="AN41" s="566">
        <f>IF(ISNUMBER(System!$C42),PlotData!B42,PlotData!$CB$3)</f>
        <v>7.6500000953674316</v>
      </c>
      <c r="AO41" s="447">
        <f>IF(ISNUMBER(System!$C42),AB41,PlotData!$CB$3)</f>
        <v>7.6500000953674316</v>
      </c>
      <c r="AQ41" s="580">
        <v>39</v>
      </c>
      <c r="AR41" s="565">
        <f>IF(ISNUMBER(System!$C42),PlotData!O42+ Momente!$E$2*$AF$1*O41,PlotData!$CB$4)</f>
        <v>0.75</v>
      </c>
      <c r="AS41" s="566">
        <f>IF(ISNUMBER(System!$C42),PlotData!P42+Momente!$E$2* $AF$1*P41,PlotData!$CB$4)</f>
        <v>0.75</v>
      </c>
      <c r="AT41" s="566">
        <f>IF(ISNUMBER(System!$C42),PlotData!Q42+ Momente!$E$2*$AF$1*Q41,PlotData!$CB$4)</f>
        <v>0.75</v>
      </c>
      <c r="AU41" s="566">
        <f>IF(ISNUMBER(System!$C42),PlotData!R42+Momente!$E$2* $AF$1*R41,PlotData!$CB$4)</f>
        <v>0.75</v>
      </c>
      <c r="AV41" s="566">
        <f>IF(ISNUMBER(System!$C42),PlotData!S42+ Momente!$E$2*$AF$1*S41,PlotData!$CB$4)</f>
        <v>0.75</v>
      </c>
      <c r="AW41" s="566">
        <f>IF(ISNUMBER(System!$C42),PlotData!T42+ Momente!$E$2*$AF$1*T41,PlotData!$CB$4)</f>
        <v>0.75</v>
      </c>
      <c r="AX41" s="566">
        <f>IF(ISNUMBER(System!$C42),PlotData!U42+ Momente!$E$2*$AF$1*U41,PlotData!$CB$4)</f>
        <v>0.75</v>
      </c>
      <c r="AY41" s="566">
        <f>IF(ISNUMBER(System!$C42),PlotData!V42+ Momente!$E$2*$AF$1*V41,PlotData!$CB$4)</f>
        <v>0.75</v>
      </c>
      <c r="AZ41" s="566">
        <f>IF(ISNUMBER(System!$C42),PlotData!W42+ Momente!$E$2*$AF$1*W41,PlotData!$CB$4)</f>
        <v>0.75</v>
      </c>
      <c r="BA41" s="566">
        <f>IF(ISNUMBER(System!$C42),PlotData!X42+ Momente!$E$2*$AF$1*X41,PlotData!$CB$4)</f>
        <v>0.75</v>
      </c>
      <c r="BB41" s="567">
        <f>IF(ISNUMBER(System!$C42),PlotData!Y42+ Momente!$E$2*$AF$1*Y41,PlotData!$CB$4)</f>
        <v>0.75</v>
      </c>
      <c r="BC41" s="607">
        <f>IF(ISNUMBER(System!$C42),PlotData!Y42, PlotData!CB$4)</f>
        <v>0.75</v>
      </c>
      <c r="BD41" s="566">
        <f>IF(ISNUMBER(System!$C42),PlotData!O42, PlotData!$CB$4)</f>
        <v>0.75</v>
      </c>
      <c r="BE41" s="567">
        <f>IF(ISNUMBER(System!$C42), AR41,PlotData!$CB$4)</f>
        <v>0.75</v>
      </c>
    </row>
    <row r="42" spans="1:57" ht="13.15" thickBot="1" x14ac:dyDescent="0.4">
      <c r="A42" s="610">
        <v>40</v>
      </c>
      <c r="B42" s="507"/>
      <c r="C42" s="503"/>
      <c r="D42" s="503"/>
      <c r="E42" s="503"/>
      <c r="F42" s="503"/>
      <c r="G42" s="503"/>
      <c r="H42" s="503"/>
      <c r="I42" s="503"/>
      <c r="J42" s="503"/>
      <c r="K42" s="503"/>
      <c r="L42" s="504"/>
      <c r="N42" s="610">
        <v>40</v>
      </c>
      <c r="O42" s="507"/>
      <c r="P42" s="503"/>
      <c r="Q42" s="503"/>
      <c r="R42" s="503"/>
      <c r="S42" s="503"/>
      <c r="T42" s="503"/>
      <c r="U42" s="503"/>
      <c r="V42" s="503"/>
      <c r="W42" s="503"/>
      <c r="X42" s="503"/>
      <c r="Y42" s="504"/>
      <c r="AA42" s="592">
        <v>40</v>
      </c>
      <c r="AB42" s="507">
        <f>IF(ISNUMBER(System!$C43),PlotData!B43+Momente!$E$2* $AF$1*B42,PlotData!$CB$3)</f>
        <v>7.6500000953674316</v>
      </c>
      <c r="AC42" s="503">
        <f>IF(ISNUMBER(System!$C43),PlotData!C43+ Momente!$E$2*$AF$1*C42,PlotData!$CB$3)</f>
        <v>7.6500000953674316</v>
      </c>
      <c r="AD42" s="503">
        <f>IF(ISNUMBER(System!$C43),PlotData!D43+ Momente!$E$2*$AF$1*D42,PlotData!$CB$3)</f>
        <v>7.6500000953674316</v>
      </c>
      <c r="AE42" s="503">
        <f>IF(ISNUMBER(System!$C43),PlotData!E43+Momente!$E$2* $AF$1*E42,PlotData!$CB$3)</f>
        <v>7.6500000953674316</v>
      </c>
      <c r="AF42" s="503">
        <f>IF(ISNUMBER(System!$C43),PlotData!F43+Momente!$E$2* $AF$1*F42,PlotData!$CB$3)</f>
        <v>7.6500000953674316</v>
      </c>
      <c r="AG42" s="503">
        <f>IF(ISNUMBER(System!$C43),PlotData!G43+ Momente!$E$2*$AF$1*G42,PlotData!$CB$3)</f>
        <v>7.6500000953674316</v>
      </c>
      <c r="AH42" s="503">
        <f>IF(ISNUMBER(System!$C43),PlotData!H43+ Momente!$E$2*$AF$1*H42,PlotData!$CB$3)</f>
        <v>7.6500000953674316</v>
      </c>
      <c r="AI42" s="503">
        <f>IF(ISNUMBER(System!$C43),PlotData!I43+ Momente!$E$2*$AF$1*I42,PlotData!$CB$3)</f>
        <v>7.6500000953674316</v>
      </c>
      <c r="AJ42" s="503">
        <f>IF(ISNUMBER(System!$C43),PlotData!J43+ Momente!$E$2*$AF$1*J42,PlotData!$CB$3)</f>
        <v>7.6500000953674316</v>
      </c>
      <c r="AK42" s="503">
        <f>IF(ISNUMBER(System!$C43),PlotData!K43+ Momente!$E$2*$AF$1*K42,PlotData!$CB$3)</f>
        <v>7.6500000953674316</v>
      </c>
      <c r="AL42" s="504">
        <f>IF(ISNUMBER(System!$C43),PlotData!L43+Momente!$E$2* $AF$1*L42,PlotData!$CB$3)</f>
        <v>7.6500000953674316</v>
      </c>
      <c r="AM42" s="507">
        <f>IF(ISNUMBER(System!$C43),PlotData!L43,PlotData!$CB$3)</f>
        <v>7.6500000953674316</v>
      </c>
      <c r="AN42" s="503">
        <f>IF(ISNUMBER(System!$C43),PlotData!B43,PlotData!$CB$3)</f>
        <v>7.6500000953674316</v>
      </c>
      <c r="AO42" s="454">
        <f>IF(ISNUMBER(System!$C43),AB42,PlotData!$CB$3)</f>
        <v>7.6500000953674316</v>
      </c>
      <c r="AQ42" s="592">
        <v>40</v>
      </c>
      <c r="AR42" s="507">
        <f>IF(ISNUMBER(System!$C43),PlotData!O43+ Momente!$E$2*$AF$1*O42,PlotData!$CB$4)</f>
        <v>0.75</v>
      </c>
      <c r="AS42" s="503">
        <f>IF(ISNUMBER(System!$C43),PlotData!P43+Momente!$E$2* $AF$1*P42,PlotData!$CB$4)</f>
        <v>0.75</v>
      </c>
      <c r="AT42" s="503">
        <f>IF(ISNUMBER(System!$C43),PlotData!Q43+ Momente!$E$2*$AF$1*Q42,PlotData!$CB$4)</f>
        <v>0.75</v>
      </c>
      <c r="AU42" s="503">
        <f>IF(ISNUMBER(System!$C43),PlotData!R43+Momente!$E$2* $AF$1*R42,PlotData!$CB$4)</f>
        <v>0.75</v>
      </c>
      <c r="AV42" s="503">
        <f>IF(ISNUMBER(System!$C43),PlotData!S43+ Momente!$E$2*$AF$1*S42,PlotData!$CB$4)</f>
        <v>0.75</v>
      </c>
      <c r="AW42" s="503">
        <f>IF(ISNUMBER(System!$C43),PlotData!T43+ Momente!$E$2*$AF$1*T42,PlotData!$CB$4)</f>
        <v>0.75</v>
      </c>
      <c r="AX42" s="503">
        <f>IF(ISNUMBER(System!$C43),PlotData!U43+ Momente!$E$2*$AF$1*U42,PlotData!$CB$4)</f>
        <v>0.75</v>
      </c>
      <c r="AY42" s="503">
        <f>IF(ISNUMBER(System!$C43),PlotData!V43+ Momente!$E$2*$AF$1*V42,PlotData!$CB$4)</f>
        <v>0.75</v>
      </c>
      <c r="AZ42" s="503">
        <f>IF(ISNUMBER(System!$C43),PlotData!W43+ Momente!$E$2*$AF$1*W42,PlotData!$CB$4)</f>
        <v>0.75</v>
      </c>
      <c r="BA42" s="503">
        <f>IF(ISNUMBER(System!$C43),PlotData!X43+ Momente!$E$2*$AF$1*X42,PlotData!$CB$4)</f>
        <v>0.75</v>
      </c>
      <c r="BB42" s="504">
        <f>IF(ISNUMBER(System!$C43),PlotData!Y43+ Momente!$E$2*$AF$1*Y42,PlotData!$CB$4)</f>
        <v>0.75</v>
      </c>
      <c r="BC42" s="611">
        <f>IF(ISNUMBER(System!$C43),PlotData!Y43, PlotData!CB$4)</f>
        <v>0.75</v>
      </c>
      <c r="BD42" s="503">
        <f>IF(ISNUMBER(System!$C43),PlotData!O43, PlotData!$CB$4)</f>
        <v>0.75</v>
      </c>
      <c r="BE42" s="504">
        <f>IF(ISNUMBER(System!$C43), AR42,PlotData!$CB$4)</f>
        <v>0.75</v>
      </c>
    </row>
    <row r="43" spans="1:57" x14ac:dyDescent="0.35">
      <c r="AR43" s="424"/>
    </row>
    <row r="68" spans="1:36" x14ac:dyDescent="0.35">
      <c r="A68" s="455"/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612"/>
      <c r="AA68" s="455"/>
      <c r="AB68" s="455"/>
      <c r="AC68" s="455"/>
      <c r="AD68" s="455"/>
      <c r="AE68" s="455"/>
      <c r="AF68" s="455"/>
      <c r="AG68" s="455"/>
      <c r="AH68" s="455"/>
      <c r="AI68" s="455"/>
      <c r="AJ68" s="455"/>
    </row>
    <row r="69" spans="1:36" x14ac:dyDescent="0.35">
      <c r="A69" s="455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612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</row>
    <row r="70" spans="1:36" x14ac:dyDescent="0.35">
      <c r="A70" s="455"/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612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</row>
    <row r="71" spans="1:36" x14ac:dyDescent="0.35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612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</row>
    <row r="72" spans="1:36" x14ac:dyDescent="0.35">
      <c r="A72" s="455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612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</row>
    <row r="73" spans="1:36" x14ac:dyDescent="0.35">
      <c r="A73" s="455"/>
      <c r="B73" s="59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612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</row>
    <row r="74" spans="1:36" x14ac:dyDescent="0.35">
      <c r="A74" s="59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595"/>
      <c r="R74" s="455"/>
      <c r="S74" s="455"/>
      <c r="T74" s="455"/>
      <c r="U74" s="455"/>
      <c r="V74" s="455"/>
      <c r="W74" s="455"/>
      <c r="X74" s="455"/>
      <c r="Y74" s="455"/>
      <c r="Z74" s="612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</row>
    <row r="75" spans="1:36" x14ac:dyDescent="0.35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612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</row>
    <row r="76" spans="1:36" x14ac:dyDescent="0.35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612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</row>
    <row r="77" spans="1:36" x14ac:dyDescent="0.35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612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</row>
    <row r="78" spans="1:36" x14ac:dyDescent="0.35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612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</row>
    <row r="79" spans="1:36" x14ac:dyDescent="0.3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612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</row>
    <row r="80" spans="1:36" x14ac:dyDescent="0.35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612"/>
      <c r="AA80" s="455"/>
      <c r="AB80" s="455"/>
      <c r="AC80" s="455"/>
      <c r="AD80" s="455"/>
      <c r="AE80" s="455"/>
      <c r="AF80" s="455"/>
      <c r="AG80" s="455"/>
      <c r="AH80" s="455"/>
      <c r="AI80" s="455"/>
      <c r="AJ80" s="455"/>
    </row>
    <row r="81" spans="1:36" x14ac:dyDescent="0.35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612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</row>
    <row r="82" spans="1:36" x14ac:dyDescent="0.35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612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</row>
    <row r="83" spans="1:36" x14ac:dyDescent="0.3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612"/>
      <c r="AA83" s="455"/>
      <c r="AB83" s="455"/>
      <c r="AC83" s="455"/>
      <c r="AD83" s="455"/>
      <c r="AE83" s="455"/>
      <c r="AF83" s="455"/>
      <c r="AG83" s="455"/>
      <c r="AH83" s="455"/>
      <c r="AI83" s="455"/>
      <c r="AJ83" s="455"/>
    </row>
    <row r="84" spans="1:36" x14ac:dyDescent="0.35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612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</row>
    <row r="85" spans="1:36" x14ac:dyDescent="0.3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612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</row>
    <row r="86" spans="1:36" x14ac:dyDescent="0.35">
      <c r="A86" s="455"/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612"/>
      <c r="AA86" s="455"/>
      <c r="AB86" s="455"/>
      <c r="AC86" s="455"/>
      <c r="AD86" s="455"/>
      <c r="AE86" s="455"/>
      <c r="AF86" s="455"/>
      <c r="AG86" s="455"/>
      <c r="AH86" s="455"/>
      <c r="AI86" s="455"/>
      <c r="AJ86" s="455"/>
    </row>
    <row r="87" spans="1:36" x14ac:dyDescent="0.35">
      <c r="A87" s="455"/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612"/>
      <c r="AA87" s="455"/>
      <c r="AB87" s="455"/>
      <c r="AC87" s="455"/>
      <c r="AD87" s="455"/>
      <c r="AE87" s="455"/>
      <c r="AF87" s="455"/>
      <c r="AG87" s="455"/>
      <c r="AH87" s="455"/>
      <c r="AI87" s="455"/>
      <c r="AJ87" s="455"/>
    </row>
    <row r="88" spans="1:36" x14ac:dyDescent="0.35">
      <c r="A88" s="455"/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612"/>
      <c r="AA88" s="455"/>
      <c r="AB88" s="455"/>
      <c r="AC88" s="455"/>
      <c r="AD88" s="455"/>
      <c r="AE88" s="455"/>
      <c r="AF88" s="455"/>
      <c r="AG88" s="455"/>
      <c r="AH88" s="455"/>
      <c r="AI88" s="455"/>
      <c r="AJ88" s="455"/>
    </row>
    <row r="89" spans="1:36" x14ac:dyDescent="0.35">
      <c r="A89" s="455"/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612"/>
      <c r="AA89" s="455"/>
      <c r="AB89" s="455"/>
      <c r="AC89" s="455"/>
      <c r="AD89" s="455"/>
      <c r="AE89" s="455"/>
      <c r="AF89" s="455"/>
      <c r="AG89" s="455"/>
      <c r="AH89" s="455"/>
      <c r="AI89" s="455"/>
      <c r="AJ89" s="455"/>
    </row>
    <row r="90" spans="1:36" x14ac:dyDescent="0.35">
      <c r="A90" s="455"/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612"/>
      <c r="AA90" s="455"/>
      <c r="AB90" s="455"/>
      <c r="AC90" s="455"/>
      <c r="AD90" s="455"/>
      <c r="AE90" s="455"/>
      <c r="AF90" s="455"/>
      <c r="AG90" s="455"/>
      <c r="AH90" s="455"/>
      <c r="AI90" s="455"/>
      <c r="AJ90" s="455"/>
    </row>
    <row r="91" spans="1:36" x14ac:dyDescent="0.3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612"/>
      <c r="AA91" s="455"/>
      <c r="AB91" s="455"/>
      <c r="AC91" s="455"/>
      <c r="AD91" s="455"/>
      <c r="AE91" s="455"/>
      <c r="AF91" s="455"/>
      <c r="AG91" s="455"/>
      <c r="AH91" s="455"/>
      <c r="AI91" s="455"/>
      <c r="AJ91" s="455"/>
    </row>
    <row r="92" spans="1:36" x14ac:dyDescent="0.35">
      <c r="A92" s="455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612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</row>
    <row r="93" spans="1:36" x14ac:dyDescent="0.35">
      <c r="A93" s="455"/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612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</row>
    <row r="94" spans="1:36" x14ac:dyDescent="0.35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612"/>
      <c r="AA94" s="455"/>
      <c r="AB94" s="455"/>
      <c r="AC94" s="455"/>
      <c r="AD94" s="455"/>
      <c r="AE94" s="455"/>
      <c r="AF94" s="455"/>
      <c r="AG94" s="455"/>
      <c r="AH94" s="455"/>
      <c r="AI94" s="455"/>
      <c r="AJ94" s="455"/>
    </row>
    <row r="95" spans="1:36" x14ac:dyDescent="0.35">
      <c r="A95" s="455"/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612"/>
      <c r="AA95" s="455"/>
      <c r="AB95" s="455"/>
      <c r="AC95" s="455"/>
      <c r="AD95" s="455"/>
      <c r="AE95" s="455"/>
      <c r="AF95" s="455"/>
      <c r="AG95" s="455"/>
      <c r="AH95" s="455"/>
      <c r="AI95" s="455"/>
      <c r="AJ95" s="455"/>
    </row>
    <row r="96" spans="1:36" x14ac:dyDescent="0.35">
      <c r="A96" s="455"/>
      <c r="B96" s="595"/>
      <c r="C96" s="595"/>
      <c r="D96" s="455"/>
      <c r="E96" s="595"/>
      <c r="F96" s="455"/>
      <c r="G96" s="455"/>
      <c r="H96" s="595"/>
      <c r="I96" s="455"/>
      <c r="J96" s="455"/>
      <c r="K96" s="455"/>
      <c r="L96" s="455"/>
      <c r="M96" s="455"/>
      <c r="N96" s="455"/>
      <c r="O96" s="455"/>
      <c r="P96" s="455"/>
      <c r="Q96" s="455"/>
      <c r="R96" s="595"/>
      <c r="S96" s="455"/>
      <c r="T96" s="455"/>
      <c r="U96" s="455"/>
      <c r="V96" s="455"/>
      <c r="W96" s="455"/>
      <c r="X96" s="455"/>
      <c r="Y96" s="455"/>
      <c r="Z96" s="612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</row>
    <row r="97" spans="1:36" x14ac:dyDescent="0.35">
      <c r="A97" s="595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595"/>
      <c r="R97" s="455"/>
      <c r="S97" s="455"/>
      <c r="T97" s="455"/>
      <c r="U97" s="455"/>
      <c r="V97" s="455"/>
      <c r="W97" s="455"/>
      <c r="X97" s="455"/>
      <c r="Y97" s="455"/>
      <c r="Z97" s="612"/>
      <c r="AA97" s="455"/>
      <c r="AB97" s="455"/>
      <c r="AC97" s="455"/>
      <c r="AD97" s="455"/>
      <c r="AE97" s="455"/>
      <c r="AF97" s="455"/>
      <c r="AG97" s="455"/>
      <c r="AH97" s="455"/>
      <c r="AI97" s="455"/>
      <c r="AJ97" s="455"/>
    </row>
    <row r="98" spans="1:36" x14ac:dyDescent="0.35">
      <c r="A98" s="455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59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612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</row>
    <row r="99" spans="1:36" x14ac:dyDescent="0.35">
      <c r="A99" s="455"/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59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612"/>
      <c r="AA99" s="455"/>
      <c r="AB99" s="455"/>
      <c r="AC99" s="455"/>
      <c r="AD99" s="455"/>
      <c r="AE99" s="455"/>
      <c r="AF99" s="455"/>
      <c r="AG99" s="455"/>
      <c r="AH99" s="455"/>
      <c r="AI99" s="455"/>
      <c r="AJ99" s="455"/>
    </row>
    <row r="100" spans="1:36" x14ac:dyDescent="0.35">
      <c r="A100" s="455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59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612"/>
      <c r="AA100" s="455"/>
      <c r="AB100" s="455"/>
      <c r="AC100" s="455"/>
      <c r="AD100" s="455"/>
      <c r="AE100" s="455"/>
      <c r="AF100" s="455"/>
      <c r="AG100" s="455"/>
      <c r="AH100" s="455"/>
      <c r="AI100" s="455"/>
      <c r="AJ100" s="455"/>
    </row>
    <row r="101" spans="1:36" x14ac:dyDescent="0.35">
      <c r="A101" s="455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59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612"/>
      <c r="AA101" s="455"/>
      <c r="AB101" s="455"/>
      <c r="AC101" s="455"/>
      <c r="AD101" s="455"/>
      <c r="AE101" s="455"/>
      <c r="AF101" s="455"/>
      <c r="AG101" s="455"/>
      <c r="AH101" s="455"/>
      <c r="AI101" s="455"/>
      <c r="AJ101" s="455"/>
    </row>
    <row r="102" spans="1:36" x14ac:dyDescent="0.35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59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612"/>
      <c r="AA102" s="455"/>
      <c r="AB102" s="455"/>
      <c r="AC102" s="455"/>
      <c r="AD102" s="455"/>
      <c r="AE102" s="455"/>
      <c r="AF102" s="455"/>
      <c r="AG102" s="455"/>
      <c r="AH102" s="455"/>
      <c r="AI102" s="455"/>
      <c r="AJ102" s="455"/>
    </row>
    <row r="103" spans="1:36" x14ac:dyDescent="0.35">
      <c r="A103" s="455"/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59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612"/>
      <c r="AA103" s="455"/>
      <c r="AB103" s="455"/>
      <c r="AC103" s="455"/>
      <c r="AD103" s="455"/>
      <c r="AE103" s="455"/>
      <c r="AF103" s="455"/>
      <c r="AG103" s="455"/>
      <c r="AH103" s="455"/>
      <c r="AI103" s="455"/>
      <c r="AJ103" s="455"/>
    </row>
    <row r="104" spans="1:36" x14ac:dyDescent="0.35">
      <c r="A104" s="455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59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612"/>
      <c r="AA104" s="455"/>
      <c r="AB104" s="455"/>
      <c r="AC104" s="455"/>
      <c r="AD104" s="455"/>
      <c r="AE104" s="455"/>
      <c r="AF104" s="455"/>
      <c r="AG104" s="455"/>
      <c r="AH104" s="455"/>
      <c r="AI104" s="455"/>
      <c r="AJ104" s="455"/>
    </row>
    <row r="105" spans="1:36" x14ac:dyDescent="0.35">
      <c r="A105" s="455"/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59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612"/>
      <c r="AA105" s="455"/>
      <c r="AB105" s="455"/>
      <c r="AC105" s="455"/>
      <c r="AD105" s="455"/>
      <c r="AE105" s="455"/>
      <c r="AF105" s="455"/>
      <c r="AG105" s="455"/>
      <c r="AH105" s="455"/>
      <c r="AI105" s="455"/>
      <c r="AJ105" s="455"/>
    </row>
    <row r="106" spans="1:36" x14ac:dyDescent="0.35">
      <c r="A106" s="455"/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59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612"/>
      <c r="AA106" s="455"/>
      <c r="AB106" s="455"/>
      <c r="AC106" s="455"/>
      <c r="AD106" s="455"/>
      <c r="AE106" s="455"/>
      <c r="AF106" s="455"/>
      <c r="AG106" s="455"/>
      <c r="AH106" s="455"/>
      <c r="AI106" s="455"/>
      <c r="AJ106" s="455"/>
    </row>
    <row r="107" spans="1:36" x14ac:dyDescent="0.35">
      <c r="A107" s="455"/>
      <c r="B107" s="455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59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612"/>
      <c r="AA107" s="455"/>
      <c r="AB107" s="455"/>
      <c r="AC107" s="455"/>
      <c r="AD107" s="455"/>
      <c r="AE107" s="455"/>
      <c r="AF107" s="455"/>
      <c r="AG107" s="455"/>
      <c r="AH107" s="455"/>
      <c r="AI107" s="455"/>
      <c r="AJ107" s="455"/>
    </row>
    <row r="108" spans="1:36" x14ac:dyDescent="0.35">
      <c r="A108" s="455"/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59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612"/>
      <c r="AA108" s="455"/>
      <c r="AB108" s="455"/>
      <c r="AC108" s="455"/>
      <c r="AD108" s="455"/>
      <c r="AE108" s="455"/>
      <c r="AF108" s="455"/>
      <c r="AG108" s="455"/>
      <c r="AH108" s="455"/>
      <c r="AI108" s="455"/>
      <c r="AJ108" s="455"/>
    </row>
    <row r="109" spans="1:36" x14ac:dyDescent="0.35">
      <c r="A109" s="455"/>
      <c r="B109" s="455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59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612"/>
      <c r="AA109" s="455"/>
      <c r="AB109" s="455"/>
      <c r="AC109" s="455"/>
      <c r="AD109" s="455"/>
      <c r="AE109" s="455"/>
      <c r="AF109" s="455"/>
      <c r="AG109" s="455"/>
      <c r="AH109" s="455"/>
      <c r="AI109" s="455"/>
      <c r="AJ109" s="455"/>
    </row>
    <row r="110" spans="1:36" x14ac:dyDescent="0.35">
      <c r="A110" s="455"/>
      <c r="B110" s="455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59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612"/>
      <c r="AA110" s="455"/>
      <c r="AB110" s="455"/>
      <c r="AC110" s="455"/>
      <c r="AD110" s="455"/>
      <c r="AE110" s="455"/>
      <c r="AF110" s="455"/>
      <c r="AG110" s="455"/>
      <c r="AH110" s="455"/>
      <c r="AI110" s="455"/>
      <c r="AJ110" s="455"/>
    </row>
    <row r="111" spans="1:36" x14ac:dyDescent="0.35">
      <c r="A111" s="455"/>
      <c r="B111" s="455"/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59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612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</row>
    <row r="112" spans="1:36" x14ac:dyDescent="0.35">
      <c r="A112" s="455"/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59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612"/>
      <c r="AA112" s="455"/>
      <c r="AB112" s="455"/>
      <c r="AC112" s="455"/>
      <c r="AD112" s="455"/>
      <c r="AE112" s="455"/>
      <c r="AF112" s="455"/>
      <c r="AG112" s="455"/>
      <c r="AH112" s="455"/>
      <c r="AI112" s="455"/>
      <c r="AJ112" s="455"/>
    </row>
    <row r="113" spans="1:36" x14ac:dyDescent="0.35">
      <c r="A113" s="455"/>
      <c r="B113" s="455"/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59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612"/>
      <c r="AA113" s="455"/>
      <c r="AB113" s="455"/>
      <c r="AC113" s="455"/>
      <c r="AD113" s="455"/>
      <c r="AE113" s="455"/>
      <c r="AF113" s="455"/>
      <c r="AG113" s="455"/>
      <c r="AH113" s="455"/>
      <c r="AI113" s="455"/>
      <c r="AJ113" s="455"/>
    </row>
    <row r="114" spans="1:36" x14ac:dyDescent="0.35">
      <c r="A114" s="455"/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59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612"/>
      <c r="AA114" s="455"/>
      <c r="AB114" s="455"/>
      <c r="AC114" s="455"/>
      <c r="AD114" s="455"/>
      <c r="AE114" s="455"/>
      <c r="AF114" s="455"/>
      <c r="AG114" s="455"/>
      <c r="AH114" s="455"/>
      <c r="AI114" s="455"/>
      <c r="AJ114" s="455"/>
    </row>
    <row r="115" spans="1:36" x14ac:dyDescent="0.35">
      <c r="A115" s="455"/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59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612"/>
      <c r="AA115" s="455"/>
      <c r="AB115" s="455"/>
      <c r="AC115" s="455"/>
      <c r="AD115" s="455"/>
      <c r="AE115" s="455"/>
      <c r="AF115" s="455"/>
      <c r="AG115" s="455"/>
      <c r="AH115" s="455"/>
      <c r="AI115" s="455"/>
      <c r="AJ115" s="455"/>
    </row>
    <row r="116" spans="1:36" x14ac:dyDescent="0.35">
      <c r="A116" s="455"/>
      <c r="B116" s="455"/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59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612"/>
      <c r="AA116" s="455"/>
      <c r="AB116" s="455"/>
      <c r="AC116" s="455"/>
      <c r="AD116" s="455"/>
      <c r="AE116" s="455"/>
      <c r="AF116" s="455"/>
      <c r="AG116" s="455"/>
      <c r="AH116" s="455"/>
      <c r="AI116" s="455"/>
      <c r="AJ116" s="455"/>
    </row>
    <row r="117" spans="1:36" x14ac:dyDescent="0.35">
      <c r="A117" s="455"/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59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612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</row>
    <row r="118" spans="1:36" x14ac:dyDescent="0.35">
      <c r="A118" s="455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612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</row>
    <row r="119" spans="1:36" x14ac:dyDescent="0.35">
      <c r="A119" s="455"/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612"/>
      <c r="AA119" s="455"/>
      <c r="AB119" s="455"/>
      <c r="AC119" s="455"/>
      <c r="AD119" s="455"/>
      <c r="AE119" s="455"/>
      <c r="AF119" s="455"/>
      <c r="AG119" s="455"/>
      <c r="AH119" s="455"/>
      <c r="AI119" s="455"/>
      <c r="AJ119" s="455"/>
    </row>
    <row r="120" spans="1:36" x14ac:dyDescent="0.35">
      <c r="A120" s="455"/>
      <c r="B120" s="455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612"/>
      <c r="AA120" s="455"/>
      <c r="AB120" s="455"/>
      <c r="AC120" s="455"/>
      <c r="AD120" s="455"/>
      <c r="AE120" s="455"/>
      <c r="AF120" s="455"/>
      <c r="AG120" s="455"/>
      <c r="AH120" s="455"/>
      <c r="AI120" s="455"/>
      <c r="AJ120" s="455"/>
    </row>
    <row r="121" spans="1:36" x14ac:dyDescent="0.35">
      <c r="A121" s="455"/>
      <c r="B121" s="455"/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W121" s="455"/>
      <c r="X121" s="455"/>
      <c r="Y121" s="455"/>
      <c r="Z121" s="612"/>
      <c r="AA121" s="455"/>
      <c r="AB121" s="455"/>
      <c r="AC121" s="455"/>
      <c r="AD121" s="455"/>
      <c r="AE121" s="455"/>
      <c r="AF121" s="455"/>
      <c r="AG121" s="455"/>
      <c r="AH121" s="455"/>
      <c r="AI121" s="455"/>
      <c r="AJ121" s="45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94</vt:i4>
      </vt:variant>
    </vt:vector>
  </HeadingPairs>
  <TitlesOfParts>
    <vt:vector size="107" baseType="lpstr">
      <vt:lpstr>Knoten</vt:lpstr>
      <vt:lpstr>System</vt:lpstr>
      <vt:lpstr>Normalkraft</vt:lpstr>
      <vt:lpstr>Querkraft</vt:lpstr>
      <vt:lpstr>Momente</vt:lpstr>
      <vt:lpstr>SensA</vt:lpstr>
      <vt:lpstr>L-V</vt:lpstr>
      <vt:lpstr>PlotData</vt:lpstr>
      <vt:lpstr>PlotM</vt:lpstr>
      <vt:lpstr>PlotQ</vt:lpstr>
      <vt:lpstr>PlotN</vt:lpstr>
      <vt:lpstr>PlotS</vt:lpstr>
      <vt:lpstr>SetUp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Kai-Uwe Bletzinger</dc:creator>
  <cp:lastModifiedBy>Kai-Uwe Bletzinger</cp:lastModifiedBy>
  <dcterms:created xsi:type="dcterms:W3CDTF">2020-04-14T00:11:25Z</dcterms:created>
  <dcterms:modified xsi:type="dcterms:W3CDTF">2020-04-14T00:11:29Z</dcterms:modified>
</cp:coreProperties>
</file>