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charts/chart3.xml" ContentType="application/vnd.openxmlformats-officedocument.drawingml.chart+xml"/>
  <Override PartName="/xl/charts/chart4.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C:\Users\kub\Documents\Excel\UserFormZeichnen\Stiff\"/>
    </mc:Choice>
  </mc:AlternateContent>
  <bookViews>
    <workbookView xWindow="1035" yWindow="2745" windowWidth="17670" windowHeight="5715"/>
  </bookViews>
  <sheets>
    <sheet name="Knoten" sheetId="4" r:id="rId1"/>
    <sheet name="System" sheetId="2" r:id="rId2"/>
    <sheet name="Element" sheetId="1" r:id="rId3"/>
    <sheet name="Ksys" sheetId="14" r:id="rId4"/>
    <sheet name="Momente" sheetId="8" r:id="rId5"/>
    <sheet name="Querkräfte" sheetId="16" r:id="rId6"/>
    <sheet name="Normalkräfte" sheetId="19" r:id="rId7"/>
    <sheet name="KnotenData" sheetId="15" r:id="rId8"/>
    <sheet name="EleData" sheetId="13" r:id="rId9"/>
    <sheet name="Symbole" sheetId="12" r:id="rId10"/>
    <sheet name="KLasten" sheetId="20" r:id="rId11"/>
    <sheet name="ELasten" sheetId="17" r:id="rId12"/>
  </sheets>
  <definedNames>
    <definedName name="cos">Element!$D$13</definedName>
    <definedName name="EA">Element!$D$8</definedName>
    <definedName name="EI">Element!$D$7</definedName>
    <definedName name="GE">Element!$D$6</definedName>
    <definedName name="k_e">Element!$C$18:$H$23</definedName>
    <definedName name="k_Global">Element!$C$28:$H$33</definedName>
    <definedName name="L">Element!$D$11</definedName>
    <definedName name="p">Element!$J$18:$J$23</definedName>
    <definedName name="qx">Element!$D$9</definedName>
    <definedName name="qz">Element!$D$10</definedName>
    <definedName name="sin">Element!$D$12</definedName>
    <definedName name="T">Element!$C$55:$H$60</definedName>
  </definedNames>
  <calcPr calcId="152511"/>
</workbook>
</file>

<file path=xl/calcChain.xml><?xml version="1.0" encoding="utf-8"?>
<calcChain xmlns="http://schemas.openxmlformats.org/spreadsheetml/2006/main">
  <c r="C6" i="13" l="1"/>
  <c r="O8" i="4" l="1"/>
  <c r="P8" i="4"/>
  <c r="O9" i="4"/>
  <c r="P9" i="4"/>
  <c r="O10" i="4"/>
  <c r="P10" i="4"/>
  <c r="P11" i="4"/>
  <c r="O12" i="4"/>
  <c r="P12" i="4"/>
  <c r="O13" i="4"/>
  <c r="P13" i="4"/>
  <c r="O14" i="4"/>
  <c r="P14" i="4"/>
  <c r="O15" i="4"/>
  <c r="P15" i="4"/>
  <c r="O16" i="4"/>
  <c r="P16" i="4"/>
  <c r="O17" i="4"/>
  <c r="P17" i="4"/>
  <c r="O18" i="4"/>
  <c r="P18" i="4"/>
  <c r="O19" i="4"/>
  <c r="P19" i="4"/>
  <c r="O20" i="4"/>
  <c r="P20" i="4"/>
  <c r="O21" i="4"/>
  <c r="P21" i="4"/>
  <c r="O22" i="4"/>
  <c r="P22" i="4"/>
  <c r="N8" i="4"/>
  <c r="N9" i="4"/>
  <c r="N10" i="4"/>
  <c r="N11" i="4"/>
  <c r="N12" i="4"/>
  <c r="N13" i="4"/>
  <c r="N14" i="4"/>
  <c r="N15" i="4"/>
  <c r="N16" i="4"/>
  <c r="N17" i="4"/>
  <c r="N18" i="4"/>
  <c r="N19" i="4"/>
  <c r="N20" i="4"/>
  <c r="N21" i="4"/>
  <c r="N22" i="4"/>
  <c r="O11" i="4"/>
  <c r="A53" i="14"/>
  <c r="A51" i="14"/>
  <c r="A52" i="14"/>
  <c r="C23" i="15" l="1"/>
  <c r="D23" i="15"/>
  <c r="C24" i="15"/>
  <c r="D24" i="15"/>
  <c r="D25" i="15" l="1"/>
  <c r="C25" i="15"/>
  <c r="D8" i="17"/>
  <c r="D9" i="17"/>
  <c r="D10" i="17"/>
  <c r="D11" i="17"/>
  <c r="D12" i="17"/>
  <c r="D13" i="17"/>
  <c r="D14" i="17"/>
  <c r="D15" i="17"/>
  <c r="D16" i="17"/>
  <c r="D17" i="17"/>
  <c r="D18" i="17"/>
  <c r="D19" i="17"/>
  <c r="D20" i="17"/>
  <c r="D21" i="17"/>
  <c r="D22" i="17"/>
  <c r="D23" i="17"/>
  <c r="D24"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C20" i="17"/>
  <c r="B21" i="17"/>
  <c r="C21" i="17"/>
  <c r="B22" i="17"/>
  <c r="C22" i="17"/>
  <c r="B23" i="17"/>
  <c r="C23" i="17"/>
  <c r="B24" i="17"/>
  <c r="C24" i="17"/>
  <c r="C5" i="17"/>
  <c r="B5" i="17"/>
  <c r="E8" i="17"/>
  <c r="F8" i="17"/>
  <c r="E9" i="17"/>
  <c r="F9" i="17"/>
  <c r="E10" i="17"/>
  <c r="F10" i="17"/>
  <c r="E11" i="17"/>
  <c r="F11" i="17"/>
  <c r="E12" i="17"/>
  <c r="F12" i="17"/>
  <c r="E13" i="17"/>
  <c r="F13" i="17"/>
  <c r="E14" i="17"/>
  <c r="F14" i="17"/>
  <c r="E15" i="17"/>
  <c r="F15" i="17"/>
  <c r="E16" i="17"/>
  <c r="F16" i="17"/>
  <c r="E17" i="17"/>
  <c r="F17" i="17"/>
  <c r="E18" i="17"/>
  <c r="F18" i="17"/>
  <c r="E19" i="17"/>
  <c r="F19" i="17"/>
  <c r="E20" i="17"/>
  <c r="F20" i="17"/>
  <c r="E21" i="17"/>
  <c r="F21" i="17"/>
  <c r="E22" i="17"/>
  <c r="F22" i="17"/>
  <c r="E23" i="17"/>
  <c r="F23" i="17"/>
  <c r="E24" i="17"/>
  <c r="F24" i="17"/>
  <c r="J48" i="20"/>
  <c r="L48" i="20" s="1"/>
  <c r="F48" i="20"/>
  <c r="D48" i="20"/>
  <c r="H48" i="20" s="1"/>
  <c r="D8" i="15"/>
  <c r="D9" i="15"/>
  <c r="D10" i="15"/>
  <c r="D11" i="15"/>
  <c r="D12" i="15"/>
  <c r="D13" i="15"/>
  <c r="D14" i="15"/>
  <c r="D15" i="15"/>
  <c r="D16" i="15"/>
  <c r="D17" i="15"/>
  <c r="D18" i="15"/>
  <c r="D19" i="15"/>
  <c r="D20" i="15"/>
  <c r="D21" i="15"/>
  <c r="D22" i="15"/>
  <c r="C8" i="15"/>
  <c r="C9" i="15"/>
  <c r="C10" i="15"/>
  <c r="C11" i="15"/>
  <c r="C12" i="15"/>
  <c r="C13" i="15"/>
  <c r="C14" i="15"/>
  <c r="C15" i="15"/>
  <c r="C16" i="15"/>
  <c r="C17" i="15"/>
  <c r="C18" i="15"/>
  <c r="C19" i="15"/>
  <c r="C20" i="15"/>
  <c r="C21" i="15"/>
  <c r="C22" i="15"/>
  <c r="C5" i="20"/>
  <c r="D5" i="20" s="1"/>
  <c r="C4" i="20"/>
  <c r="D4" i="20" s="1"/>
  <c r="G4" i="20" s="1"/>
  <c r="B51" i="20"/>
  <c r="B52" i="20"/>
  <c r="B53" i="20"/>
  <c r="B54" i="20"/>
  <c r="B55" i="20"/>
  <c r="B56" i="20"/>
  <c r="B57" i="20"/>
  <c r="B58" i="20"/>
  <c r="B59" i="20"/>
  <c r="B60" i="20"/>
  <c r="B61" i="20"/>
  <c r="B62" i="20"/>
  <c r="B63" i="20"/>
  <c r="B64" i="20"/>
  <c r="B65" i="20"/>
  <c r="B66" i="20"/>
  <c r="B67" i="20"/>
  <c r="B68" i="20"/>
  <c r="B69" i="20"/>
  <c r="B50" i="20"/>
  <c r="B28" i="20"/>
  <c r="B29" i="20"/>
  <c r="B30" i="20"/>
  <c r="B31" i="20"/>
  <c r="B32" i="20"/>
  <c r="B33" i="20"/>
  <c r="B34" i="20"/>
  <c r="B35" i="20"/>
  <c r="B36" i="20"/>
  <c r="B37" i="20"/>
  <c r="B38" i="20"/>
  <c r="B39" i="20"/>
  <c r="B40" i="20"/>
  <c r="B41" i="20"/>
  <c r="B42" i="20"/>
  <c r="B43" i="20"/>
  <c r="B44" i="20"/>
  <c r="B45" i="20"/>
  <c r="B46" i="20"/>
  <c r="B27" i="20"/>
  <c r="B5" i="20"/>
  <c r="B6" i="20"/>
  <c r="B7" i="20"/>
  <c r="B8" i="20"/>
  <c r="B9" i="20"/>
  <c r="B10" i="20"/>
  <c r="B11" i="20"/>
  <c r="B12" i="20"/>
  <c r="B13" i="20"/>
  <c r="B14" i="20"/>
  <c r="B15" i="20"/>
  <c r="B16" i="20"/>
  <c r="B17" i="20"/>
  <c r="B18" i="20"/>
  <c r="B19" i="20"/>
  <c r="B20" i="20"/>
  <c r="B21" i="20"/>
  <c r="B22" i="20"/>
  <c r="B23" i="20"/>
  <c r="B4" i="20"/>
  <c r="H27" i="20"/>
  <c r="I27" i="20" s="1"/>
  <c r="L27" i="20" s="1"/>
  <c r="N48" i="20" l="1"/>
  <c r="C3" i="15"/>
  <c r="C7" i="15"/>
  <c r="C5" i="15"/>
  <c r="C6" i="15"/>
  <c r="C4" i="15"/>
  <c r="D3" i="15"/>
  <c r="D7" i="15"/>
  <c r="D5" i="15"/>
  <c r="D6" i="15"/>
  <c r="D4" i="15"/>
  <c r="G5" i="20"/>
  <c r="H2" i="15" l="1"/>
  <c r="H68" i="20" s="1"/>
  <c r="L68" i="20" s="1"/>
  <c r="C61" i="20"/>
  <c r="K61" i="20"/>
  <c r="I62" i="20"/>
  <c r="C63" i="20"/>
  <c r="G63" i="20"/>
  <c r="K63" i="20"/>
  <c r="E64" i="20"/>
  <c r="I64" i="20"/>
  <c r="C65" i="20"/>
  <c r="E65" i="20"/>
  <c r="G65" i="20"/>
  <c r="I65" i="20"/>
  <c r="K65" i="20"/>
  <c r="C66" i="20"/>
  <c r="E66" i="20"/>
  <c r="G66" i="20"/>
  <c r="I66" i="20"/>
  <c r="K66" i="20"/>
  <c r="C67" i="20"/>
  <c r="E67" i="20"/>
  <c r="I67" i="20"/>
  <c r="C68" i="20"/>
  <c r="G68" i="20"/>
  <c r="K68" i="20"/>
  <c r="D69" i="20"/>
  <c r="F69" i="20"/>
  <c r="H69" i="20"/>
  <c r="L69" i="20" s="1"/>
  <c r="J69" i="20"/>
  <c r="G67" i="20"/>
  <c r="K67" i="20"/>
  <c r="E68" i="20"/>
  <c r="I68" i="20"/>
  <c r="C69" i="20"/>
  <c r="E69" i="20"/>
  <c r="G69" i="20"/>
  <c r="I69" i="20"/>
  <c r="K69" i="20"/>
  <c r="C33" i="20"/>
  <c r="C35" i="20"/>
  <c r="C37" i="20"/>
  <c r="C39" i="20"/>
  <c r="C41" i="20"/>
  <c r="C43" i="20"/>
  <c r="C45" i="20"/>
  <c r="C9" i="20"/>
  <c r="D9" i="20" s="1"/>
  <c r="C11" i="20"/>
  <c r="D11" i="20" s="1"/>
  <c r="C13" i="20"/>
  <c r="D13" i="20" s="1"/>
  <c r="C15" i="20"/>
  <c r="D15" i="20" s="1"/>
  <c r="C17" i="20"/>
  <c r="D17" i="20" s="1"/>
  <c r="C19" i="20"/>
  <c r="D19" i="20" s="1"/>
  <c r="C21" i="20"/>
  <c r="D21" i="20" s="1"/>
  <c r="C23" i="20"/>
  <c r="D23" i="20" s="1"/>
  <c r="C32" i="20"/>
  <c r="C34" i="20"/>
  <c r="C36" i="20"/>
  <c r="C38" i="20"/>
  <c r="C40" i="20"/>
  <c r="C42" i="20"/>
  <c r="C44" i="20"/>
  <c r="C46" i="20"/>
  <c r="C10" i="20"/>
  <c r="D10" i="20" s="1"/>
  <c r="C12" i="20"/>
  <c r="D12" i="20" s="1"/>
  <c r="C14" i="20"/>
  <c r="D14" i="20" s="1"/>
  <c r="C16" i="20"/>
  <c r="D16" i="20" s="1"/>
  <c r="C18" i="20"/>
  <c r="D18" i="20" s="1"/>
  <c r="C20" i="20"/>
  <c r="D20" i="20" s="1"/>
  <c r="C22" i="20"/>
  <c r="D22" i="20" s="1"/>
  <c r="O69" i="12"/>
  <c r="B69" i="12"/>
  <c r="O68" i="12"/>
  <c r="B68" i="12"/>
  <c r="O67" i="12"/>
  <c r="B67" i="12"/>
  <c r="O66" i="12"/>
  <c r="B66" i="12"/>
  <c r="O65" i="12"/>
  <c r="B65" i="12"/>
  <c r="O64" i="12"/>
  <c r="B64" i="12"/>
  <c r="O63" i="12"/>
  <c r="B63" i="12"/>
  <c r="O62" i="12"/>
  <c r="B62" i="12"/>
  <c r="O61" i="12"/>
  <c r="B61" i="12"/>
  <c r="O60" i="12"/>
  <c r="B60" i="12"/>
  <c r="O59" i="12"/>
  <c r="B59" i="12"/>
  <c r="O58" i="12"/>
  <c r="B58" i="12"/>
  <c r="O57" i="12"/>
  <c r="B57" i="12"/>
  <c r="O56" i="12"/>
  <c r="B56" i="12"/>
  <c r="O55" i="12"/>
  <c r="B55" i="12"/>
  <c r="O54" i="12"/>
  <c r="B54" i="12"/>
  <c r="O53" i="12"/>
  <c r="B53" i="12"/>
  <c r="O52" i="12"/>
  <c r="B52" i="12"/>
  <c r="O51" i="12"/>
  <c r="B51" i="12"/>
  <c r="O50" i="12"/>
  <c r="B50" i="12"/>
  <c r="O46" i="12"/>
  <c r="B46" i="12"/>
  <c r="O45" i="12"/>
  <c r="B45" i="12"/>
  <c r="O44" i="12"/>
  <c r="B44" i="12"/>
  <c r="O43" i="12"/>
  <c r="B43" i="12"/>
  <c r="O42" i="12"/>
  <c r="B42" i="12"/>
  <c r="O41" i="12"/>
  <c r="B41" i="12"/>
  <c r="O40" i="12"/>
  <c r="B40" i="12"/>
  <c r="O39" i="12"/>
  <c r="B39" i="12"/>
  <c r="O38" i="12"/>
  <c r="B38" i="12"/>
  <c r="O37" i="12"/>
  <c r="B37" i="12"/>
  <c r="O36" i="12"/>
  <c r="B36" i="12"/>
  <c r="O35" i="12"/>
  <c r="B35" i="12"/>
  <c r="O34" i="12"/>
  <c r="B34" i="12"/>
  <c r="O33" i="12"/>
  <c r="B33" i="12"/>
  <c r="O32" i="12"/>
  <c r="B32" i="12"/>
  <c r="O31" i="12"/>
  <c r="C31" i="12"/>
  <c r="F31" i="12" s="1"/>
  <c r="B31" i="12"/>
  <c r="O30" i="12"/>
  <c r="C30" i="12"/>
  <c r="F30" i="12" s="1"/>
  <c r="B30" i="12"/>
  <c r="O29" i="12"/>
  <c r="C29" i="12"/>
  <c r="F29" i="12" s="1"/>
  <c r="B29" i="12"/>
  <c r="O28" i="12"/>
  <c r="C28" i="12"/>
  <c r="F28" i="12" s="1"/>
  <c r="B28" i="12"/>
  <c r="O27" i="12"/>
  <c r="G27" i="12"/>
  <c r="J27" i="12" s="1"/>
  <c r="C27" i="12"/>
  <c r="F27" i="12" s="1"/>
  <c r="B27" i="12"/>
  <c r="O23" i="12"/>
  <c r="B23" i="12"/>
  <c r="O22" i="12"/>
  <c r="B22" i="12"/>
  <c r="O21" i="12"/>
  <c r="B21" i="12"/>
  <c r="O20" i="12"/>
  <c r="B20" i="12"/>
  <c r="O19" i="12"/>
  <c r="B19" i="12"/>
  <c r="O18" i="12"/>
  <c r="B18" i="12"/>
  <c r="O17" i="12"/>
  <c r="B17" i="12"/>
  <c r="O16" i="12"/>
  <c r="B16" i="12"/>
  <c r="O15" i="12"/>
  <c r="B15" i="12"/>
  <c r="O14" i="12"/>
  <c r="B14" i="12"/>
  <c r="O13" i="12"/>
  <c r="B13" i="12"/>
  <c r="O12" i="12"/>
  <c r="B12" i="12"/>
  <c r="O11" i="12"/>
  <c r="B11" i="12"/>
  <c r="O10" i="12"/>
  <c r="B10" i="12"/>
  <c r="O9" i="12"/>
  <c r="B9" i="12"/>
  <c r="O8" i="12"/>
  <c r="C8" i="12"/>
  <c r="F8" i="12" s="1"/>
  <c r="B8" i="12"/>
  <c r="O7" i="12"/>
  <c r="C7" i="12"/>
  <c r="F7" i="12" s="1"/>
  <c r="B7" i="12"/>
  <c r="O6" i="12"/>
  <c r="C6" i="12"/>
  <c r="F6" i="12" s="1"/>
  <c r="B6" i="12"/>
  <c r="O5" i="12"/>
  <c r="C5" i="12"/>
  <c r="F5" i="12" s="1"/>
  <c r="B5" i="12"/>
  <c r="O4" i="12"/>
  <c r="G4" i="12"/>
  <c r="J4" i="12" s="1"/>
  <c r="C4" i="12"/>
  <c r="F4" i="12" s="1"/>
  <c r="B4" i="12"/>
  <c r="EO124" i="13"/>
  <c r="EN124" i="13"/>
  <c r="EM124" i="13"/>
  <c r="EL124" i="13"/>
  <c r="EK124" i="13"/>
  <c r="EJ124" i="13"/>
  <c r="EI124" i="13"/>
  <c r="EH124" i="13"/>
  <c r="EG124" i="13"/>
  <c r="EF124" i="13"/>
  <c r="EE124" i="13"/>
  <c r="ED124" i="13"/>
  <c r="EC124" i="13"/>
  <c r="EB124" i="13"/>
  <c r="EA124" i="13"/>
  <c r="DZ124" i="13"/>
  <c r="DY124" i="13"/>
  <c r="DX124" i="13"/>
  <c r="DV124" i="13"/>
  <c r="DU124" i="13"/>
  <c r="DT124" i="13"/>
  <c r="DS124" i="13"/>
  <c r="DR124" i="13"/>
  <c r="DQ124" i="13"/>
  <c r="DP124" i="13"/>
  <c r="DO124" i="13"/>
  <c r="DN124" i="13"/>
  <c r="DM124" i="13"/>
  <c r="DL124" i="13"/>
  <c r="DK124" i="13"/>
  <c r="DJ124" i="13"/>
  <c r="DI124" i="13"/>
  <c r="DH124" i="13"/>
  <c r="DG124" i="13"/>
  <c r="DF124" i="13"/>
  <c r="DE124" i="13"/>
  <c r="DC124" i="13"/>
  <c r="DB124" i="13"/>
  <c r="DA124" i="13"/>
  <c r="CZ124" i="13"/>
  <c r="CY124" i="13"/>
  <c r="CX124" i="13"/>
  <c r="CW124" i="13"/>
  <c r="CV124" i="13"/>
  <c r="CU124" i="13"/>
  <c r="CT124" i="13"/>
  <c r="CS124" i="13"/>
  <c r="CR124" i="13"/>
  <c r="CQ124" i="13"/>
  <c r="CP124" i="13"/>
  <c r="CO124" i="13"/>
  <c r="CN124" i="13"/>
  <c r="CM124" i="13"/>
  <c r="H45" i="15"/>
  <c r="H35" i="15"/>
  <c r="H25" i="15"/>
  <c r="E22" i="15"/>
  <c r="E21" i="15"/>
  <c r="E20" i="15"/>
  <c r="E19" i="15"/>
  <c r="E18" i="15"/>
  <c r="E17" i="15"/>
  <c r="E16" i="15"/>
  <c r="E15" i="15"/>
  <c r="E14" i="15"/>
  <c r="E13" i="15"/>
  <c r="E12" i="15"/>
  <c r="E11" i="15"/>
  <c r="E10" i="15"/>
  <c r="E9" i="15"/>
  <c r="E8" i="15"/>
  <c r="H3" i="15"/>
  <c r="G30" i="12" s="1"/>
  <c r="J30" i="12" s="1"/>
  <c r="C98" i="19" a="1"/>
  <c r="AC98" i="19" s="1"/>
  <c r="B98" i="19"/>
  <c r="A98" i="19"/>
  <c r="C97" i="19" a="1"/>
  <c r="AC97" i="19" s="1"/>
  <c r="B97" i="19"/>
  <c r="A97" i="19"/>
  <c r="C96" i="19" a="1"/>
  <c r="AC96" i="19" s="1"/>
  <c r="B96" i="19"/>
  <c r="A96" i="19"/>
  <c r="C95" i="19" a="1"/>
  <c r="AC95" i="19" s="1"/>
  <c r="B95" i="19"/>
  <c r="A95" i="19"/>
  <c r="C94" i="19" a="1"/>
  <c r="AC94" i="19" s="1"/>
  <c r="B94" i="19"/>
  <c r="A94" i="19"/>
  <c r="C93" i="19" a="1"/>
  <c r="AD93" i="19" s="1"/>
  <c r="B93" i="19"/>
  <c r="A93" i="19"/>
  <c r="C92" i="19" a="1"/>
  <c r="AC92" i="19" s="1"/>
  <c r="B92" i="19"/>
  <c r="A92" i="19"/>
  <c r="C91" i="19" a="1"/>
  <c r="AD91" i="19" s="1"/>
  <c r="B91" i="19"/>
  <c r="A91" i="19"/>
  <c r="C90" i="19" a="1"/>
  <c r="AC90" i="19" s="1"/>
  <c r="B90" i="19"/>
  <c r="A90" i="19"/>
  <c r="C89" i="19" a="1"/>
  <c r="AD89" i="19" s="1"/>
  <c r="B89" i="19"/>
  <c r="A89" i="19"/>
  <c r="C88" i="19" a="1"/>
  <c r="AC88" i="19" s="1"/>
  <c r="B88" i="19"/>
  <c r="A88" i="19"/>
  <c r="C87" i="19" a="1"/>
  <c r="AD87" i="19" s="1"/>
  <c r="B87" i="19"/>
  <c r="A87" i="19"/>
  <c r="C86" i="19" a="1"/>
  <c r="AC86" i="19" s="1"/>
  <c r="B86" i="19"/>
  <c r="A86" i="19"/>
  <c r="C85" i="19" a="1"/>
  <c r="AD85" i="19" s="1"/>
  <c r="B85" i="19"/>
  <c r="A85" i="19"/>
  <c r="C84" i="19" a="1"/>
  <c r="AC84" i="19" s="1"/>
  <c r="B84" i="19"/>
  <c r="A84" i="19"/>
  <c r="C83" i="19" a="1"/>
  <c r="AD83" i="19" s="1"/>
  <c r="B83" i="19"/>
  <c r="A83" i="19"/>
  <c r="C82" i="19" a="1"/>
  <c r="AC82" i="19" s="1"/>
  <c r="B82" i="19"/>
  <c r="A82" i="19"/>
  <c r="C81" i="19" a="1"/>
  <c r="AD81" i="19" s="1"/>
  <c r="B81" i="19"/>
  <c r="A81" i="19"/>
  <c r="C80" i="19" a="1"/>
  <c r="AC80" i="19" s="1"/>
  <c r="B80" i="19"/>
  <c r="A80" i="19"/>
  <c r="C79" i="19" a="1"/>
  <c r="AD79" i="19" s="1"/>
  <c r="B79" i="19"/>
  <c r="A79" i="19"/>
  <c r="C98" i="16" a="1"/>
  <c r="AC98" i="16" s="1"/>
  <c r="B98" i="16"/>
  <c r="A98" i="16"/>
  <c r="C97" i="16" a="1"/>
  <c r="AC97" i="16" s="1"/>
  <c r="B97" i="16"/>
  <c r="A97" i="16"/>
  <c r="C96" i="16" a="1"/>
  <c r="W96" i="16" s="1"/>
  <c r="B96" i="16"/>
  <c r="A96" i="16"/>
  <c r="C95" i="16" a="1"/>
  <c r="AC95" i="16" s="1"/>
  <c r="B95" i="16"/>
  <c r="A95" i="16"/>
  <c r="C94" i="16" a="1"/>
  <c r="AC94" i="16" s="1"/>
  <c r="B94" i="16"/>
  <c r="A94" i="16"/>
  <c r="C93" i="16" a="1"/>
  <c r="AC93" i="16" s="1"/>
  <c r="B93" i="16"/>
  <c r="A93" i="16"/>
  <c r="C92" i="16" a="1"/>
  <c r="AC92" i="16" s="1"/>
  <c r="B92" i="16"/>
  <c r="A92" i="16"/>
  <c r="C91" i="16" a="1"/>
  <c r="AC91" i="16" s="1"/>
  <c r="B91" i="16"/>
  <c r="A91" i="16"/>
  <c r="C90" i="16" a="1"/>
  <c r="AC90" i="16" s="1"/>
  <c r="B90" i="16"/>
  <c r="A90" i="16"/>
  <c r="C89" i="16" a="1"/>
  <c r="AC89" i="16" s="1"/>
  <c r="B89" i="16"/>
  <c r="A89" i="16"/>
  <c r="C88" i="16" a="1"/>
  <c r="AC88" i="16" s="1"/>
  <c r="B88" i="16"/>
  <c r="A88" i="16"/>
  <c r="C87" i="16" a="1"/>
  <c r="AC87" i="16" s="1"/>
  <c r="B87" i="16"/>
  <c r="A87" i="16"/>
  <c r="C86" i="16" a="1"/>
  <c r="AC86" i="16" s="1"/>
  <c r="B86" i="16"/>
  <c r="A86" i="16"/>
  <c r="C85" i="16" a="1"/>
  <c r="AC85" i="16" s="1"/>
  <c r="B85" i="16"/>
  <c r="A85" i="16"/>
  <c r="C84" i="16" a="1"/>
  <c r="AC84" i="16" s="1"/>
  <c r="B84" i="16"/>
  <c r="A84" i="16"/>
  <c r="C83" i="16" a="1"/>
  <c r="AC83" i="16" s="1"/>
  <c r="B83" i="16"/>
  <c r="A83" i="16"/>
  <c r="C82" i="16" a="1"/>
  <c r="AC82" i="16" s="1"/>
  <c r="B82" i="16"/>
  <c r="A82" i="16"/>
  <c r="C81" i="16" a="1"/>
  <c r="AC81" i="16" s="1"/>
  <c r="B81" i="16"/>
  <c r="A81" i="16"/>
  <c r="C80" i="16" a="1"/>
  <c r="AC80" i="16" s="1"/>
  <c r="B80" i="16"/>
  <c r="A80" i="16"/>
  <c r="C79" i="16" a="1"/>
  <c r="AC79" i="16" s="1"/>
  <c r="B79" i="16"/>
  <c r="A79" i="16"/>
  <c r="C98" i="8" a="1"/>
  <c r="AC98" i="8" s="1"/>
  <c r="B98" i="8"/>
  <c r="A98" i="8"/>
  <c r="C97" i="8" a="1"/>
  <c r="AC97" i="8" s="1"/>
  <c r="B97" i="8"/>
  <c r="A97" i="8"/>
  <c r="C96" i="8" a="1"/>
  <c r="AC96" i="8" s="1"/>
  <c r="B96" i="8"/>
  <c r="A96" i="8"/>
  <c r="C95" i="8" a="1"/>
  <c r="Y95" i="8" s="1"/>
  <c r="B95" i="8"/>
  <c r="A95" i="8"/>
  <c r="C94" i="8" a="1"/>
  <c r="AC94" i="8" s="1"/>
  <c r="B94" i="8"/>
  <c r="A94" i="8"/>
  <c r="C93" i="8" a="1"/>
  <c r="Y93" i="8" s="1"/>
  <c r="B93" i="8"/>
  <c r="A93" i="8"/>
  <c r="C92" i="8" a="1"/>
  <c r="AB92" i="8" s="1"/>
  <c r="B92" i="8"/>
  <c r="A92" i="8"/>
  <c r="C91" i="8" a="1"/>
  <c r="AC91" i="8" s="1"/>
  <c r="B91" i="8"/>
  <c r="A91" i="8"/>
  <c r="C90" i="8" a="1"/>
  <c r="AC90" i="8" s="1"/>
  <c r="B90" i="8"/>
  <c r="A90" i="8"/>
  <c r="C89" i="8" a="1"/>
  <c r="AD89" i="8" s="1"/>
  <c r="B89" i="8"/>
  <c r="A89" i="8"/>
  <c r="C88" i="8" a="1"/>
  <c r="AC88" i="8" s="1"/>
  <c r="B88" i="8"/>
  <c r="A88" i="8"/>
  <c r="C87" i="8" a="1"/>
  <c r="AC87" i="8" s="1"/>
  <c r="B87" i="8"/>
  <c r="A87" i="8"/>
  <c r="C86" i="8" a="1"/>
  <c r="AC86" i="8" s="1"/>
  <c r="B86" i="8"/>
  <c r="A86" i="8"/>
  <c r="C85" i="8" a="1"/>
  <c r="Z85" i="8" s="1"/>
  <c r="B85" i="8"/>
  <c r="A85" i="8"/>
  <c r="C84" i="8" a="1"/>
  <c r="AC84" i="8" s="1"/>
  <c r="B84" i="8"/>
  <c r="A84" i="8"/>
  <c r="C83" i="8" a="1"/>
  <c r="AC83" i="8" s="1"/>
  <c r="B83" i="8"/>
  <c r="A83" i="8"/>
  <c r="C82" i="8" a="1"/>
  <c r="AC82" i="8" s="1"/>
  <c r="B82" i="8"/>
  <c r="A82" i="8"/>
  <c r="C81" i="8" a="1"/>
  <c r="AC81" i="8" s="1"/>
  <c r="B81" i="8"/>
  <c r="A81" i="8"/>
  <c r="C80" i="8" a="1"/>
  <c r="AC80" i="8" s="1"/>
  <c r="B80" i="8"/>
  <c r="A80" i="8"/>
  <c r="C79" i="8" a="1"/>
  <c r="AC79" i="8" s="1"/>
  <c r="B79" i="8"/>
  <c r="A79" i="8"/>
  <c r="E51" i="14"/>
  <c r="F23" i="1"/>
  <c r="N24" i="2"/>
  <c r="N23" i="2"/>
  <c r="N22" i="2"/>
  <c r="AD21" i="2"/>
  <c r="AC21" i="2"/>
  <c r="AB21" i="2"/>
  <c r="AA21" i="2"/>
  <c r="Z21" i="2"/>
  <c r="Y21" i="2"/>
  <c r="X21" i="2"/>
  <c r="W21" i="2"/>
  <c r="V21" i="2"/>
  <c r="U21" i="2"/>
  <c r="T21" i="2"/>
  <c r="S21" i="2"/>
  <c r="O21" i="2"/>
  <c r="R21" i="2" s="1"/>
  <c r="N21" i="2"/>
  <c r="M21" i="2"/>
  <c r="L21" i="2"/>
  <c r="K21" i="2"/>
  <c r="AD20" i="2"/>
  <c r="AC20" i="2"/>
  <c r="AB20" i="2"/>
  <c r="AA20" i="2"/>
  <c r="Z20" i="2"/>
  <c r="Y20" i="2"/>
  <c r="X20" i="2"/>
  <c r="W20" i="2"/>
  <c r="V20" i="2"/>
  <c r="U20" i="2"/>
  <c r="T20" i="2"/>
  <c r="S20" i="2"/>
  <c r="O20" i="2"/>
  <c r="R20" i="2" s="1"/>
  <c r="N20" i="2"/>
  <c r="M20" i="2"/>
  <c r="L20" i="2"/>
  <c r="K20" i="2"/>
  <c r="AD19" i="2"/>
  <c r="AC19" i="2"/>
  <c r="AB19" i="2"/>
  <c r="AA19" i="2"/>
  <c r="Z19" i="2"/>
  <c r="Y19" i="2"/>
  <c r="X19" i="2"/>
  <c r="W19" i="2"/>
  <c r="V19" i="2"/>
  <c r="U19" i="2"/>
  <c r="T19" i="2"/>
  <c r="S19" i="2"/>
  <c r="O19" i="2"/>
  <c r="R19" i="2" s="1"/>
  <c r="N19" i="2"/>
  <c r="M19" i="2"/>
  <c r="L19" i="2"/>
  <c r="K19" i="2"/>
  <c r="AD18" i="2"/>
  <c r="AC18" i="2"/>
  <c r="AB18" i="2"/>
  <c r="AA18" i="2"/>
  <c r="Z18" i="2"/>
  <c r="Y18" i="2"/>
  <c r="X18" i="2"/>
  <c r="W18" i="2"/>
  <c r="V18" i="2"/>
  <c r="U18" i="2"/>
  <c r="T18" i="2"/>
  <c r="S18" i="2"/>
  <c r="O18" i="2"/>
  <c r="R18" i="2" s="1"/>
  <c r="N18" i="2"/>
  <c r="M18" i="2"/>
  <c r="L18" i="2"/>
  <c r="K18" i="2"/>
  <c r="AD17" i="2"/>
  <c r="AC17" i="2"/>
  <c r="AB17" i="2"/>
  <c r="AA17" i="2"/>
  <c r="Z17" i="2"/>
  <c r="Y17" i="2"/>
  <c r="X17" i="2"/>
  <c r="W17" i="2"/>
  <c r="V17" i="2"/>
  <c r="U17" i="2"/>
  <c r="T17" i="2"/>
  <c r="S17" i="2"/>
  <c r="O17" i="2"/>
  <c r="R17" i="2" s="1"/>
  <c r="N17" i="2"/>
  <c r="M17" i="2"/>
  <c r="L17" i="2"/>
  <c r="K17" i="2"/>
  <c r="AD16" i="2"/>
  <c r="AC16" i="2"/>
  <c r="AB16" i="2"/>
  <c r="AA16" i="2"/>
  <c r="Z16" i="2"/>
  <c r="Y16" i="2"/>
  <c r="X16" i="2"/>
  <c r="W16" i="2"/>
  <c r="V16" i="2"/>
  <c r="U16" i="2"/>
  <c r="T16" i="2"/>
  <c r="S16" i="2"/>
  <c r="O16" i="2"/>
  <c r="R16" i="2" s="1"/>
  <c r="N16" i="2"/>
  <c r="M16" i="2"/>
  <c r="L16" i="2"/>
  <c r="K16" i="2"/>
  <c r="AD15" i="2"/>
  <c r="AC15" i="2"/>
  <c r="AB15" i="2"/>
  <c r="AA15" i="2"/>
  <c r="Z15" i="2"/>
  <c r="Y15" i="2"/>
  <c r="X15" i="2"/>
  <c r="W15" i="2"/>
  <c r="V15" i="2"/>
  <c r="U15" i="2"/>
  <c r="T15" i="2"/>
  <c r="S15" i="2"/>
  <c r="O15" i="2"/>
  <c r="R15" i="2" s="1"/>
  <c r="N15" i="2"/>
  <c r="M15" i="2"/>
  <c r="L15" i="2"/>
  <c r="K15" i="2"/>
  <c r="AD14" i="2"/>
  <c r="AC14" i="2"/>
  <c r="AB14" i="2"/>
  <c r="AA14" i="2"/>
  <c r="Z14" i="2"/>
  <c r="Y14" i="2"/>
  <c r="X14" i="2"/>
  <c r="W14" i="2"/>
  <c r="V14" i="2"/>
  <c r="U14" i="2"/>
  <c r="T14" i="2"/>
  <c r="S14" i="2"/>
  <c r="O14" i="2"/>
  <c r="R14" i="2" s="1"/>
  <c r="N14" i="2"/>
  <c r="M14" i="2"/>
  <c r="L14" i="2"/>
  <c r="K14" i="2"/>
  <c r="AD13" i="2"/>
  <c r="AC13" i="2"/>
  <c r="AB13" i="2"/>
  <c r="AA13" i="2"/>
  <c r="Z13" i="2"/>
  <c r="Y13" i="2"/>
  <c r="X13" i="2"/>
  <c r="W13" i="2"/>
  <c r="V13" i="2"/>
  <c r="U13" i="2"/>
  <c r="T13" i="2"/>
  <c r="S13" i="2"/>
  <c r="O13" i="2"/>
  <c r="R13" i="2" s="1"/>
  <c r="N13" i="2"/>
  <c r="M13" i="2"/>
  <c r="L13" i="2"/>
  <c r="K13" i="2"/>
  <c r="AD12" i="2"/>
  <c r="AC12" i="2"/>
  <c r="AB12" i="2"/>
  <c r="AA12" i="2"/>
  <c r="Z12" i="2"/>
  <c r="Y12" i="2"/>
  <c r="X12" i="2"/>
  <c r="W12" i="2"/>
  <c r="V12" i="2"/>
  <c r="U12" i="2"/>
  <c r="T12" i="2"/>
  <c r="S12" i="2"/>
  <c r="O12" i="2"/>
  <c r="R12" i="2" s="1"/>
  <c r="N12" i="2"/>
  <c r="M12" i="2"/>
  <c r="L12" i="2"/>
  <c r="K12" i="2"/>
  <c r="AD11" i="2"/>
  <c r="AC11" i="2"/>
  <c r="AB11" i="2"/>
  <c r="AA11" i="2"/>
  <c r="Z11" i="2"/>
  <c r="Y11" i="2"/>
  <c r="X11" i="2"/>
  <c r="W11" i="2"/>
  <c r="V11" i="2"/>
  <c r="U11" i="2"/>
  <c r="T11" i="2"/>
  <c r="S11" i="2"/>
  <c r="O11" i="2"/>
  <c r="R11" i="2" s="1"/>
  <c r="N11" i="2"/>
  <c r="M11" i="2"/>
  <c r="L11" i="2"/>
  <c r="K11" i="2"/>
  <c r="AD10" i="2"/>
  <c r="AC10" i="2"/>
  <c r="AB10" i="2"/>
  <c r="AA10" i="2"/>
  <c r="Z10" i="2"/>
  <c r="Y10" i="2"/>
  <c r="X10" i="2"/>
  <c r="W10" i="2"/>
  <c r="V10" i="2"/>
  <c r="U10" i="2"/>
  <c r="T10" i="2"/>
  <c r="S10" i="2"/>
  <c r="O10" i="2"/>
  <c r="R10" i="2" s="1"/>
  <c r="N10" i="2"/>
  <c r="M10" i="2"/>
  <c r="L10" i="2"/>
  <c r="K10" i="2"/>
  <c r="AD9" i="2"/>
  <c r="AC9" i="2"/>
  <c r="AB9" i="2"/>
  <c r="AA9" i="2"/>
  <c r="Z9" i="2"/>
  <c r="Y9" i="2"/>
  <c r="X9" i="2"/>
  <c r="W9" i="2"/>
  <c r="V9" i="2"/>
  <c r="U9" i="2"/>
  <c r="T9" i="2"/>
  <c r="S9" i="2"/>
  <c r="O9" i="2"/>
  <c r="R9" i="2" s="1"/>
  <c r="N9" i="2"/>
  <c r="M9" i="2"/>
  <c r="L9" i="2"/>
  <c r="K9" i="2"/>
  <c r="AD8" i="2"/>
  <c r="AC8" i="2"/>
  <c r="AB8" i="2"/>
  <c r="AA8" i="2"/>
  <c r="Z8" i="2"/>
  <c r="Y8" i="2"/>
  <c r="X8" i="2"/>
  <c r="W8" i="2"/>
  <c r="V8" i="2"/>
  <c r="U8" i="2"/>
  <c r="T8" i="2"/>
  <c r="S8" i="2"/>
  <c r="O8" i="2"/>
  <c r="R8" i="2" s="1"/>
  <c r="N8" i="2"/>
  <c r="M8" i="2"/>
  <c r="L8" i="2"/>
  <c r="K8" i="2"/>
  <c r="AD7" i="2"/>
  <c r="AC7" i="2"/>
  <c r="AB7" i="2"/>
  <c r="AA7" i="2"/>
  <c r="Z7" i="2"/>
  <c r="Y7" i="2"/>
  <c r="X7" i="2"/>
  <c r="W7" i="2"/>
  <c r="V7" i="2"/>
  <c r="U7" i="2"/>
  <c r="T7" i="2"/>
  <c r="S7" i="2"/>
  <c r="O7" i="2"/>
  <c r="R7" i="2" s="1"/>
  <c r="N7" i="2"/>
  <c r="M7" i="2"/>
  <c r="L7" i="2"/>
  <c r="K7" i="2"/>
  <c r="AD6" i="2"/>
  <c r="AC6" i="2"/>
  <c r="AB6" i="2"/>
  <c r="AA6" i="2"/>
  <c r="Z6" i="2"/>
  <c r="Y6" i="2"/>
  <c r="X6" i="2"/>
  <c r="W6" i="2"/>
  <c r="V6" i="2"/>
  <c r="U6" i="2"/>
  <c r="T6" i="2"/>
  <c r="S6" i="2"/>
  <c r="O6" i="2"/>
  <c r="R6" i="2" s="1"/>
  <c r="N6" i="2"/>
  <c r="M6" i="2"/>
  <c r="L6" i="2"/>
  <c r="K6" i="2"/>
  <c r="AD5" i="2"/>
  <c r="AC5" i="2"/>
  <c r="AB5" i="2"/>
  <c r="AA5" i="2"/>
  <c r="Z5" i="2"/>
  <c r="Y5" i="2"/>
  <c r="X5" i="2"/>
  <c r="W5" i="2"/>
  <c r="V5" i="2"/>
  <c r="U5" i="2"/>
  <c r="T5" i="2"/>
  <c r="S5" i="2"/>
  <c r="O5" i="2"/>
  <c r="R5" i="2" s="1"/>
  <c r="N5" i="2"/>
  <c r="M5" i="2"/>
  <c r="L5" i="2"/>
  <c r="K5" i="2"/>
  <c r="I59" i="20" l="1"/>
  <c r="I56" i="20"/>
  <c r="K64" i="20"/>
  <c r="G64" i="20"/>
  <c r="C64" i="20"/>
  <c r="I63" i="20"/>
  <c r="E63" i="20"/>
  <c r="K62" i="20"/>
  <c r="E62" i="20"/>
  <c r="G61" i="20"/>
  <c r="G60" i="20"/>
  <c r="E58" i="20"/>
  <c r="E54" i="20"/>
  <c r="G6" i="12"/>
  <c r="J6" i="12" s="1"/>
  <c r="G7" i="12"/>
  <c r="J7" i="12" s="1"/>
  <c r="G29" i="12"/>
  <c r="J29" i="12" s="1"/>
  <c r="G62" i="20"/>
  <c r="C62" i="20"/>
  <c r="I61" i="20"/>
  <c r="E61" i="20"/>
  <c r="K60" i="20"/>
  <c r="C60" i="20"/>
  <c r="C59" i="20"/>
  <c r="G57" i="20"/>
  <c r="K55" i="20"/>
  <c r="H31" i="20"/>
  <c r="I31" i="20" s="1"/>
  <c r="L31" i="20" s="1"/>
  <c r="H30" i="20"/>
  <c r="I30" i="20" s="1"/>
  <c r="L30" i="20" s="1"/>
  <c r="H29" i="20"/>
  <c r="I29" i="20" s="1"/>
  <c r="L29" i="20" s="1"/>
  <c r="M11" i="17"/>
  <c r="C6" i="20"/>
  <c r="D6" i="20" s="1"/>
  <c r="G6" i="20" s="1"/>
  <c r="C7" i="20"/>
  <c r="D7" i="20" s="1"/>
  <c r="G7" i="20" s="1"/>
  <c r="H66" i="20"/>
  <c r="L66" i="20" s="1"/>
  <c r="I60" i="20"/>
  <c r="E60" i="20"/>
  <c r="K59" i="20"/>
  <c r="G59" i="20"/>
  <c r="I58" i="20"/>
  <c r="K57" i="20"/>
  <c r="C57" i="20"/>
  <c r="E56" i="20"/>
  <c r="C55" i="20"/>
  <c r="G53" i="20"/>
  <c r="H67" i="20"/>
  <c r="L67" i="20" s="1"/>
  <c r="J64" i="20"/>
  <c r="J60" i="20"/>
  <c r="E56" i="14"/>
  <c r="E55" i="14"/>
  <c r="E54" i="14"/>
  <c r="E59" i="20"/>
  <c r="K58" i="20"/>
  <c r="G58" i="20"/>
  <c r="C58" i="20"/>
  <c r="I57" i="20"/>
  <c r="E57" i="20"/>
  <c r="K56" i="20"/>
  <c r="G56" i="20"/>
  <c r="C56" i="20"/>
  <c r="G55" i="20"/>
  <c r="I54" i="20"/>
  <c r="K53" i="20"/>
  <c r="C53" i="20"/>
  <c r="D68" i="20"/>
  <c r="D67" i="20"/>
  <c r="D66" i="20"/>
  <c r="J62" i="20"/>
  <c r="J56" i="20"/>
  <c r="I55" i="20"/>
  <c r="E55" i="20"/>
  <c r="K54" i="20"/>
  <c r="G54" i="20"/>
  <c r="C54" i="20"/>
  <c r="I53" i="20"/>
  <c r="E53" i="20"/>
  <c r="J68" i="20"/>
  <c r="F68" i="20"/>
  <c r="J67" i="20"/>
  <c r="F67" i="20"/>
  <c r="J66" i="20"/>
  <c r="F66" i="20"/>
  <c r="H65" i="20"/>
  <c r="L65" i="20" s="1"/>
  <c r="J63" i="20"/>
  <c r="J61" i="20"/>
  <c r="J58" i="20"/>
  <c r="J54" i="20"/>
  <c r="J65" i="20"/>
  <c r="F65" i="20"/>
  <c r="F64" i="20"/>
  <c r="F63" i="20"/>
  <c r="F62" i="20"/>
  <c r="F61" i="20"/>
  <c r="J59" i="20"/>
  <c r="J57" i="20"/>
  <c r="J55" i="20"/>
  <c r="N24" i="17"/>
  <c r="D65" i="20"/>
  <c r="H64" i="20"/>
  <c r="L64" i="20" s="1"/>
  <c r="D64" i="20"/>
  <c r="H63" i="20"/>
  <c r="L63" i="20" s="1"/>
  <c r="D63" i="20"/>
  <c r="H62" i="20"/>
  <c r="L62" i="20" s="1"/>
  <c r="D62" i="20"/>
  <c r="H61" i="20"/>
  <c r="L61" i="20" s="1"/>
  <c r="D61" i="20"/>
  <c r="F60" i="20"/>
  <c r="F59" i="20"/>
  <c r="F58" i="20"/>
  <c r="F57" i="20"/>
  <c r="F56" i="20"/>
  <c r="F55" i="20"/>
  <c r="J53" i="20"/>
  <c r="L24" i="17"/>
  <c r="H60" i="20"/>
  <c r="L60" i="20" s="1"/>
  <c r="D60" i="20"/>
  <c r="H59" i="20"/>
  <c r="L59" i="20" s="1"/>
  <c r="D59" i="20"/>
  <c r="H58" i="20"/>
  <c r="L58" i="20" s="1"/>
  <c r="D58" i="20"/>
  <c r="H57" i="20"/>
  <c r="L57" i="20" s="1"/>
  <c r="D57" i="20"/>
  <c r="H56" i="20"/>
  <c r="L56" i="20" s="1"/>
  <c r="D56" i="20"/>
  <c r="H55" i="20"/>
  <c r="L55" i="20" s="1"/>
  <c r="D55" i="20"/>
  <c r="F54" i="20"/>
  <c r="F53" i="20"/>
  <c r="N22" i="17"/>
  <c r="M24" i="17"/>
  <c r="H54" i="20"/>
  <c r="L54" i="20" s="1"/>
  <c r="D54" i="20"/>
  <c r="H53" i="20"/>
  <c r="L53" i="20" s="1"/>
  <c r="D53" i="20"/>
  <c r="N23" i="17"/>
  <c r="N21" i="17"/>
  <c r="L22" i="17"/>
  <c r="G23" i="17"/>
  <c r="C48" i="17" s="1"/>
  <c r="F48" i="17" s="1"/>
  <c r="J24" i="17"/>
  <c r="B49" i="17" s="1"/>
  <c r="R49" i="17" s="1"/>
  <c r="J23" i="17"/>
  <c r="B48" i="17" s="1"/>
  <c r="R48" i="17" s="1"/>
  <c r="J22" i="17"/>
  <c r="B47" i="17" s="1"/>
  <c r="R47" i="17" s="1"/>
  <c r="J21" i="17"/>
  <c r="B46" i="17" s="1"/>
  <c r="R46" i="17" s="1"/>
  <c r="L23" i="17"/>
  <c r="L21" i="17"/>
  <c r="G24" i="17"/>
  <c r="C49" i="17" s="1"/>
  <c r="F49" i="17" s="1"/>
  <c r="I20" i="17"/>
  <c r="N45" i="17" s="1"/>
  <c r="Q45" i="17" s="1"/>
  <c r="H24" i="17"/>
  <c r="G49" i="17" s="1"/>
  <c r="J49" i="17" s="1"/>
  <c r="M49" i="17" s="1"/>
  <c r="H23" i="17"/>
  <c r="G48" i="17" s="1"/>
  <c r="J48" i="17" s="1"/>
  <c r="M48" i="17" s="1"/>
  <c r="H22" i="17"/>
  <c r="G47" i="17" s="1"/>
  <c r="J47" i="17" s="1"/>
  <c r="M47" i="17" s="1"/>
  <c r="H21" i="17"/>
  <c r="G46" i="17" s="1"/>
  <c r="J46" i="17" s="1"/>
  <c r="M46" i="17" s="1"/>
  <c r="K24" i="17"/>
  <c r="K23" i="17"/>
  <c r="I22" i="17"/>
  <c r="N47" i="17" s="1"/>
  <c r="Q47" i="17" s="1"/>
  <c r="I18" i="17"/>
  <c r="N43" i="17" s="1"/>
  <c r="Q43" i="17" s="1"/>
  <c r="I24" i="17"/>
  <c r="N49" i="17" s="1"/>
  <c r="Q49" i="17" s="1"/>
  <c r="M23" i="17"/>
  <c r="I23" i="17"/>
  <c r="N48" i="17" s="1"/>
  <c r="Q48" i="17" s="1"/>
  <c r="M22" i="17"/>
  <c r="I21" i="17"/>
  <c r="N46" i="17" s="1"/>
  <c r="Q46" i="17" s="1"/>
  <c r="I19" i="17"/>
  <c r="N44" i="17" s="1"/>
  <c r="Q44" i="17" s="1"/>
  <c r="I16" i="17"/>
  <c r="N41" i="17" s="1"/>
  <c r="Q41" i="17" s="1"/>
  <c r="K22" i="17"/>
  <c r="M21" i="17"/>
  <c r="M20" i="17"/>
  <c r="M19" i="17"/>
  <c r="M18" i="17"/>
  <c r="K17" i="17"/>
  <c r="J20" i="17"/>
  <c r="B45" i="17" s="1"/>
  <c r="R45" i="17" s="1"/>
  <c r="G22" i="17"/>
  <c r="C47" i="17" s="1"/>
  <c r="F47" i="17" s="1"/>
  <c r="K21" i="17"/>
  <c r="G21" i="17"/>
  <c r="C46" i="17" s="1"/>
  <c r="F46" i="17" s="1"/>
  <c r="K20" i="17"/>
  <c r="G20" i="17"/>
  <c r="C45" i="17" s="1"/>
  <c r="F45" i="17" s="1"/>
  <c r="K19" i="17"/>
  <c r="G19" i="17"/>
  <c r="C44" i="17" s="1"/>
  <c r="F44" i="17" s="1"/>
  <c r="K18" i="17"/>
  <c r="G18" i="17"/>
  <c r="C43" i="17" s="1"/>
  <c r="F43" i="17" s="1"/>
  <c r="G17" i="17"/>
  <c r="C42" i="17" s="1"/>
  <c r="F42" i="17" s="1"/>
  <c r="I15" i="17"/>
  <c r="N40" i="17" s="1"/>
  <c r="Q40" i="17" s="1"/>
  <c r="N18" i="17"/>
  <c r="M17" i="17"/>
  <c r="I17" i="17"/>
  <c r="N42" i="17" s="1"/>
  <c r="Q42" i="17" s="1"/>
  <c r="M16" i="17"/>
  <c r="M15" i="17"/>
  <c r="N20" i="17"/>
  <c r="N19" i="17"/>
  <c r="J16" i="17"/>
  <c r="B41" i="17" s="1"/>
  <c r="R41" i="17" s="1"/>
  <c r="K16" i="17"/>
  <c r="G16" i="17"/>
  <c r="C41" i="17" s="1"/>
  <c r="F41" i="17" s="1"/>
  <c r="K15" i="17"/>
  <c r="G15" i="17"/>
  <c r="C40" i="17" s="1"/>
  <c r="F40" i="17" s="1"/>
  <c r="L20" i="17"/>
  <c r="H20" i="17"/>
  <c r="G45" i="17" s="1"/>
  <c r="J45" i="17" s="1"/>
  <c r="M45" i="17" s="1"/>
  <c r="J19" i="17"/>
  <c r="B44" i="17" s="1"/>
  <c r="R44" i="17" s="1"/>
  <c r="N17" i="17"/>
  <c r="K14" i="17"/>
  <c r="L19" i="17"/>
  <c r="H19" i="17"/>
  <c r="G44" i="17" s="1"/>
  <c r="J44" i="17" s="1"/>
  <c r="M44" i="17" s="1"/>
  <c r="J18" i="17"/>
  <c r="B43" i="17" s="1"/>
  <c r="R43" i="17" s="1"/>
  <c r="J17" i="17"/>
  <c r="B42" i="17" s="1"/>
  <c r="R42" i="17" s="1"/>
  <c r="J15" i="17"/>
  <c r="B40" i="17" s="1"/>
  <c r="R40" i="17" s="1"/>
  <c r="K13" i="17"/>
  <c r="L18" i="17"/>
  <c r="H18" i="17"/>
  <c r="G43" i="17" s="1"/>
  <c r="J43" i="17" s="1"/>
  <c r="M43" i="17" s="1"/>
  <c r="L17" i="17"/>
  <c r="N16" i="17"/>
  <c r="N15" i="17"/>
  <c r="N14" i="17"/>
  <c r="G14" i="17"/>
  <c r="C39" i="17" s="1"/>
  <c r="F39" i="17" s="1"/>
  <c r="G8" i="12"/>
  <c r="J8" i="12" s="1"/>
  <c r="G31" i="12"/>
  <c r="J31" i="12" s="1"/>
  <c r="C56" i="12"/>
  <c r="C8" i="20"/>
  <c r="D8" i="20" s="1"/>
  <c r="G8" i="20" s="1"/>
  <c r="C87" i="8"/>
  <c r="D87" i="8"/>
  <c r="C97" i="16"/>
  <c r="D97" i="16"/>
  <c r="G13" i="17"/>
  <c r="C38" i="17" s="1"/>
  <c r="F38" i="17" s="1"/>
  <c r="K9" i="17"/>
  <c r="T97" i="16"/>
  <c r="H17" i="17"/>
  <c r="G42" i="17" s="1"/>
  <c r="J42" i="17" s="1"/>
  <c r="M42" i="17" s="1"/>
  <c r="L16" i="17"/>
  <c r="H16" i="17"/>
  <c r="G41" i="17" s="1"/>
  <c r="J41" i="17" s="1"/>
  <c r="M41" i="17" s="1"/>
  <c r="L15" i="17"/>
  <c r="H15" i="17"/>
  <c r="G40" i="17" s="1"/>
  <c r="J40" i="17" s="1"/>
  <c r="M40" i="17" s="1"/>
  <c r="M14" i="17"/>
  <c r="I14" i="17"/>
  <c r="N39" i="17" s="1"/>
  <c r="Q39" i="17" s="1"/>
  <c r="M13" i="17"/>
  <c r="I13" i="17"/>
  <c r="N38" i="17" s="1"/>
  <c r="Q38" i="17" s="1"/>
  <c r="K12" i="17"/>
  <c r="M10" i="17"/>
  <c r="P67" i="12"/>
  <c r="T87" i="8"/>
  <c r="M12" i="17"/>
  <c r="I12" i="17"/>
  <c r="N37" i="17" s="1"/>
  <c r="Q37" i="17" s="1"/>
  <c r="I11" i="17"/>
  <c r="N36" i="17" s="1"/>
  <c r="Q36" i="17" s="1"/>
  <c r="I10" i="17"/>
  <c r="N35" i="17" s="1"/>
  <c r="Q35" i="17" s="1"/>
  <c r="K8" i="17"/>
  <c r="P59" i="12"/>
  <c r="Q59" i="12" s="1"/>
  <c r="G12" i="17"/>
  <c r="C37" i="17" s="1"/>
  <c r="F37" i="17" s="1"/>
  <c r="K11" i="17"/>
  <c r="G11" i="17"/>
  <c r="C36" i="17" s="1"/>
  <c r="F36" i="17" s="1"/>
  <c r="K10" i="17"/>
  <c r="G10" i="17"/>
  <c r="C35" i="17" s="1"/>
  <c r="F35" i="17" s="1"/>
  <c r="G9" i="17"/>
  <c r="C34" i="17" s="1"/>
  <c r="F34" i="17" s="1"/>
  <c r="G8" i="17"/>
  <c r="C33" i="17" s="1"/>
  <c r="F33" i="17" s="1"/>
  <c r="P63" i="12"/>
  <c r="R63" i="12" s="1"/>
  <c r="S63" i="12" s="1"/>
  <c r="C62" i="12"/>
  <c r="M9" i="17"/>
  <c r="I9" i="17"/>
  <c r="N34" i="17" s="1"/>
  <c r="Q34" i="17" s="1"/>
  <c r="M8" i="17"/>
  <c r="I8" i="17"/>
  <c r="N33" i="17" s="1"/>
  <c r="Q33" i="17" s="1"/>
  <c r="P69" i="12"/>
  <c r="Q69" i="12" s="1"/>
  <c r="P65" i="12"/>
  <c r="P61" i="12"/>
  <c r="Q61" i="12" s="1"/>
  <c r="P55" i="12"/>
  <c r="J14" i="17"/>
  <c r="B39" i="17" s="1"/>
  <c r="R39" i="17" s="1"/>
  <c r="P68" i="12"/>
  <c r="Q68" i="12" s="1"/>
  <c r="P66" i="12"/>
  <c r="Q66" i="12" s="1"/>
  <c r="P64" i="12"/>
  <c r="Q64" i="12" s="1"/>
  <c r="P62" i="12"/>
  <c r="Q62" i="12" s="1"/>
  <c r="P60" i="12"/>
  <c r="Q60" i="12" s="1"/>
  <c r="P57" i="12"/>
  <c r="R57" i="12" s="1"/>
  <c r="S57" i="12" s="1"/>
  <c r="C68" i="12"/>
  <c r="C60" i="12"/>
  <c r="G60" i="12" s="1"/>
  <c r="H13" i="17"/>
  <c r="G38" i="17" s="1"/>
  <c r="J38" i="17" s="1"/>
  <c r="M38" i="17" s="1"/>
  <c r="P58" i="12"/>
  <c r="Q58" i="12" s="1"/>
  <c r="P56" i="12"/>
  <c r="Q56" i="12" s="1"/>
  <c r="C69" i="12"/>
  <c r="D69" i="12" s="1"/>
  <c r="C63" i="12"/>
  <c r="D63" i="12" s="1"/>
  <c r="C61" i="12"/>
  <c r="D61" i="12" s="1"/>
  <c r="C55" i="12"/>
  <c r="D55" i="12" s="1"/>
  <c r="N13" i="17"/>
  <c r="H12" i="17"/>
  <c r="G37" i="17" s="1"/>
  <c r="J37" i="17" s="1"/>
  <c r="M37" i="17" s="1"/>
  <c r="L10" i="17"/>
  <c r="L14" i="17"/>
  <c r="H14" i="17"/>
  <c r="G39" i="17" s="1"/>
  <c r="J39" i="17" s="1"/>
  <c r="M39" i="17" s="1"/>
  <c r="L13" i="17"/>
  <c r="L12" i="17"/>
  <c r="L11" i="17"/>
  <c r="N8" i="17"/>
  <c r="J13" i="17"/>
  <c r="B38" i="17" s="1"/>
  <c r="R38" i="17" s="1"/>
  <c r="N12" i="17"/>
  <c r="J12" i="17"/>
  <c r="B37" i="17" s="1"/>
  <c r="R37" i="17" s="1"/>
  <c r="N11" i="17"/>
  <c r="H11" i="17"/>
  <c r="G36" i="17" s="1"/>
  <c r="J36" i="17" s="1"/>
  <c r="M36" i="17" s="1"/>
  <c r="N9" i="17"/>
  <c r="C67" i="12"/>
  <c r="G67" i="12" s="1"/>
  <c r="J11" i="17"/>
  <c r="B36" i="17" s="1"/>
  <c r="R36" i="17" s="1"/>
  <c r="N10" i="17"/>
  <c r="J10" i="17"/>
  <c r="B35" i="17" s="1"/>
  <c r="R35" i="17" s="1"/>
  <c r="J9" i="17"/>
  <c r="B34" i="17" s="1"/>
  <c r="R34" i="17" s="1"/>
  <c r="J8" i="17"/>
  <c r="B33" i="17" s="1"/>
  <c r="R33" i="17" s="1"/>
  <c r="C59" i="12"/>
  <c r="G59" i="12" s="1"/>
  <c r="H10" i="17"/>
  <c r="G35" i="17" s="1"/>
  <c r="J35" i="17" s="1"/>
  <c r="M35" i="17" s="1"/>
  <c r="L9" i="17"/>
  <c r="H9" i="17"/>
  <c r="G34" i="17" s="1"/>
  <c r="J34" i="17" s="1"/>
  <c r="M34" i="17" s="1"/>
  <c r="L8" i="17"/>
  <c r="H8" i="17"/>
  <c r="G33" i="17" s="1"/>
  <c r="J33" i="17" s="1"/>
  <c r="M33" i="17" s="1"/>
  <c r="C65" i="12"/>
  <c r="D65" i="12" s="1"/>
  <c r="C57" i="12"/>
  <c r="G57" i="12" s="1"/>
  <c r="C83" i="8"/>
  <c r="D83" i="8"/>
  <c r="T83" i="8"/>
  <c r="L87" i="8"/>
  <c r="AB87" i="8"/>
  <c r="C91" i="8"/>
  <c r="D91" i="8"/>
  <c r="T91" i="8"/>
  <c r="L97" i="16"/>
  <c r="AB97" i="16"/>
  <c r="C85" i="19"/>
  <c r="D85" i="19"/>
  <c r="T85" i="19"/>
  <c r="C87" i="19"/>
  <c r="D87" i="19"/>
  <c r="T87" i="19"/>
  <c r="C97" i="19"/>
  <c r="D97" i="19"/>
  <c r="T97" i="19"/>
  <c r="C66" i="12"/>
  <c r="E66" i="12" s="1"/>
  <c r="F66" i="12" s="1"/>
  <c r="C64" i="12"/>
  <c r="C58" i="12"/>
  <c r="D58" i="12" s="1"/>
  <c r="L83" i="8"/>
  <c r="AB83" i="8"/>
  <c r="L91" i="8"/>
  <c r="AB91" i="8"/>
  <c r="L85" i="19"/>
  <c r="L87" i="19"/>
  <c r="L97" i="19"/>
  <c r="M93" i="8"/>
  <c r="AC93" i="8"/>
  <c r="M95" i="8"/>
  <c r="AC95" i="8"/>
  <c r="H98" i="8"/>
  <c r="P98" i="8"/>
  <c r="X98" i="8"/>
  <c r="H84" i="16"/>
  <c r="P84" i="16"/>
  <c r="X84" i="16"/>
  <c r="H88" i="16"/>
  <c r="P88" i="16"/>
  <c r="X88" i="16"/>
  <c r="H92" i="16"/>
  <c r="P92" i="16"/>
  <c r="X92" i="16"/>
  <c r="K96" i="16"/>
  <c r="H89" i="19"/>
  <c r="P89" i="19"/>
  <c r="X89" i="19"/>
  <c r="C91" i="19"/>
  <c r="D91" i="19"/>
  <c r="L91" i="19"/>
  <c r="T91" i="19"/>
  <c r="H97" i="19"/>
  <c r="P97" i="19"/>
  <c r="X97" i="19"/>
  <c r="H83" i="8"/>
  <c r="P83" i="8"/>
  <c r="X83" i="8"/>
  <c r="H87" i="8"/>
  <c r="P87" i="8"/>
  <c r="X87" i="8"/>
  <c r="H91" i="8"/>
  <c r="P91" i="8"/>
  <c r="X91" i="8"/>
  <c r="E93" i="8"/>
  <c r="U93" i="8"/>
  <c r="E95" i="8"/>
  <c r="U95" i="8"/>
  <c r="C98" i="8"/>
  <c r="D98" i="8"/>
  <c r="L98" i="8"/>
  <c r="T98" i="8"/>
  <c r="AB98" i="8"/>
  <c r="C84" i="16"/>
  <c r="D84" i="16"/>
  <c r="L84" i="16"/>
  <c r="T84" i="16"/>
  <c r="AB84" i="16"/>
  <c r="C88" i="16"/>
  <c r="D88" i="16"/>
  <c r="L88" i="16"/>
  <c r="T88" i="16"/>
  <c r="AB88" i="16"/>
  <c r="C92" i="16"/>
  <c r="D92" i="16"/>
  <c r="L92" i="16"/>
  <c r="T92" i="16"/>
  <c r="AB92" i="16"/>
  <c r="C96" i="16"/>
  <c r="D96" i="16"/>
  <c r="S96" i="16"/>
  <c r="H97" i="16"/>
  <c r="P97" i="16"/>
  <c r="X97" i="16"/>
  <c r="H85" i="19"/>
  <c r="P85" i="19"/>
  <c r="H87" i="19"/>
  <c r="P87" i="19"/>
  <c r="X87" i="19"/>
  <c r="C89" i="19"/>
  <c r="D89" i="19"/>
  <c r="L89" i="19"/>
  <c r="T89" i="19"/>
  <c r="H91" i="19"/>
  <c r="P91" i="19"/>
  <c r="X91" i="19"/>
  <c r="AB97" i="19"/>
  <c r="Q5" i="2"/>
  <c r="Q7" i="2"/>
  <c r="Q8" i="2"/>
  <c r="Q15" i="2"/>
  <c r="Q16" i="2"/>
  <c r="Q17" i="2"/>
  <c r="Q18" i="2"/>
  <c r="Q19" i="2"/>
  <c r="Q20" i="2"/>
  <c r="Q21" i="2"/>
  <c r="F83" i="8"/>
  <c r="J83" i="8"/>
  <c r="N83" i="8"/>
  <c r="R83" i="8"/>
  <c r="V83" i="8"/>
  <c r="Z83" i="8"/>
  <c r="AD83" i="8"/>
  <c r="C85" i="8"/>
  <c r="D85" i="8"/>
  <c r="H85" i="8"/>
  <c r="L85" i="8"/>
  <c r="P85" i="8"/>
  <c r="T85" i="8"/>
  <c r="F89" i="8"/>
  <c r="N89" i="8"/>
  <c r="V89" i="8"/>
  <c r="Q6" i="2"/>
  <c r="Q9" i="2"/>
  <c r="Q10" i="2"/>
  <c r="Q11" i="2"/>
  <c r="Q12" i="2"/>
  <c r="Q13" i="2"/>
  <c r="Q14" i="2"/>
  <c r="P5" i="2"/>
  <c r="P6" i="2"/>
  <c r="P7" i="2"/>
  <c r="P8" i="2"/>
  <c r="P9" i="2"/>
  <c r="P10" i="2"/>
  <c r="P11" i="2"/>
  <c r="P12" i="2"/>
  <c r="P13" i="2"/>
  <c r="P14" i="2"/>
  <c r="P15" i="2"/>
  <c r="P16" i="2"/>
  <c r="P17" i="2"/>
  <c r="P18" i="2"/>
  <c r="P19" i="2"/>
  <c r="P20" i="2"/>
  <c r="P21" i="2"/>
  <c r="AC85" i="8"/>
  <c r="AB85" i="8"/>
  <c r="X85" i="8"/>
  <c r="F85" i="8"/>
  <c r="J85" i="8"/>
  <c r="N85" i="8"/>
  <c r="R85" i="8"/>
  <c r="V85" i="8"/>
  <c r="AD85" i="8"/>
  <c r="AC89" i="8"/>
  <c r="AB89" i="8"/>
  <c r="X89" i="8"/>
  <c r="T89" i="8"/>
  <c r="P89" i="8"/>
  <c r="L89" i="8"/>
  <c r="H89" i="8"/>
  <c r="D89" i="8"/>
  <c r="C89" i="8"/>
  <c r="J89" i="8"/>
  <c r="R89" i="8"/>
  <c r="Z89" i="8"/>
  <c r="F94" i="8"/>
  <c r="J94" i="8"/>
  <c r="N94" i="8"/>
  <c r="R94" i="8"/>
  <c r="V94" i="8"/>
  <c r="Z94" i="8"/>
  <c r="AD94" i="8"/>
  <c r="F96" i="8"/>
  <c r="J96" i="8"/>
  <c r="N96" i="8"/>
  <c r="R96" i="8"/>
  <c r="V96" i="8"/>
  <c r="Z96" i="8"/>
  <c r="AD96" i="8"/>
  <c r="F82" i="16"/>
  <c r="J82" i="16"/>
  <c r="N82" i="16"/>
  <c r="R82" i="16"/>
  <c r="V82" i="16"/>
  <c r="Z82" i="16"/>
  <c r="AD82" i="16"/>
  <c r="F86" i="16"/>
  <c r="J86" i="16"/>
  <c r="N86" i="16"/>
  <c r="R86" i="16"/>
  <c r="V86" i="16"/>
  <c r="Z86" i="16"/>
  <c r="AD86" i="16"/>
  <c r="F90" i="16"/>
  <c r="J90" i="16"/>
  <c r="N90" i="16"/>
  <c r="R90" i="16"/>
  <c r="V90" i="16"/>
  <c r="Z90" i="16"/>
  <c r="AD90" i="16"/>
  <c r="F94" i="16"/>
  <c r="J94" i="16"/>
  <c r="N94" i="16"/>
  <c r="R94" i="16"/>
  <c r="V94" i="16"/>
  <c r="Z94" i="16"/>
  <c r="AD94" i="16"/>
  <c r="F83" i="19"/>
  <c r="J83" i="19"/>
  <c r="N83" i="19"/>
  <c r="R83" i="19"/>
  <c r="V83" i="19"/>
  <c r="F93" i="19"/>
  <c r="J93" i="19"/>
  <c r="N93" i="19"/>
  <c r="R93" i="19"/>
  <c r="V93" i="19"/>
  <c r="Z93" i="19"/>
  <c r="F95" i="19"/>
  <c r="J95" i="19"/>
  <c r="N95" i="19"/>
  <c r="R95" i="19"/>
  <c r="V95" i="19"/>
  <c r="Z95" i="19"/>
  <c r="AD95" i="19"/>
  <c r="T68" i="12"/>
  <c r="T64" i="12"/>
  <c r="T60" i="12"/>
  <c r="T56" i="12"/>
  <c r="G69" i="12"/>
  <c r="G63" i="12"/>
  <c r="G61" i="12"/>
  <c r="G55" i="12"/>
  <c r="F87" i="8"/>
  <c r="J87" i="8"/>
  <c r="N87" i="8"/>
  <c r="R87" i="8"/>
  <c r="V87" i="8"/>
  <c r="Z87" i="8"/>
  <c r="AD87" i="8"/>
  <c r="F91" i="8"/>
  <c r="J91" i="8"/>
  <c r="N91" i="8"/>
  <c r="R91" i="8"/>
  <c r="V91" i="8"/>
  <c r="Z91" i="8"/>
  <c r="AD91" i="8"/>
  <c r="I93" i="8"/>
  <c r="Q93" i="8"/>
  <c r="C94" i="8"/>
  <c r="D94" i="8"/>
  <c r="H94" i="8"/>
  <c r="L94" i="8"/>
  <c r="P94" i="8"/>
  <c r="T94" i="8"/>
  <c r="X94" i="8"/>
  <c r="AB94" i="8"/>
  <c r="I95" i="8"/>
  <c r="Q95" i="8"/>
  <c r="C96" i="8"/>
  <c r="D96" i="8"/>
  <c r="H96" i="8"/>
  <c r="L96" i="8"/>
  <c r="P96" i="8"/>
  <c r="T96" i="8"/>
  <c r="X96" i="8"/>
  <c r="AB96" i="8"/>
  <c r="F98" i="8"/>
  <c r="J98" i="8"/>
  <c r="N98" i="8"/>
  <c r="R98" i="8"/>
  <c r="V98" i="8"/>
  <c r="Z98" i="8"/>
  <c r="AD98" i="8"/>
  <c r="C82" i="16"/>
  <c r="D82" i="16"/>
  <c r="H82" i="16"/>
  <c r="L82" i="16"/>
  <c r="P82" i="16"/>
  <c r="T82" i="16"/>
  <c r="X82" i="16"/>
  <c r="AB82" i="16"/>
  <c r="F84" i="16"/>
  <c r="J84" i="16"/>
  <c r="N84" i="16"/>
  <c r="R84" i="16"/>
  <c r="V84" i="16"/>
  <c r="Z84" i="16"/>
  <c r="AD84" i="16"/>
  <c r="C86" i="16"/>
  <c r="D86" i="16"/>
  <c r="H86" i="16"/>
  <c r="L86" i="16"/>
  <c r="P86" i="16"/>
  <c r="T86" i="16"/>
  <c r="X86" i="16"/>
  <c r="AB86" i="16"/>
  <c r="F88" i="16"/>
  <c r="J88" i="16"/>
  <c r="N88" i="16"/>
  <c r="R88" i="16"/>
  <c r="V88" i="16"/>
  <c r="Z88" i="16"/>
  <c r="AD88" i="16"/>
  <c r="C90" i="16"/>
  <c r="D90" i="16"/>
  <c r="H90" i="16"/>
  <c r="L90" i="16"/>
  <c r="P90" i="16"/>
  <c r="T90" i="16"/>
  <c r="X90" i="16"/>
  <c r="AB90" i="16"/>
  <c r="F92" i="16"/>
  <c r="J92" i="16"/>
  <c r="N92" i="16"/>
  <c r="R92" i="16"/>
  <c r="V92" i="16"/>
  <c r="Z92" i="16"/>
  <c r="AD92" i="16"/>
  <c r="C94" i="16"/>
  <c r="D94" i="16"/>
  <c r="H94" i="16"/>
  <c r="L94" i="16"/>
  <c r="P94" i="16"/>
  <c r="T94" i="16"/>
  <c r="X94" i="16"/>
  <c r="AB94" i="16"/>
  <c r="G96" i="16"/>
  <c r="O96" i="16"/>
  <c r="F97" i="16"/>
  <c r="J97" i="16"/>
  <c r="N97" i="16"/>
  <c r="R97" i="16"/>
  <c r="V97" i="16"/>
  <c r="Z97" i="16"/>
  <c r="AD97" i="16"/>
  <c r="C83" i="19"/>
  <c r="D83" i="19"/>
  <c r="H83" i="19"/>
  <c r="L83" i="19"/>
  <c r="P83" i="19"/>
  <c r="T83" i="19"/>
  <c r="F85" i="19"/>
  <c r="J85" i="19"/>
  <c r="N85" i="19"/>
  <c r="R85" i="19"/>
  <c r="F87" i="19"/>
  <c r="J87" i="19"/>
  <c r="N87" i="19"/>
  <c r="R87" i="19"/>
  <c r="V87" i="19"/>
  <c r="F89" i="19"/>
  <c r="J89" i="19"/>
  <c r="N89" i="19"/>
  <c r="R89" i="19"/>
  <c r="V89" i="19"/>
  <c r="F91" i="19"/>
  <c r="J91" i="19"/>
  <c r="N91" i="19"/>
  <c r="R91" i="19"/>
  <c r="V91" i="19"/>
  <c r="Z91" i="19"/>
  <c r="C93" i="19"/>
  <c r="D93" i="19"/>
  <c r="H93" i="19"/>
  <c r="L93" i="19"/>
  <c r="P93" i="19"/>
  <c r="T93" i="19"/>
  <c r="X93" i="19"/>
  <c r="AB93" i="19"/>
  <c r="C95" i="19"/>
  <c r="D95" i="19"/>
  <c r="H95" i="19"/>
  <c r="L95" i="19"/>
  <c r="P95" i="19"/>
  <c r="T95" i="19"/>
  <c r="X95" i="19"/>
  <c r="AB95" i="19"/>
  <c r="F97" i="19"/>
  <c r="J97" i="19"/>
  <c r="N97" i="19"/>
  <c r="R97" i="19"/>
  <c r="V97" i="19"/>
  <c r="Z97" i="19"/>
  <c r="AD97" i="19"/>
  <c r="H55" i="12"/>
  <c r="H56" i="12"/>
  <c r="H57" i="12"/>
  <c r="H62" i="12"/>
  <c r="H63" i="12"/>
  <c r="H64" i="12"/>
  <c r="H65" i="12"/>
  <c r="U55" i="12"/>
  <c r="U56" i="12"/>
  <c r="U57" i="12"/>
  <c r="U58" i="12"/>
  <c r="U59" i="12"/>
  <c r="U60" i="12"/>
  <c r="U61" i="12"/>
  <c r="U62" i="12"/>
  <c r="U63" i="12"/>
  <c r="U64" i="12"/>
  <c r="U65" i="12"/>
  <c r="U66" i="12"/>
  <c r="U67" i="12"/>
  <c r="U68" i="12"/>
  <c r="U69" i="12"/>
  <c r="H58" i="12"/>
  <c r="H59" i="12"/>
  <c r="H60" i="12"/>
  <c r="H61" i="12"/>
  <c r="H66" i="12"/>
  <c r="H67" i="12"/>
  <c r="H68" i="12"/>
  <c r="H69" i="12"/>
  <c r="O8" i="17"/>
  <c r="T33" i="17" s="1"/>
  <c r="W33" i="17" s="1"/>
  <c r="Q8" i="17"/>
  <c r="AE33" i="17" s="1"/>
  <c r="AH33" i="17" s="1"/>
  <c r="S8" i="17"/>
  <c r="U8" i="17"/>
  <c r="O9" i="17"/>
  <c r="T34" i="17" s="1"/>
  <c r="W34" i="17" s="1"/>
  <c r="Q9" i="17"/>
  <c r="AE34" i="17" s="1"/>
  <c r="AH34" i="17" s="1"/>
  <c r="S9" i="17"/>
  <c r="U9" i="17"/>
  <c r="O10" i="17"/>
  <c r="T35" i="17" s="1"/>
  <c r="W35" i="17" s="1"/>
  <c r="Q10" i="17"/>
  <c r="AE35" i="17" s="1"/>
  <c r="AH35" i="17" s="1"/>
  <c r="S10" i="17"/>
  <c r="U10" i="17"/>
  <c r="O11" i="17"/>
  <c r="T36" i="17" s="1"/>
  <c r="W36" i="17" s="1"/>
  <c r="Q11" i="17"/>
  <c r="AE36" i="17" s="1"/>
  <c r="AH36" i="17" s="1"/>
  <c r="S11" i="17"/>
  <c r="U11" i="17"/>
  <c r="O12" i="17"/>
  <c r="T37" i="17" s="1"/>
  <c r="W37" i="17" s="1"/>
  <c r="Q12" i="17"/>
  <c r="AE37" i="17" s="1"/>
  <c r="AH37" i="17" s="1"/>
  <c r="S12" i="17"/>
  <c r="U12" i="17"/>
  <c r="O13" i="17"/>
  <c r="T38" i="17" s="1"/>
  <c r="W38" i="17" s="1"/>
  <c r="Q13" i="17"/>
  <c r="AE38" i="17" s="1"/>
  <c r="AH38" i="17" s="1"/>
  <c r="S13" i="17"/>
  <c r="U13" i="17"/>
  <c r="O14" i="17"/>
  <c r="T39" i="17" s="1"/>
  <c r="W39" i="17" s="1"/>
  <c r="Q14" i="17"/>
  <c r="AE39" i="17" s="1"/>
  <c r="AH39" i="17" s="1"/>
  <c r="S14" i="17"/>
  <c r="U14" i="17"/>
  <c r="O15" i="17"/>
  <c r="T40" i="17" s="1"/>
  <c r="W40" i="17" s="1"/>
  <c r="Q15" i="17"/>
  <c r="AE40" i="17" s="1"/>
  <c r="AH40" i="17" s="1"/>
  <c r="S15" i="17"/>
  <c r="U15" i="17"/>
  <c r="O16" i="17"/>
  <c r="T41" i="17" s="1"/>
  <c r="W41" i="17" s="1"/>
  <c r="Q16" i="17"/>
  <c r="AE41" i="17" s="1"/>
  <c r="AH41" i="17" s="1"/>
  <c r="S16" i="17"/>
  <c r="U16" i="17"/>
  <c r="O17" i="17"/>
  <c r="T42" i="17" s="1"/>
  <c r="W42" i="17" s="1"/>
  <c r="Q17" i="17"/>
  <c r="AE42" i="17" s="1"/>
  <c r="AH42" i="17" s="1"/>
  <c r="S17" i="17"/>
  <c r="U17" i="17"/>
  <c r="O18" i="17"/>
  <c r="T43" i="17" s="1"/>
  <c r="W43" i="17" s="1"/>
  <c r="Q18" i="17"/>
  <c r="AE43" i="17" s="1"/>
  <c r="AH43" i="17" s="1"/>
  <c r="S18" i="17"/>
  <c r="U18" i="17"/>
  <c r="O19" i="17"/>
  <c r="T44" i="17" s="1"/>
  <c r="W44" i="17" s="1"/>
  <c r="P8" i="17"/>
  <c r="X33" i="17" s="1"/>
  <c r="AA33" i="17" s="1"/>
  <c r="AD33" i="17" s="1"/>
  <c r="T8" i="17"/>
  <c r="P9" i="17"/>
  <c r="X34" i="17" s="1"/>
  <c r="AA34" i="17" s="1"/>
  <c r="AD34" i="17" s="1"/>
  <c r="T9" i="17"/>
  <c r="P10" i="17"/>
  <c r="X35" i="17" s="1"/>
  <c r="AA35" i="17" s="1"/>
  <c r="AD35" i="17" s="1"/>
  <c r="T10" i="17"/>
  <c r="P11" i="17"/>
  <c r="X36" i="17" s="1"/>
  <c r="AA36" i="17" s="1"/>
  <c r="AD36" i="17" s="1"/>
  <c r="T11" i="17"/>
  <c r="P12" i="17"/>
  <c r="X37" i="17" s="1"/>
  <c r="AA37" i="17" s="1"/>
  <c r="AD37" i="17" s="1"/>
  <c r="T12" i="17"/>
  <c r="P13" i="17"/>
  <c r="X38" i="17" s="1"/>
  <c r="AA38" i="17" s="1"/>
  <c r="AD38" i="17" s="1"/>
  <c r="T13" i="17"/>
  <c r="P14" i="17"/>
  <c r="X39" i="17" s="1"/>
  <c r="AA39" i="17" s="1"/>
  <c r="AD39" i="17" s="1"/>
  <c r="T14" i="17"/>
  <c r="P15" i="17"/>
  <c r="X40" i="17" s="1"/>
  <c r="AA40" i="17" s="1"/>
  <c r="AD40" i="17" s="1"/>
  <c r="T15" i="17"/>
  <c r="P16" i="17"/>
  <c r="X41" i="17" s="1"/>
  <c r="AA41" i="17" s="1"/>
  <c r="AD41" i="17" s="1"/>
  <c r="P17" i="17"/>
  <c r="X42" i="17" s="1"/>
  <c r="AA42" i="17" s="1"/>
  <c r="AD42" i="17" s="1"/>
  <c r="P18" i="17"/>
  <c r="X43" i="17" s="1"/>
  <c r="AA43" i="17" s="1"/>
  <c r="AD43" i="17" s="1"/>
  <c r="P19" i="17"/>
  <c r="X44" i="17" s="1"/>
  <c r="AA44" i="17" s="1"/>
  <c r="AD44" i="17" s="1"/>
  <c r="T19" i="17"/>
  <c r="P20" i="17"/>
  <c r="X45" i="17" s="1"/>
  <c r="AA45" i="17" s="1"/>
  <c r="AD45" i="17" s="1"/>
  <c r="T20" i="17"/>
  <c r="P21" i="17"/>
  <c r="X46" i="17" s="1"/>
  <c r="AA46" i="17" s="1"/>
  <c r="AD46" i="17" s="1"/>
  <c r="T21" i="17"/>
  <c r="P22" i="17"/>
  <c r="X47" i="17" s="1"/>
  <c r="AA47" i="17" s="1"/>
  <c r="AD47" i="17" s="1"/>
  <c r="T22" i="17"/>
  <c r="P23" i="17"/>
  <c r="X48" i="17" s="1"/>
  <c r="AA48" i="17" s="1"/>
  <c r="AD48" i="17" s="1"/>
  <c r="T23" i="17"/>
  <c r="P24" i="17"/>
  <c r="X49" i="17" s="1"/>
  <c r="AA49" i="17" s="1"/>
  <c r="AD49" i="17" s="1"/>
  <c r="T24" i="17"/>
  <c r="R8" i="17"/>
  <c r="S33" i="17" s="1"/>
  <c r="AI33" i="17" s="1"/>
  <c r="V8" i="17"/>
  <c r="R9" i="17"/>
  <c r="S34" i="17" s="1"/>
  <c r="AI34" i="17" s="1"/>
  <c r="V9" i="17"/>
  <c r="R10" i="17"/>
  <c r="S35" i="17" s="1"/>
  <c r="AI35" i="17" s="1"/>
  <c r="V10" i="17"/>
  <c r="R11" i="17"/>
  <c r="S36" i="17" s="1"/>
  <c r="AI36" i="17" s="1"/>
  <c r="V11" i="17"/>
  <c r="R12" i="17"/>
  <c r="S37" i="17" s="1"/>
  <c r="AI37" i="17" s="1"/>
  <c r="V12" i="17"/>
  <c r="R13" i="17"/>
  <c r="S38" i="17" s="1"/>
  <c r="AI38" i="17" s="1"/>
  <c r="V13" i="17"/>
  <c r="R14" i="17"/>
  <c r="S39" i="17" s="1"/>
  <c r="AI39" i="17" s="1"/>
  <c r="V14" i="17"/>
  <c r="R15" i="17"/>
  <c r="S40" i="17" s="1"/>
  <c r="AI40" i="17" s="1"/>
  <c r="V15" i="17"/>
  <c r="R16" i="17"/>
  <c r="S41" i="17" s="1"/>
  <c r="AI41" i="17" s="1"/>
  <c r="V16" i="17"/>
  <c r="R17" i="17"/>
  <c r="S42" i="17" s="1"/>
  <c r="AI42" i="17" s="1"/>
  <c r="V17" i="17"/>
  <c r="R18" i="17"/>
  <c r="S43" i="17" s="1"/>
  <c r="AI43" i="17" s="1"/>
  <c r="V18" i="17"/>
  <c r="Q19" i="17"/>
  <c r="AE44" i="17" s="1"/>
  <c r="AH44" i="17" s="1"/>
  <c r="S19" i="17"/>
  <c r="U19" i="17"/>
  <c r="O20" i="17"/>
  <c r="T45" i="17" s="1"/>
  <c r="W45" i="17" s="1"/>
  <c r="Q20" i="17"/>
  <c r="AE45" i="17" s="1"/>
  <c r="AH45" i="17" s="1"/>
  <c r="S20" i="17"/>
  <c r="U20" i="17"/>
  <c r="O21" i="17"/>
  <c r="T46" i="17" s="1"/>
  <c r="W46" i="17" s="1"/>
  <c r="Q21" i="17"/>
  <c r="AE46" i="17" s="1"/>
  <c r="AH46" i="17" s="1"/>
  <c r="S21" i="17"/>
  <c r="U21" i="17"/>
  <c r="O22" i="17"/>
  <c r="T47" i="17" s="1"/>
  <c r="W47" i="17" s="1"/>
  <c r="Q22" i="17"/>
  <c r="AE47" i="17" s="1"/>
  <c r="AH47" i="17" s="1"/>
  <c r="S22" i="17"/>
  <c r="U22" i="17"/>
  <c r="O23" i="17"/>
  <c r="T48" i="17" s="1"/>
  <c r="W48" i="17" s="1"/>
  <c r="Q23" i="17"/>
  <c r="AE48" i="17" s="1"/>
  <c r="AH48" i="17" s="1"/>
  <c r="S23" i="17"/>
  <c r="U23" i="17"/>
  <c r="O24" i="17"/>
  <c r="T49" i="17" s="1"/>
  <c r="W49" i="17" s="1"/>
  <c r="Q24" i="17"/>
  <c r="AE49" i="17" s="1"/>
  <c r="AH49" i="17" s="1"/>
  <c r="S24" i="17"/>
  <c r="U24" i="17"/>
  <c r="T16" i="17"/>
  <c r="T17" i="17"/>
  <c r="T18" i="17"/>
  <c r="R19" i="17"/>
  <c r="S44" i="17" s="1"/>
  <c r="AI44" i="17" s="1"/>
  <c r="V19" i="17"/>
  <c r="R20" i="17"/>
  <c r="S45" i="17" s="1"/>
  <c r="AI45" i="17" s="1"/>
  <c r="V20" i="17"/>
  <c r="R21" i="17"/>
  <c r="S46" i="17" s="1"/>
  <c r="AI46" i="17" s="1"/>
  <c r="V21" i="17"/>
  <c r="R22" i="17"/>
  <c r="S47" i="17" s="1"/>
  <c r="AI47" i="17" s="1"/>
  <c r="V22" i="17"/>
  <c r="R23" i="17"/>
  <c r="S48" i="17" s="1"/>
  <c r="AI48" i="17" s="1"/>
  <c r="V23" i="17"/>
  <c r="R24" i="17"/>
  <c r="S49" i="17" s="1"/>
  <c r="AI49" i="17" s="1"/>
  <c r="V24" i="17"/>
  <c r="R69" i="12"/>
  <c r="S69" i="12" s="1"/>
  <c r="Q67" i="12"/>
  <c r="T67" i="12"/>
  <c r="R67" i="12"/>
  <c r="S67" i="12" s="1"/>
  <c r="Q65" i="12"/>
  <c r="R65" i="12"/>
  <c r="S65" i="12" s="1"/>
  <c r="T65" i="12"/>
  <c r="R61" i="12"/>
  <c r="S61" i="12" s="1"/>
  <c r="Q55" i="12"/>
  <c r="T55" i="12"/>
  <c r="R55" i="12"/>
  <c r="S55" i="12" s="1"/>
  <c r="D68" i="12"/>
  <c r="G68" i="12"/>
  <c r="E68" i="12"/>
  <c r="F68" i="12" s="1"/>
  <c r="D62" i="12"/>
  <c r="E62" i="12"/>
  <c r="F62" i="12" s="1"/>
  <c r="G62" i="12"/>
  <c r="D60" i="12"/>
  <c r="G66" i="12"/>
  <c r="D64" i="12"/>
  <c r="G64" i="12"/>
  <c r="E64" i="12"/>
  <c r="F64" i="12" s="1"/>
  <c r="D56" i="12"/>
  <c r="G56" i="12"/>
  <c r="E56" i="12"/>
  <c r="F56" i="12" s="1"/>
  <c r="C80" i="16"/>
  <c r="D80" i="16"/>
  <c r="H80" i="16"/>
  <c r="L80" i="16"/>
  <c r="P80" i="16"/>
  <c r="T80" i="16"/>
  <c r="X80" i="16"/>
  <c r="AB80" i="16"/>
  <c r="F80" i="16"/>
  <c r="J80" i="16"/>
  <c r="N80" i="16"/>
  <c r="R80" i="16"/>
  <c r="V80" i="16"/>
  <c r="Z80" i="16"/>
  <c r="AD80" i="16"/>
  <c r="C81" i="8"/>
  <c r="H28" i="20"/>
  <c r="I28" i="20" s="1"/>
  <c r="L28" i="20" s="1"/>
  <c r="D81" i="8"/>
  <c r="H81" i="8"/>
  <c r="L81" i="8"/>
  <c r="P81" i="8"/>
  <c r="T81" i="8"/>
  <c r="X81" i="8"/>
  <c r="AB81" i="8"/>
  <c r="F81" i="19"/>
  <c r="J81" i="19"/>
  <c r="N81" i="19"/>
  <c r="R81" i="19"/>
  <c r="V81" i="19"/>
  <c r="F81" i="8"/>
  <c r="J81" i="8"/>
  <c r="N81" i="8"/>
  <c r="R81" i="8"/>
  <c r="V81" i="8"/>
  <c r="Z81" i="8"/>
  <c r="AD81" i="8"/>
  <c r="C81" i="19"/>
  <c r="D81" i="19"/>
  <c r="H81" i="19"/>
  <c r="L81" i="19"/>
  <c r="P81" i="19"/>
  <c r="T81" i="19"/>
  <c r="G5" i="12"/>
  <c r="J5" i="12" s="1"/>
  <c r="G28" i="12"/>
  <c r="J28" i="12" s="1"/>
  <c r="C79" i="8"/>
  <c r="D79" i="8"/>
  <c r="H79" i="8"/>
  <c r="L79" i="8"/>
  <c r="P79" i="8"/>
  <c r="T79" i="8"/>
  <c r="X79" i="8"/>
  <c r="AB79" i="8"/>
  <c r="C79" i="19"/>
  <c r="D79" i="19"/>
  <c r="H79" i="19"/>
  <c r="L79" i="19"/>
  <c r="P79" i="19"/>
  <c r="T79" i="19"/>
  <c r="X79" i="19"/>
  <c r="F79" i="8"/>
  <c r="J79" i="8"/>
  <c r="N79" i="8"/>
  <c r="R79" i="8"/>
  <c r="V79" i="8"/>
  <c r="Z79" i="8"/>
  <c r="AD79" i="8"/>
  <c r="F79" i="19"/>
  <c r="J79" i="19"/>
  <c r="N79" i="19"/>
  <c r="R79" i="19"/>
  <c r="V79" i="19"/>
  <c r="Z79" i="19"/>
  <c r="M53" i="20"/>
  <c r="O53" i="20"/>
  <c r="Q53" i="20"/>
  <c r="S53" i="20"/>
  <c r="U53" i="20"/>
  <c r="M54" i="20"/>
  <c r="O54" i="20"/>
  <c r="Q54" i="20"/>
  <c r="S54" i="20"/>
  <c r="U54" i="20"/>
  <c r="M55" i="20"/>
  <c r="O55" i="20"/>
  <c r="Q55" i="20"/>
  <c r="S55" i="20"/>
  <c r="U55" i="20"/>
  <c r="M56" i="20"/>
  <c r="O56" i="20"/>
  <c r="Q56" i="20"/>
  <c r="S56" i="20"/>
  <c r="U56" i="20"/>
  <c r="M57" i="20"/>
  <c r="O57" i="20"/>
  <c r="Q57" i="20"/>
  <c r="S57" i="20"/>
  <c r="U57" i="20"/>
  <c r="M58" i="20"/>
  <c r="O58" i="20"/>
  <c r="Q58" i="20"/>
  <c r="S58" i="20"/>
  <c r="U58" i="20"/>
  <c r="M59" i="20"/>
  <c r="O59" i="20"/>
  <c r="Q59" i="20"/>
  <c r="S59" i="20"/>
  <c r="U59" i="20"/>
  <c r="M60" i="20"/>
  <c r="O60" i="20"/>
  <c r="Q60" i="20"/>
  <c r="S60" i="20"/>
  <c r="U60" i="20"/>
  <c r="M61" i="20"/>
  <c r="O61" i="20"/>
  <c r="Q61" i="20"/>
  <c r="S61" i="20"/>
  <c r="U61" i="20"/>
  <c r="M62" i="20"/>
  <c r="O62" i="20"/>
  <c r="Q62" i="20"/>
  <c r="S62" i="20"/>
  <c r="U62" i="20"/>
  <c r="M63" i="20"/>
  <c r="O63" i="20"/>
  <c r="Q63" i="20"/>
  <c r="S63" i="20"/>
  <c r="U63" i="20"/>
  <c r="M64" i="20"/>
  <c r="O64" i="20"/>
  <c r="Q64" i="20"/>
  <c r="S64" i="20"/>
  <c r="U64" i="20"/>
  <c r="M65" i="20"/>
  <c r="O65" i="20"/>
  <c r="Q65" i="20"/>
  <c r="S65" i="20"/>
  <c r="U65" i="20"/>
  <c r="M66" i="20"/>
  <c r="O66" i="20"/>
  <c r="Q66" i="20"/>
  <c r="N53" i="20"/>
  <c r="P53" i="20"/>
  <c r="R53" i="20"/>
  <c r="V53" i="20" s="1"/>
  <c r="T53" i="20"/>
  <c r="N54" i="20"/>
  <c r="P54" i="20"/>
  <c r="R54" i="20"/>
  <c r="V54" i="20" s="1"/>
  <c r="T54" i="20"/>
  <c r="N55" i="20"/>
  <c r="P55" i="20"/>
  <c r="R55" i="20"/>
  <c r="V55" i="20" s="1"/>
  <c r="T55" i="20"/>
  <c r="N56" i="20"/>
  <c r="P56" i="20"/>
  <c r="R56" i="20"/>
  <c r="V56" i="20" s="1"/>
  <c r="T56" i="20"/>
  <c r="N57" i="20"/>
  <c r="P57" i="20"/>
  <c r="R57" i="20"/>
  <c r="V57" i="20" s="1"/>
  <c r="T57" i="20"/>
  <c r="N58" i="20"/>
  <c r="P58" i="20"/>
  <c r="R58" i="20"/>
  <c r="V58" i="20" s="1"/>
  <c r="T58" i="20"/>
  <c r="N59" i="20"/>
  <c r="P59" i="20"/>
  <c r="R59" i="20"/>
  <c r="V59" i="20" s="1"/>
  <c r="T59" i="20"/>
  <c r="N60" i="20"/>
  <c r="P60" i="20"/>
  <c r="R60" i="20"/>
  <c r="V60" i="20" s="1"/>
  <c r="T60" i="20"/>
  <c r="N61" i="20"/>
  <c r="P61" i="20"/>
  <c r="R61" i="20"/>
  <c r="V61" i="20" s="1"/>
  <c r="T61" i="20"/>
  <c r="N62" i="20"/>
  <c r="P62" i="20"/>
  <c r="R62" i="20"/>
  <c r="V62" i="20" s="1"/>
  <c r="T62" i="20"/>
  <c r="N63" i="20"/>
  <c r="P63" i="20"/>
  <c r="R63" i="20"/>
  <c r="V63" i="20" s="1"/>
  <c r="T63" i="20"/>
  <c r="N64" i="20"/>
  <c r="P64" i="20"/>
  <c r="R64" i="20"/>
  <c r="V64" i="20" s="1"/>
  <c r="T64" i="20"/>
  <c r="N65" i="20"/>
  <c r="P65" i="20"/>
  <c r="R65" i="20"/>
  <c r="V65" i="20" s="1"/>
  <c r="T65" i="20"/>
  <c r="N66" i="20"/>
  <c r="P66" i="20"/>
  <c r="R66" i="20"/>
  <c r="V66" i="20" s="1"/>
  <c r="T66" i="20"/>
  <c r="N67" i="20"/>
  <c r="P67" i="20"/>
  <c r="R67" i="20"/>
  <c r="V67" i="20" s="1"/>
  <c r="T67" i="20"/>
  <c r="N68" i="20"/>
  <c r="U66" i="20"/>
  <c r="O67" i="20"/>
  <c r="S67" i="20"/>
  <c r="M68" i="20"/>
  <c r="P68" i="20"/>
  <c r="R68" i="20"/>
  <c r="V68" i="20" s="1"/>
  <c r="T68" i="20"/>
  <c r="N69" i="20"/>
  <c r="P69" i="20"/>
  <c r="R69" i="20"/>
  <c r="V69" i="20" s="1"/>
  <c r="T69" i="20"/>
  <c r="S66" i="20"/>
  <c r="M67" i="20"/>
  <c r="Q67" i="20"/>
  <c r="U67" i="20"/>
  <c r="O68" i="20"/>
  <c r="Q68" i="20"/>
  <c r="S68" i="20"/>
  <c r="U68" i="20"/>
  <c r="M69" i="20"/>
  <c r="O69" i="20"/>
  <c r="Q69" i="20"/>
  <c r="S69" i="20"/>
  <c r="U69" i="20"/>
  <c r="G9" i="12"/>
  <c r="J9" i="12" s="1"/>
  <c r="T12" i="12"/>
  <c r="W12" i="12" s="1"/>
  <c r="G13" i="12"/>
  <c r="I13" i="12" s="1"/>
  <c r="T13" i="12"/>
  <c r="W13" i="12" s="1"/>
  <c r="G14" i="12"/>
  <c r="J14" i="12" s="1"/>
  <c r="T14" i="12"/>
  <c r="W14" i="12" s="1"/>
  <c r="G15" i="12"/>
  <c r="I15" i="12" s="1"/>
  <c r="T15" i="12"/>
  <c r="W15" i="12" s="1"/>
  <c r="G16" i="12"/>
  <c r="J16" i="12" s="1"/>
  <c r="T16" i="12"/>
  <c r="W16" i="12" s="1"/>
  <c r="G17" i="12"/>
  <c r="T32" i="12"/>
  <c r="W32" i="12" s="1"/>
  <c r="G33" i="12"/>
  <c r="J33" i="12" s="1"/>
  <c r="T33" i="12"/>
  <c r="W33" i="12" s="1"/>
  <c r="G34" i="12"/>
  <c r="I34" i="12" s="1"/>
  <c r="T34" i="12"/>
  <c r="W34" i="12" s="1"/>
  <c r="G35" i="12"/>
  <c r="J35" i="12" s="1"/>
  <c r="T35" i="12"/>
  <c r="W35" i="12" s="1"/>
  <c r="G36" i="12"/>
  <c r="I36" i="12" s="1"/>
  <c r="T36" i="12"/>
  <c r="V36" i="12" s="1"/>
  <c r="G37" i="12"/>
  <c r="J37" i="12" s="1"/>
  <c r="T37" i="12"/>
  <c r="V37" i="12" s="1"/>
  <c r="G38" i="12"/>
  <c r="I38" i="12" s="1"/>
  <c r="T38" i="12"/>
  <c r="V38" i="12" s="1"/>
  <c r="G39" i="12"/>
  <c r="I39" i="12" s="1"/>
  <c r="H33" i="20"/>
  <c r="H35" i="20"/>
  <c r="H36" i="20"/>
  <c r="H37" i="20"/>
  <c r="H38" i="20"/>
  <c r="H40" i="20"/>
  <c r="H42" i="20"/>
  <c r="H45" i="20"/>
  <c r="H10" i="20"/>
  <c r="H12" i="20"/>
  <c r="H14" i="20"/>
  <c r="H16" i="20"/>
  <c r="H18" i="20"/>
  <c r="H20" i="20"/>
  <c r="H22" i="20"/>
  <c r="H32" i="20"/>
  <c r="H34" i="20"/>
  <c r="H39" i="20"/>
  <c r="H41" i="20"/>
  <c r="H43" i="20"/>
  <c r="H44" i="20"/>
  <c r="H46" i="20"/>
  <c r="H9" i="20"/>
  <c r="H11" i="20"/>
  <c r="H13" i="20"/>
  <c r="H15" i="20"/>
  <c r="H17" i="20"/>
  <c r="H19" i="20"/>
  <c r="H21" i="20"/>
  <c r="H23" i="20"/>
  <c r="T9" i="12"/>
  <c r="W9" i="12" s="1"/>
  <c r="G10" i="12"/>
  <c r="J10" i="12" s="1"/>
  <c r="T10" i="12"/>
  <c r="W10" i="12" s="1"/>
  <c r="G11" i="12"/>
  <c r="I11" i="12" s="1"/>
  <c r="T11" i="12"/>
  <c r="W11" i="12" s="1"/>
  <c r="G12" i="12"/>
  <c r="I12" i="12" s="1"/>
  <c r="T17" i="12"/>
  <c r="W17" i="12" s="1"/>
  <c r="G18" i="12"/>
  <c r="J18" i="12" s="1"/>
  <c r="T18" i="12"/>
  <c r="W18" i="12" s="1"/>
  <c r="G19" i="12"/>
  <c r="I19" i="12" s="1"/>
  <c r="T19" i="12"/>
  <c r="W19" i="12" s="1"/>
  <c r="G20" i="12"/>
  <c r="J20" i="12" s="1"/>
  <c r="T20" i="12"/>
  <c r="W20" i="12" s="1"/>
  <c r="G21" i="12"/>
  <c r="I21" i="12" s="1"/>
  <c r="T21" i="12"/>
  <c r="W21" i="12" s="1"/>
  <c r="G22" i="12"/>
  <c r="J22" i="12" s="1"/>
  <c r="T22" i="12"/>
  <c r="W22" i="12" s="1"/>
  <c r="G23" i="12"/>
  <c r="I23" i="12" s="1"/>
  <c r="T23" i="12"/>
  <c r="W23" i="12" s="1"/>
  <c r="G32" i="12"/>
  <c r="J32" i="12" s="1"/>
  <c r="T39" i="12"/>
  <c r="V39" i="12" s="1"/>
  <c r="G40" i="12"/>
  <c r="I40" i="12" s="1"/>
  <c r="T40" i="12"/>
  <c r="W40" i="12" s="1"/>
  <c r="G41" i="12"/>
  <c r="I41" i="12" s="1"/>
  <c r="T41" i="12"/>
  <c r="V41" i="12" s="1"/>
  <c r="G42" i="12"/>
  <c r="I42" i="12" s="1"/>
  <c r="T42" i="12"/>
  <c r="V42" i="12" s="1"/>
  <c r="G43" i="12"/>
  <c r="I43" i="12" s="1"/>
  <c r="T43" i="12"/>
  <c r="V43" i="12" s="1"/>
  <c r="G44" i="12"/>
  <c r="I44" i="12" s="1"/>
  <c r="T44" i="12"/>
  <c r="V44" i="12" s="1"/>
  <c r="G45" i="12"/>
  <c r="I45" i="12" s="1"/>
  <c r="T45" i="12"/>
  <c r="V45" i="12" s="1"/>
  <c r="G46" i="12"/>
  <c r="I46" i="12" s="1"/>
  <c r="T46" i="12"/>
  <c r="V46" i="12" s="1"/>
  <c r="H36" i="12"/>
  <c r="E20" i="20"/>
  <c r="F20" i="20"/>
  <c r="G20" i="20"/>
  <c r="E16" i="20"/>
  <c r="F16" i="20"/>
  <c r="G16" i="20"/>
  <c r="E12" i="20"/>
  <c r="F12" i="20"/>
  <c r="G12" i="20"/>
  <c r="D46" i="20"/>
  <c r="G46" i="20" s="1"/>
  <c r="E46" i="20"/>
  <c r="F46" i="20" s="1"/>
  <c r="D42" i="20"/>
  <c r="G42" i="20" s="1"/>
  <c r="E42" i="20"/>
  <c r="F42" i="20" s="1"/>
  <c r="D38" i="20"/>
  <c r="G38" i="20" s="1"/>
  <c r="E38" i="20"/>
  <c r="F38" i="20" s="1"/>
  <c r="D34" i="20"/>
  <c r="G34" i="20" s="1"/>
  <c r="E34" i="20"/>
  <c r="F34" i="20" s="1"/>
  <c r="G21" i="20"/>
  <c r="E21" i="20"/>
  <c r="F21" i="20"/>
  <c r="E17" i="20"/>
  <c r="F17" i="20"/>
  <c r="G17" i="20"/>
  <c r="E13" i="20"/>
  <c r="F13" i="20"/>
  <c r="G13" i="20"/>
  <c r="E9" i="20"/>
  <c r="F9" i="20"/>
  <c r="G9" i="20"/>
  <c r="D43" i="20"/>
  <c r="G43" i="20" s="1"/>
  <c r="E43" i="20"/>
  <c r="F43" i="20" s="1"/>
  <c r="D39" i="20"/>
  <c r="G39" i="20" s="1"/>
  <c r="E39" i="20"/>
  <c r="F39" i="20" s="1"/>
  <c r="D35" i="20"/>
  <c r="G35" i="20" s="1"/>
  <c r="E35" i="20"/>
  <c r="F35" i="20" s="1"/>
  <c r="E22" i="20"/>
  <c r="F22" i="20"/>
  <c r="G22" i="20"/>
  <c r="E18" i="20"/>
  <c r="F18" i="20"/>
  <c r="G18" i="20"/>
  <c r="E14" i="20"/>
  <c r="F14" i="20"/>
  <c r="G14" i="20"/>
  <c r="E10" i="20"/>
  <c r="F10" i="20"/>
  <c r="G10" i="20"/>
  <c r="D44" i="20"/>
  <c r="G44" i="20" s="1"/>
  <c r="E44" i="20"/>
  <c r="F44" i="20" s="1"/>
  <c r="D40" i="20"/>
  <c r="G40" i="20" s="1"/>
  <c r="E40" i="20"/>
  <c r="F40" i="20" s="1"/>
  <c r="D36" i="20"/>
  <c r="G36" i="20" s="1"/>
  <c r="E36" i="20"/>
  <c r="F36" i="20" s="1"/>
  <c r="D32" i="20"/>
  <c r="G32" i="20" s="1"/>
  <c r="E32" i="20"/>
  <c r="F32" i="20" s="1"/>
  <c r="E23" i="20"/>
  <c r="F23" i="20"/>
  <c r="G23" i="20"/>
  <c r="G19" i="20"/>
  <c r="E19" i="20"/>
  <c r="F19" i="20"/>
  <c r="G15" i="20"/>
  <c r="E15" i="20"/>
  <c r="F15" i="20"/>
  <c r="G11" i="20"/>
  <c r="E11" i="20"/>
  <c r="F11" i="20"/>
  <c r="D45" i="20"/>
  <c r="G45" i="20" s="1"/>
  <c r="E45" i="20"/>
  <c r="F45" i="20" s="1"/>
  <c r="D41" i="20"/>
  <c r="G41" i="20" s="1"/>
  <c r="E41" i="20"/>
  <c r="F41" i="20" s="1"/>
  <c r="D37" i="20"/>
  <c r="G37" i="20" s="1"/>
  <c r="E37" i="20"/>
  <c r="F37" i="20" s="1"/>
  <c r="D33" i="20"/>
  <c r="G33" i="20" s="1"/>
  <c r="E33" i="20"/>
  <c r="F33" i="20" s="1"/>
  <c r="E79" i="8"/>
  <c r="G79" i="8"/>
  <c r="I79" i="8"/>
  <c r="K79" i="8"/>
  <c r="M79" i="8"/>
  <c r="O79" i="8"/>
  <c r="Q79" i="8"/>
  <c r="S79" i="8"/>
  <c r="U79" i="8"/>
  <c r="W79" i="8"/>
  <c r="Y79" i="8"/>
  <c r="AA79" i="8"/>
  <c r="C80" i="8"/>
  <c r="D80" i="8"/>
  <c r="F80" i="8"/>
  <c r="H80" i="8"/>
  <c r="J80" i="8"/>
  <c r="L80" i="8"/>
  <c r="N80" i="8"/>
  <c r="P80" i="8"/>
  <c r="R80" i="8"/>
  <c r="T80" i="8"/>
  <c r="V80" i="8"/>
  <c r="X80" i="8"/>
  <c r="Z80" i="8"/>
  <c r="AB80" i="8"/>
  <c r="AD80" i="8"/>
  <c r="E81" i="8"/>
  <c r="G81" i="8"/>
  <c r="I81" i="8"/>
  <c r="K81" i="8"/>
  <c r="M81" i="8"/>
  <c r="O81" i="8"/>
  <c r="Q81" i="8"/>
  <c r="S81" i="8"/>
  <c r="U81" i="8"/>
  <c r="W81" i="8"/>
  <c r="Y81" i="8"/>
  <c r="AA81" i="8"/>
  <c r="C82" i="8"/>
  <c r="D82" i="8"/>
  <c r="F82" i="8"/>
  <c r="H82" i="8"/>
  <c r="J82" i="8"/>
  <c r="L82" i="8"/>
  <c r="N82" i="8"/>
  <c r="P82" i="8"/>
  <c r="R82" i="8"/>
  <c r="T82" i="8"/>
  <c r="V82" i="8"/>
  <c r="X82" i="8"/>
  <c r="Z82" i="8"/>
  <c r="AB82" i="8"/>
  <c r="AD82" i="8"/>
  <c r="E83" i="8"/>
  <c r="G83" i="8"/>
  <c r="I83" i="8"/>
  <c r="K83" i="8"/>
  <c r="M83" i="8"/>
  <c r="O83" i="8"/>
  <c r="Q83" i="8"/>
  <c r="S83" i="8"/>
  <c r="U83" i="8"/>
  <c r="W83" i="8"/>
  <c r="Y83" i="8"/>
  <c r="AA83" i="8"/>
  <c r="C84" i="8"/>
  <c r="D84" i="8"/>
  <c r="F84" i="8"/>
  <c r="H84" i="8"/>
  <c r="J84" i="8"/>
  <c r="L84" i="8"/>
  <c r="N84" i="8"/>
  <c r="P84" i="8"/>
  <c r="R84" i="8"/>
  <c r="T84" i="8"/>
  <c r="V84" i="8"/>
  <c r="X84" i="8"/>
  <c r="Z84" i="8"/>
  <c r="AB84" i="8"/>
  <c r="AD84" i="8"/>
  <c r="E85" i="8"/>
  <c r="G85" i="8"/>
  <c r="I85" i="8"/>
  <c r="K85" i="8"/>
  <c r="M85" i="8"/>
  <c r="O85" i="8"/>
  <c r="Q85" i="8"/>
  <c r="S85" i="8"/>
  <c r="U85" i="8"/>
  <c r="W85" i="8"/>
  <c r="Y85" i="8"/>
  <c r="AA85" i="8"/>
  <c r="C86" i="8"/>
  <c r="D86" i="8"/>
  <c r="F86" i="8"/>
  <c r="H86" i="8"/>
  <c r="J86" i="8"/>
  <c r="L86" i="8"/>
  <c r="N86" i="8"/>
  <c r="P86" i="8"/>
  <c r="R86" i="8"/>
  <c r="T86" i="8"/>
  <c r="V86" i="8"/>
  <c r="X86" i="8"/>
  <c r="Z86" i="8"/>
  <c r="AB86" i="8"/>
  <c r="AD86" i="8"/>
  <c r="E87" i="8"/>
  <c r="G87" i="8"/>
  <c r="I87" i="8"/>
  <c r="K87" i="8"/>
  <c r="M87" i="8"/>
  <c r="O87" i="8"/>
  <c r="Q87" i="8"/>
  <c r="S87" i="8"/>
  <c r="U87" i="8"/>
  <c r="W87" i="8"/>
  <c r="Y87" i="8"/>
  <c r="AA87" i="8"/>
  <c r="C88" i="8"/>
  <c r="D88" i="8"/>
  <c r="F88" i="8"/>
  <c r="H88" i="8"/>
  <c r="J88" i="8"/>
  <c r="L88" i="8"/>
  <c r="N88" i="8"/>
  <c r="P88" i="8"/>
  <c r="R88" i="8"/>
  <c r="T88" i="8"/>
  <c r="V88" i="8"/>
  <c r="X88" i="8"/>
  <c r="Z88" i="8"/>
  <c r="AB88" i="8"/>
  <c r="AD88" i="8"/>
  <c r="E89" i="8"/>
  <c r="G89" i="8"/>
  <c r="I89" i="8"/>
  <c r="K89" i="8"/>
  <c r="M89" i="8"/>
  <c r="O89" i="8"/>
  <c r="Q89" i="8"/>
  <c r="S89" i="8"/>
  <c r="U89" i="8"/>
  <c r="W89" i="8"/>
  <c r="Y89" i="8"/>
  <c r="AA89" i="8"/>
  <c r="C90" i="8"/>
  <c r="D90" i="8"/>
  <c r="F90" i="8"/>
  <c r="H90" i="8"/>
  <c r="J90" i="8"/>
  <c r="L90" i="8"/>
  <c r="N90" i="8"/>
  <c r="P90" i="8"/>
  <c r="R90" i="8"/>
  <c r="T90" i="8"/>
  <c r="V90" i="8"/>
  <c r="X90" i="8"/>
  <c r="Z90" i="8"/>
  <c r="AB90" i="8"/>
  <c r="AD90" i="8"/>
  <c r="E91" i="8"/>
  <c r="G91" i="8"/>
  <c r="I91" i="8"/>
  <c r="K91" i="8"/>
  <c r="M91" i="8"/>
  <c r="O91" i="8"/>
  <c r="Q91" i="8"/>
  <c r="S91" i="8"/>
  <c r="U91" i="8"/>
  <c r="W91" i="8"/>
  <c r="Y91" i="8"/>
  <c r="AA91" i="8"/>
  <c r="C92" i="8"/>
  <c r="D92" i="8"/>
  <c r="H92" i="8"/>
  <c r="L92" i="8"/>
  <c r="P92" i="8"/>
  <c r="T92" i="8"/>
  <c r="X92" i="8"/>
  <c r="AD93" i="8"/>
  <c r="AB93" i="8"/>
  <c r="Z93" i="8"/>
  <c r="X93" i="8"/>
  <c r="V93" i="8"/>
  <c r="T93" i="8"/>
  <c r="R93" i="8"/>
  <c r="P93" i="8"/>
  <c r="N93" i="8"/>
  <c r="L93" i="8"/>
  <c r="J93" i="8"/>
  <c r="H93" i="8"/>
  <c r="F93" i="8"/>
  <c r="D93" i="8"/>
  <c r="C93" i="8"/>
  <c r="G93" i="8"/>
  <c r="K93" i="8"/>
  <c r="O93" i="8"/>
  <c r="S93" i="8"/>
  <c r="W93" i="8"/>
  <c r="AA93" i="8"/>
  <c r="AD95" i="8"/>
  <c r="AB95" i="8"/>
  <c r="Z95" i="8"/>
  <c r="X95" i="8"/>
  <c r="V95" i="8"/>
  <c r="T95" i="8"/>
  <c r="R95" i="8"/>
  <c r="P95" i="8"/>
  <c r="N95" i="8"/>
  <c r="L95" i="8"/>
  <c r="J95" i="8"/>
  <c r="H95" i="8"/>
  <c r="F95" i="8"/>
  <c r="D95" i="8"/>
  <c r="C95" i="8"/>
  <c r="G95" i="8"/>
  <c r="K95" i="8"/>
  <c r="O95" i="8"/>
  <c r="S95" i="8"/>
  <c r="W95" i="8"/>
  <c r="AA95" i="8"/>
  <c r="E80" i="8"/>
  <c r="G80" i="8"/>
  <c r="I80" i="8"/>
  <c r="K80" i="8"/>
  <c r="M80" i="8"/>
  <c r="O80" i="8"/>
  <c r="Q80" i="8"/>
  <c r="S80" i="8"/>
  <c r="U80" i="8"/>
  <c r="W80" i="8"/>
  <c r="Y80" i="8"/>
  <c r="AA80" i="8"/>
  <c r="E82" i="8"/>
  <c r="G82" i="8"/>
  <c r="I82" i="8"/>
  <c r="K82" i="8"/>
  <c r="M82" i="8"/>
  <c r="O82" i="8"/>
  <c r="Q82" i="8"/>
  <c r="S82" i="8"/>
  <c r="U82" i="8"/>
  <c r="W82" i="8"/>
  <c r="Y82" i="8"/>
  <c r="AA82" i="8"/>
  <c r="E84" i="8"/>
  <c r="G84" i="8"/>
  <c r="I84" i="8"/>
  <c r="K84" i="8"/>
  <c r="M84" i="8"/>
  <c r="O84" i="8"/>
  <c r="Q84" i="8"/>
  <c r="S84" i="8"/>
  <c r="U84" i="8"/>
  <c r="W84" i="8"/>
  <c r="Y84" i="8"/>
  <c r="AA84" i="8"/>
  <c r="E86" i="8"/>
  <c r="G86" i="8"/>
  <c r="I86" i="8"/>
  <c r="K86" i="8"/>
  <c r="M86" i="8"/>
  <c r="O86" i="8"/>
  <c r="Q86" i="8"/>
  <c r="S86" i="8"/>
  <c r="U86" i="8"/>
  <c r="W86" i="8"/>
  <c r="Y86" i="8"/>
  <c r="AA86" i="8"/>
  <c r="E88" i="8"/>
  <c r="G88" i="8"/>
  <c r="I88" i="8"/>
  <c r="K88" i="8"/>
  <c r="M88" i="8"/>
  <c r="O88" i="8"/>
  <c r="Q88" i="8"/>
  <c r="S88" i="8"/>
  <c r="U88" i="8"/>
  <c r="W88" i="8"/>
  <c r="Y88" i="8"/>
  <c r="AA88" i="8"/>
  <c r="E90" i="8"/>
  <c r="G90" i="8"/>
  <c r="I90" i="8"/>
  <c r="K90" i="8"/>
  <c r="M90" i="8"/>
  <c r="O90" i="8"/>
  <c r="Q90" i="8"/>
  <c r="S90" i="8"/>
  <c r="U90" i="8"/>
  <c r="W90" i="8"/>
  <c r="Y90" i="8"/>
  <c r="AA90" i="8"/>
  <c r="AC92" i="8"/>
  <c r="AA92" i="8"/>
  <c r="Y92" i="8"/>
  <c r="W92" i="8"/>
  <c r="U92" i="8"/>
  <c r="S92" i="8"/>
  <c r="Q92" i="8"/>
  <c r="O92" i="8"/>
  <c r="M92" i="8"/>
  <c r="K92" i="8"/>
  <c r="I92" i="8"/>
  <c r="G92" i="8"/>
  <c r="E92" i="8"/>
  <c r="F92" i="8"/>
  <c r="J92" i="8"/>
  <c r="N92" i="8"/>
  <c r="R92" i="8"/>
  <c r="V92" i="8"/>
  <c r="Z92" i="8"/>
  <c r="AD92" i="8"/>
  <c r="E94" i="8"/>
  <c r="G94" i="8"/>
  <c r="I94" i="8"/>
  <c r="K94" i="8"/>
  <c r="M94" i="8"/>
  <c r="O94" i="8"/>
  <c r="Q94" i="8"/>
  <c r="S94" i="8"/>
  <c r="U94" i="8"/>
  <c r="W94" i="8"/>
  <c r="Y94" i="8"/>
  <c r="AA94" i="8"/>
  <c r="E96" i="8"/>
  <c r="G96" i="8"/>
  <c r="I96" i="8"/>
  <c r="K96" i="8"/>
  <c r="M96" i="8"/>
  <c r="O96" i="8"/>
  <c r="Q96" i="8"/>
  <c r="S96" i="8"/>
  <c r="U96" i="8"/>
  <c r="W96" i="8"/>
  <c r="Y96" i="8"/>
  <c r="AA96" i="8"/>
  <c r="C97" i="8"/>
  <c r="D97" i="8"/>
  <c r="F97" i="8"/>
  <c r="H97" i="8"/>
  <c r="J97" i="8"/>
  <c r="L97" i="8"/>
  <c r="N97" i="8"/>
  <c r="P97" i="8"/>
  <c r="R97" i="8"/>
  <c r="T97" i="8"/>
  <c r="V97" i="8"/>
  <c r="X97" i="8"/>
  <c r="Z97" i="8"/>
  <c r="AB97" i="8"/>
  <c r="AD97" i="8"/>
  <c r="E98" i="8"/>
  <c r="G98" i="8"/>
  <c r="I98" i="8"/>
  <c r="K98" i="8"/>
  <c r="M98" i="8"/>
  <c r="O98" i="8"/>
  <c r="Q98" i="8"/>
  <c r="S98" i="8"/>
  <c r="U98" i="8"/>
  <c r="W98" i="8"/>
  <c r="Y98" i="8"/>
  <c r="AA98" i="8"/>
  <c r="C79" i="16"/>
  <c r="D79" i="16"/>
  <c r="F79" i="16"/>
  <c r="H79" i="16"/>
  <c r="J79" i="16"/>
  <c r="L79" i="16"/>
  <c r="N79" i="16"/>
  <c r="P79" i="16"/>
  <c r="R79" i="16"/>
  <c r="T79" i="16"/>
  <c r="V79" i="16"/>
  <c r="X79" i="16"/>
  <c r="Z79" i="16"/>
  <c r="AB79" i="16"/>
  <c r="AD79" i="16"/>
  <c r="E80" i="16"/>
  <c r="G80" i="16"/>
  <c r="I80" i="16"/>
  <c r="K80" i="16"/>
  <c r="M80" i="16"/>
  <c r="O80" i="16"/>
  <c r="Q80" i="16"/>
  <c r="S80" i="16"/>
  <c r="U80" i="16"/>
  <c r="W80" i="16"/>
  <c r="Y80" i="16"/>
  <c r="AA80" i="16"/>
  <c r="C81" i="16"/>
  <c r="D81" i="16"/>
  <c r="F81" i="16"/>
  <c r="H81" i="16"/>
  <c r="J81" i="16"/>
  <c r="L81" i="16"/>
  <c r="N81" i="16"/>
  <c r="P81" i="16"/>
  <c r="R81" i="16"/>
  <c r="T81" i="16"/>
  <c r="V81" i="16"/>
  <c r="X81" i="16"/>
  <c r="Z81" i="16"/>
  <c r="AB81" i="16"/>
  <c r="AD81" i="16"/>
  <c r="E82" i="16"/>
  <c r="G82" i="16"/>
  <c r="I82" i="16"/>
  <c r="K82" i="16"/>
  <c r="M82" i="16"/>
  <c r="O82" i="16"/>
  <c r="Q82" i="16"/>
  <c r="S82" i="16"/>
  <c r="U82" i="16"/>
  <c r="W82" i="16"/>
  <c r="Y82" i="16"/>
  <c r="AA82" i="16"/>
  <c r="C83" i="16"/>
  <c r="D83" i="16"/>
  <c r="F83" i="16"/>
  <c r="H83" i="16"/>
  <c r="J83" i="16"/>
  <c r="L83" i="16"/>
  <c r="N83" i="16"/>
  <c r="P83" i="16"/>
  <c r="R83" i="16"/>
  <c r="T83" i="16"/>
  <c r="V83" i="16"/>
  <c r="X83" i="16"/>
  <c r="Z83" i="16"/>
  <c r="AB83" i="16"/>
  <c r="AD83" i="16"/>
  <c r="E84" i="16"/>
  <c r="G84" i="16"/>
  <c r="I84" i="16"/>
  <c r="K84" i="16"/>
  <c r="M84" i="16"/>
  <c r="O84" i="16"/>
  <c r="Q84" i="16"/>
  <c r="S84" i="16"/>
  <c r="U84" i="16"/>
  <c r="W84" i="16"/>
  <c r="Y84" i="16"/>
  <c r="AA84" i="16"/>
  <c r="C85" i="16"/>
  <c r="D85" i="16"/>
  <c r="F85" i="16"/>
  <c r="H85" i="16"/>
  <c r="J85" i="16"/>
  <c r="L85" i="16"/>
  <c r="N85" i="16"/>
  <c r="P85" i="16"/>
  <c r="R85" i="16"/>
  <c r="T85" i="16"/>
  <c r="V85" i="16"/>
  <c r="X85" i="16"/>
  <c r="Z85" i="16"/>
  <c r="AB85" i="16"/>
  <c r="AD85" i="16"/>
  <c r="E86" i="16"/>
  <c r="G86" i="16"/>
  <c r="I86" i="16"/>
  <c r="K86" i="16"/>
  <c r="M86" i="16"/>
  <c r="O86" i="16"/>
  <c r="Q86" i="16"/>
  <c r="S86" i="16"/>
  <c r="U86" i="16"/>
  <c r="W86" i="16"/>
  <c r="Y86" i="16"/>
  <c r="AA86" i="16"/>
  <c r="C87" i="16"/>
  <c r="D87" i="16"/>
  <c r="F87" i="16"/>
  <c r="H87" i="16"/>
  <c r="J87" i="16"/>
  <c r="L87" i="16"/>
  <c r="N87" i="16"/>
  <c r="P87" i="16"/>
  <c r="R87" i="16"/>
  <c r="T87" i="16"/>
  <c r="V87" i="16"/>
  <c r="X87" i="16"/>
  <c r="Z87" i="16"/>
  <c r="AB87" i="16"/>
  <c r="AD87" i="16"/>
  <c r="E88" i="16"/>
  <c r="G88" i="16"/>
  <c r="I88" i="16"/>
  <c r="K88" i="16"/>
  <c r="M88" i="16"/>
  <c r="O88" i="16"/>
  <c r="Q88" i="16"/>
  <c r="S88" i="16"/>
  <c r="U88" i="16"/>
  <c r="W88" i="16"/>
  <c r="Y88" i="16"/>
  <c r="AA88" i="16"/>
  <c r="C89" i="16"/>
  <c r="D89" i="16"/>
  <c r="F89" i="16"/>
  <c r="H89" i="16"/>
  <c r="J89" i="16"/>
  <c r="L89" i="16"/>
  <c r="N89" i="16"/>
  <c r="P89" i="16"/>
  <c r="R89" i="16"/>
  <c r="T89" i="16"/>
  <c r="V89" i="16"/>
  <c r="X89" i="16"/>
  <c r="Z89" i="16"/>
  <c r="AB89" i="16"/>
  <c r="AD89" i="16"/>
  <c r="E90" i="16"/>
  <c r="G90" i="16"/>
  <c r="I90" i="16"/>
  <c r="K90" i="16"/>
  <c r="M90" i="16"/>
  <c r="O90" i="16"/>
  <c r="Q90" i="16"/>
  <c r="S90" i="16"/>
  <c r="U90" i="16"/>
  <c r="W90" i="16"/>
  <c r="Y90" i="16"/>
  <c r="AA90" i="16"/>
  <c r="C91" i="16"/>
  <c r="D91" i="16"/>
  <c r="F91" i="16"/>
  <c r="H91" i="16"/>
  <c r="J91" i="16"/>
  <c r="L91" i="16"/>
  <c r="N91" i="16"/>
  <c r="P91" i="16"/>
  <c r="R91" i="16"/>
  <c r="T91" i="16"/>
  <c r="V91" i="16"/>
  <c r="X91" i="16"/>
  <c r="Z91" i="16"/>
  <c r="AB91" i="16"/>
  <c r="AD91" i="16"/>
  <c r="E92" i="16"/>
  <c r="G92" i="16"/>
  <c r="I92" i="16"/>
  <c r="K92" i="16"/>
  <c r="M92" i="16"/>
  <c r="O92" i="16"/>
  <c r="Q92" i="16"/>
  <c r="S92" i="16"/>
  <c r="U92" i="16"/>
  <c r="W92" i="16"/>
  <c r="Y92" i="16"/>
  <c r="AA92" i="16"/>
  <c r="C93" i="16"/>
  <c r="D93" i="16"/>
  <c r="F93" i="16"/>
  <c r="H93" i="16"/>
  <c r="J93" i="16"/>
  <c r="L93" i="16"/>
  <c r="N93" i="16"/>
  <c r="P93" i="16"/>
  <c r="R93" i="16"/>
  <c r="T93" i="16"/>
  <c r="V93" i="16"/>
  <c r="X93" i="16"/>
  <c r="Z93" i="16"/>
  <c r="AB93" i="16"/>
  <c r="AD93" i="16"/>
  <c r="E94" i="16"/>
  <c r="G94" i="16"/>
  <c r="I94" i="16"/>
  <c r="K94" i="16"/>
  <c r="M94" i="16"/>
  <c r="O94" i="16"/>
  <c r="Q94" i="16"/>
  <c r="S94" i="16"/>
  <c r="U94" i="16"/>
  <c r="W94" i="16"/>
  <c r="Y94" i="16"/>
  <c r="AA94" i="16"/>
  <c r="C95" i="16"/>
  <c r="D95" i="16"/>
  <c r="F95" i="16"/>
  <c r="H95" i="16"/>
  <c r="J95" i="16"/>
  <c r="L95" i="16"/>
  <c r="N95" i="16"/>
  <c r="P95" i="16"/>
  <c r="R95" i="16"/>
  <c r="T95" i="16"/>
  <c r="V95" i="16"/>
  <c r="X95" i="16"/>
  <c r="Z95" i="16"/>
  <c r="AB95" i="16"/>
  <c r="AD95" i="16"/>
  <c r="AC96" i="16"/>
  <c r="AA96" i="16"/>
  <c r="Y96" i="16"/>
  <c r="AD96" i="16"/>
  <c r="AB96" i="16"/>
  <c r="Z96" i="16"/>
  <c r="X96" i="16"/>
  <c r="V96" i="16"/>
  <c r="T96" i="16"/>
  <c r="R96" i="16"/>
  <c r="P96" i="16"/>
  <c r="N96" i="16"/>
  <c r="L96" i="16"/>
  <c r="J96" i="16"/>
  <c r="H96" i="16"/>
  <c r="F96" i="16"/>
  <c r="E96" i="16"/>
  <c r="I96" i="16"/>
  <c r="M96" i="16"/>
  <c r="Q96" i="16"/>
  <c r="U96" i="16"/>
  <c r="E97" i="8"/>
  <c r="G97" i="8"/>
  <c r="I97" i="8"/>
  <c r="K97" i="8"/>
  <c r="M97" i="8"/>
  <c r="O97" i="8"/>
  <c r="Q97" i="8"/>
  <c r="S97" i="8"/>
  <c r="U97" i="8"/>
  <c r="W97" i="8"/>
  <c r="Y97" i="8"/>
  <c r="AA97" i="8"/>
  <c r="E79" i="16"/>
  <c r="G79" i="16"/>
  <c r="I79" i="16"/>
  <c r="K79" i="16"/>
  <c r="M79" i="16"/>
  <c r="O79" i="16"/>
  <c r="Q79" i="16"/>
  <c r="S79" i="16"/>
  <c r="U79" i="16"/>
  <c r="W79" i="16"/>
  <c r="Y79" i="16"/>
  <c r="AA79" i="16"/>
  <c r="E81" i="16"/>
  <c r="G81" i="16"/>
  <c r="I81" i="16"/>
  <c r="K81" i="16"/>
  <c r="M81" i="16"/>
  <c r="O81" i="16"/>
  <c r="Q81" i="16"/>
  <c r="S81" i="16"/>
  <c r="U81" i="16"/>
  <c r="W81" i="16"/>
  <c r="Y81" i="16"/>
  <c r="AA81" i="16"/>
  <c r="E83" i="16"/>
  <c r="G83" i="16"/>
  <c r="I83" i="16"/>
  <c r="K83" i="16"/>
  <c r="M83" i="16"/>
  <c r="O83" i="16"/>
  <c r="Q83" i="16"/>
  <c r="S83" i="16"/>
  <c r="U83" i="16"/>
  <c r="W83" i="16"/>
  <c r="Y83" i="16"/>
  <c r="AA83" i="16"/>
  <c r="E85" i="16"/>
  <c r="G85" i="16"/>
  <c r="I85" i="16"/>
  <c r="K85" i="16"/>
  <c r="M85" i="16"/>
  <c r="O85" i="16"/>
  <c r="Q85" i="16"/>
  <c r="S85" i="16"/>
  <c r="U85" i="16"/>
  <c r="W85" i="16"/>
  <c r="Y85" i="16"/>
  <c r="AA85" i="16"/>
  <c r="E87" i="16"/>
  <c r="G87" i="16"/>
  <c r="I87" i="16"/>
  <c r="K87" i="16"/>
  <c r="M87" i="16"/>
  <c r="O87" i="16"/>
  <c r="Q87" i="16"/>
  <c r="S87" i="16"/>
  <c r="U87" i="16"/>
  <c r="W87" i="16"/>
  <c r="Y87" i="16"/>
  <c r="AA87" i="16"/>
  <c r="E89" i="16"/>
  <c r="G89" i="16"/>
  <c r="I89" i="16"/>
  <c r="K89" i="16"/>
  <c r="M89" i="16"/>
  <c r="O89" i="16"/>
  <c r="Q89" i="16"/>
  <c r="S89" i="16"/>
  <c r="U89" i="16"/>
  <c r="W89" i="16"/>
  <c r="Y89" i="16"/>
  <c r="AA89" i="16"/>
  <c r="E91" i="16"/>
  <c r="G91" i="16"/>
  <c r="I91" i="16"/>
  <c r="K91" i="16"/>
  <c r="M91" i="16"/>
  <c r="O91" i="16"/>
  <c r="Q91" i="16"/>
  <c r="S91" i="16"/>
  <c r="U91" i="16"/>
  <c r="W91" i="16"/>
  <c r="Y91" i="16"/>
  <c r="AA91" i="16"/>
  <c r="E93" i="16"/>
  <c r="G93" i="16"/>
  <c r="I93" i="16"/>
  <c r="K93" i="16"/>
  <c r="M93" i="16"/>
  <c r="O93" i="16"/>
  <c r="Q93" i="16"/>
  <c r="S93" i="16"/>
  <c r="U93" i="16"/>
  <c r="W93" i="16"/>
  <c r="Y93" i="16"/>
  <c r="AA93" i="16"/>
  <c r="E95" i="16"/>
  <c r="G95" i="16"/>
  <c r="I95" i="16"/>
  <c r="K95" i="16"/>
  <c r="M95" i="16"/>
  <c r="O95" i="16"/>
  <c r="Q95" i="16"/>
  <c r="S95" i="16"/>
  <c r="U95" i="16"/>
  <c r="W95" i="16"/>
  <c r="Y95" i="16"/>
  <c r="AA95" i="16"/>
  <c r="E97" i="16"/>
  <c r="G97" i="16"/>
  <c r="I97" i="16"/>
  <c r="K97" i="16"/>
  <c r="M97" i="16"/>
  <c r="O97" i="16"/>
  <c r="Q97" i="16"/>
  <c r="S97" i="16"/>
  <c r="U97" i="16"/>
  <c r="W97" i="16"/>
  <c r="Y97" i="16"/>
  <c r="AA97" i="16"/>
  <c r="C98" i="16"/>
  <c r="D98" i="16"/>
  <c r="F98" i="16"/>
  <c r="H98" i="16"/>
  <c r="J98" i="16"/>
  <c r="L98" i="16"/>
  <c r="N98" i="16"/>
  <c r="P98" i="16"/>
  <c r="R98" i="16"/>
  <c r="T98" i="16"/>
  <c r="V98" i="16"/>
  <c r="X98" i="16"/>
  <c r="Z98" i="16"/>
  <c r="AB98" i="16"/>
  <c r="AD98" i="16"/>
  <c r="E79" i="19"/>
  <c r="G79" i="19"/>
  <c r="I79" i="19"/>
  <c r="K79" i="19"/>
  <c r="M79" i="19"/>
  <c r="O79" i="19"/>
  <c r="Q79" i="19"/>
  <c r="S79" i="19"/>
  <c r="U79" i="19"/>
  <c r="W79" i="19"/>
  <c r="Y79" i="19"/>
  <c r="AA79" i="19"/>
  <c r="AC79" i="19"/>
  <c r="C80" i="19"/>
  <c r="D80" i="19"/>
  <c r="F80" i="19"/>
  <c r="H80" i="19"/>
  <c r="J80" i="19"/>
  <c r="L80" i="19"/>
  <c r="N80" i="19"/>
  <c r="P80" i="19"/>
  <c r="R80" i="19"/>
  <c r="T80" i="19"/>
  <c r="V80" i="19"/>
  <c r="X80" i="19"/>
  <c r="Z80" i="19"/>
  <c r="AB80" i="19"/>
  <c r="AD80" i="19"/>
  <c r="E81" i="19"/>
  <c r="G81" i="19"/>
  <c r="I81" i="19"/>
  <c r="K81" i="19"/>
  <c r="M81" i="19"/>
  <c r="O81" i="19"/>
  <c r="Q81" i="19"/>
  <c r="S81" i="19"/>
  <c r="U81" i="19"/>
  <c r="W81" i="19"/>
  <c r="Y81" i="19"/>
  <c r="AA81" i="19"/>
  <c r="AC81" i="19"/>
  <c r="C82" i="19"/>
  <c r="D82" i="19"/>
  <c r="F82" i="19"/>
  <c r="H82" i="19"/>
  <c r="J82" i="19"/>
  <c r="L82" i="19"/>
  <c r="N82" i="19"/>
  <c r="P82" i="19"/>
  <c r="R82" i="19"/>
  <c r="T82" i="19"/>
  <c r="V82" i="19"/>
  <c r="X82" i="19"/>
  <c r="Z82" i="19"/>
  <c r="AB82" i="19"/>
  <c r="AD82" i="19"/>
  <c r="E83" i="19"/>
  <c r="G83" i="19"/>
  <c r="I83" i="19"/>
  <c r="K83" i="19"/>
  <c r="M83" i="19"/>
  <c r="O83" i="19"/>
  <c r="Q83" i="19"/>
  <c r="S83" i="19"/>
  <c r="U83" i="19"/>
  <c r="W83" i="19"/>
  <c r="Y83" i="19"/>
  <c r="AA83" i="19"/>
  <c r="AC83" i="19"/>
  <c r="C84" i="19"/>
  <c r="D84" i="19"/>
  <c r="F84" i="19"/>
  <c r="H84" i="19"/>
  <c r="J84" i="19"/>
  <c r="L84" i="19"/>
  <c r="N84" i="19"/>
  <c r="P84" i="19"/>
  <c r="R84" i="19"/>
  <c r="T84" i="19"/>
  <c r="V84" i="19"/>
  <c r="X84" i="19"/>
  <c r="Z84" i="19"/>
  <c r="AB84" i="19"/>
  <c r="AD84" i="19"/>
  <c r="E85" i="19"/>
  <c r="G85" i="19"/>
  <c r="I85" i="19"/>
  <c r="K85" i="19"/>
  <c r="M85" i="19"/>
  <c r="O85" i="19"/>
  <c r="Q85" i="19"/>
  <c r="S85" i="19"/>
  <c r="U85" i="19"/>
  <c r="W85" i="19"/>
  <c r="Y85" i="19"/>
  <c r="AA85" i="19"/>
  <c r="AC85" i="19"/>
  <c r="C86" i="19"/>
  <c r="D86" i="19"/>
  <c r="F86" i="19"/>
  <c r="H86" i="19"/>
  <c r="J86" i="19"/>
  <c r="L86" i="19"/>
  <c r="N86" i="19"/>
  <c r="P86" i="19"/>
  <c r="R86" i="19"/>
  <c r="T86" i="19"/>
  <c r="V86" i="19"/>
  <c r="X86" i="19"/>
  <c r="Z86" i="19"/>
  <c r="AB86" i="19"/>
  <c r="AD86" i="19"/>
  <c r="E87" i="19"/>
  <c r="G87" i="19"/>
  <c r="I87" i="19"/>
  <c r="K87" i="19"/>
  <c r="M87" i="19"/>
  <c r="O87" i="19"/>
  <c r="Q87" i="19"/>
  <c r="S87" i="19"/>
  <c r="U87" i="19"/>
  <c r="W87" i="19"/>
  <c r="Y87" i="19"/>
  <c r="AA87" i="19"/>
  <c r="AC87" i="19"/>
  <c r="C88" i="19"/>
  <c r="D88" i="19"/>
  <c r="F88" i="19"/>
  <c r="H88" i="19"/>
  <c r="J88" i="19"/>
  <c r="L88" i="19"/>
  <c r="N88" i="19"/>
  <c r="P88" i="19"/>
  <c r="R88" i="19"/>
  <c r="T88" i="19"/>
  <c r="V88" i="19"/>
  <c r="X88" i="19"/>
  <c r="Z88" i="19"/>
  <c r="AB88" i="19"/>
  <c r="AD88" i="19"/>
  <c r="E89" i="19"/>
  <c r="G89" i="19"/>
  <c r="I89" i="19"/>
  <c r="K89" i="19"/>
  <c r="M89" i="19"/>
  <c r="O89" i="19"/>
  <c r="Q89" i="19"/>
  <c r="S89" i="19"/>
  <c r="U89" i="19"/>
  <c r="W89" i="19"/>
  <c r="Y89" i="19"/>
  <c r="AA89" i="19"/>
  <c r="AC89" i="19"/>
  <c r="C90" i="19"/>
  <c r="D90" i="19"/>
  <c r="F90" i="19"/>
  <c r="H90" i="19"/>
  <c r="J90" i="19"/>
  <c r="L90" i="19"/>
  <c r="N90" i="19"/>
  <c r="P90" i="19"/>
  <c r="R90" i="19"/>
  <c r="T90" i="19"/>
  <c r="V90" i="19"/>
  <c r="X90" i="19"/>
  <c r="Z90" i="19"/>
  <c r="AB90" i="19"/>
  <c r="AD90" i="19"/>
  <c r="E91" i="19"/>
  <c r="G91" i="19"/>
  <c r="I91" i="19"/>
  <c r="K91" i="19"/>
  <c r="M91" i="19"/>
  <c r="O91" i="19"/>
  <c r="Q91" i="19"/>
  <c r="S91" i="19"/>
  <c r="U91" i="19"/>
  <c r="W91" i="19"/>
  <c r="Y91" i="19"/>
  <c r="AA91" i="19"/>
  <c r="AC91" i="19"/>
  <c r="C92" i="19"/>
  <c r="D92" i="19"/>
  <c r="F92" i="19"/>
  <c r="H92" i="19"/>
  <c r="J92" i="19"/>
  <c r="L92" i="19"/>
  <c r="N92" i="19"/>
  <c r="P92" i="19"/>
  <c r="R92" i="19"/>
  <c r="T92" i="19"/>
  <c r="V92" i="19"/>
  <c r="X92" i="19"/>
  <c r="Z92" i="19"/>
  <c r="AB92" i="19"/>
  <c r="AD92" i="19"/>
  <c r="E93" i="19"/>
  <c r="G93" i="19"/>
  <c r="I93" i="19"/>
  <c r="K93" i="19"/>
  <c r="M93" i="19"/>
  <c r="O93" i="19"/>
  <c r="Q93" i="19"/>
  <c r="S93" i="19"/>
  <c r="U93" i="19"/>
  <c r="W93" i="19"/>
  <c r="Y93" i="19"/>
  <c r="AA93" i="19"/>
  <c r="AC93" i="19"/>
  <c r="C94" i="19"/>
  <c r="D94" i="19"/>
  <c r="F94" i="19"/>
  <c r="H94" i="19"/>
  <c r="J94" i="19"/>
  <c r="L94" i="19"/>
  <c r="N94" i="19"/>
  <c r="P94" i="19"/>
  <c r="R94" i="19"/>
  <c r="T94" i="19"/>
  <c r="V94" i="19"/>
  <c r="X94" i="19"/>
  <c r="Z94" i="19"/>
  <c r="AB94" i="19"/>
  <c r="AD94" i="19"/>
  <c r="E95" i="19"/>
  <c r="G95" i="19"/>
  <c r="I95" i="19"/>
  <c r="K95" i="19"/>
  <c r="M95" i="19"/>
  <c r="O95" i="19"/>
  <c r="Q95" i="19"/>
  <c r="S95" i="19"/>
  <c r="U95" i="19"/>
  <c r="W95" i="19"/>
  <c r="Y95" i="19"/>
  <c r="AA95" i="19"/>
  <c r="C96" i="19"/>
  <c r="D96" i="19"/>
  <c r="F96" i="19"/>
  <c r="H96" i="19"/>
  <c r="J96" i="19"/>
  <c r="L96" i="19"/>
  <c r="N96" i="19"/>
  <c r="P96" i="19"/>
  <c r="R96" i="19"/>
  <c r="T96" i="19"/>
  <c r="V96" i="19"/>
  <c r="X96" i="19"/>
  <c r="Z96" i="19"/>
  <c r="AB96" i="19"/>
  <c r="AD96" i="19"/>
  <c r="E97" i="19"/>
  <c r="G97" i="19"/>
  <c r="I97" i="19"/>
  <c r="K97" i="19"/>
  <c r="M97" i="19"/>
  <c r="O97" i="19"/>
  <c r="Q97" i="19"/>
  <c r="S97" i="19"/>
  <c r="U97" i="19"/>
  <c r="W97" i="19"/>
  <c r="Y97" i="19"/>
  <c r="AA97" i="19"/>
  <c r="C98" i="19"/>
  <c r="D98" i="19"/>
  <c r="F98" i="19"/>
  <c r="H98" i="19"/>
  <c r="J98" i="19"/>
  <c r="L98" i="19"/>
  <c r="N98" i="19"/>
  <c r="P98" i="19"/>
  <c r="R98" i="19"/>
  <c r="T98" i="19"/>
  <c r="V98" i="19"/>
  <c r="X98" i="19"/>
  <c r="Z98" i="19"/>
  <c r="AB98" i="19"/>
  <c r="AD98" i="19"/>
  <c r="E98" i="16"/>
  <c r="G98" i="16"/>
  <c r="I98" i="16"/>
  <c r="K98" i="16"/>
  <c r="M98" i="16"/>
  <c r="O98" i="16"/>
  <c r="Q98" i="16"/>
  <c r="S98" i="16"/>
  <c r="U98" i="16"/>
  <c r="W98" i="16"/>
  <c r="Y98" i="16"/>
  <c r="AA98" i="16"/>
  <c r="AB79" i="19"/>
  <c r="E80" i="19"/>
  <c r="G80" i="19"/>
  <c r="I80" i="19"/>
  <c r="K80" i="19"/>
  <c r="M80" i="19"/>
  <c r="O80" i="19"/>
  <c r="Q80" i="19"/>
  <c r="S80" i="19"/>
  <c r="U80" i="19"/>
  <c r="W80" i="19"/>
  <c r="Y80" i="19"/>
  <c r="AA80" i="19"/>
  <c r="X81" i="19"/>
  <c r="Z81" i="19"/>
  <c r="AB81" i="19"/>
  <c r="E82" i="19"/>
  <c r="G82" i="19"/>
  <c r="I82" i="19"/>
  <c r="K82" i="19"/>
  <c r="M82" i="19"/>
  <c r="O82" i="19"/>
  <c r="Q82" i="19"/>
  <c r="S82" i="19"/>
  <c r="U82" i="19"/>
  <c r="W82" i="19"/>
  <c r="Y82" i="19"/>
  <c r="AA82" i="19"/>
  <c r="X83" i="19"/>
  <c r="Z83" i="19"/>
  <c r="AB83" i="19"/>
  <c r="E84" i="19"/>
  <c r="G84" i="19"/>
  <c r="I84" i="19"/>
  <c r="K84" i="19"/>
  <c r="M84" i="19"/>
  <c r="O84" i="19"/>
  <c r="Q84" i="19"/>
  <c r="S84" i="19"/>
  <c r="U84" i="19"/>
  <c r="W84" i="19"/>
  <c r="Y84" i="19"/>
  <c r="AA84" i="19"/>
  <c r="V85" i="19"/>
  <c r="X85" i="19"/>
  <c r="Z85" i="19"/>
  <c r="AB85" i="19"/>
  <c r="E86" i="19"/>
  <c r="G86" i="19"/>
  <c r="I86" i="19"/>
  <c r="K86" i="19"/>
  <c r="M86" i="19"/>
  <c r="O86" i="19"/>
  <c r="Q86" i="19"/>
  <c r="S86" i="19"/>
  <c r="U86" i="19"/>
  <c r="W86" i="19"/>
  <c r="Y86" i="19"/>
  <c r="AA86" i="19"/>
  <c r="Z87" i="19"/>
  <c r="AB87" i="19"/>
  <c r="E88" i="19"/>
  <c r="G88" i="19"/>
  <c r="I88" i="19"/>
  <c r="K88" i="19"/>
  <c r="M88" i="19"/>
  <c r="O88" i="19"/>
  <c r="Q88" i="19"/>
  <c r="S88" i="19"/>
  <c r="U88" i="19"/>
  <c r="W88" i="19"/>
  <c r="Y88" i="19"/>
  <c r="AA88" i="19"/>
  <c r="Z89" i="19"/>
  <c r="AB89" i="19"/>
  <c r="E90" i="19"/>
  <c r="G90" i="19"/>
  <c r="I90" i="19"/>
  <c r="K90" i="19"/>
  <c r="M90" i="19"/>
  <c r="O90" i="19"/>
  <c r="Q90" i="19"/>
  <c r="S90" i="19"/>
  <c r="U90" i="19"/>
  <c r="W90" i="19"/>
  <c r="Y90" i="19"/>
  <c r="AA90" i="19"/>
  <c r="AB91" i="19"/>
  <c r="E92" i="19"/>
  <c r="G92" i="19"/>
  <c r="I92" i="19"/>
  <c r="K92" i="19"/>
  <c r="M92" i="19"/>
  <c r="O92" i="19"/>
  <c r="Q92" i="19"/>
  <c r="S92" i="19"/>
  <c r="U92" i="19"/>
  <c r="W92" i="19"/>
  <c r="Y92" i="19"/>
  <c r="AA92" i="19"/>
  <c r="E94" i="19"/>
  <c r="G94" i="19"/>
  <c r="I94" i="19"/>
  <c r="K94" i="19"/>
  <c r="M94" i="19"/>
  <c r="O94" i="19"/>
  <c r="Q94" i="19"/>
  <c r="S94" i="19"/>
  <c r="U94" i="19"/>
  <c r="W94" i="19"/>
  <c r="Y94" i="19"/>
  <c r="AA94" i="19"/>
  <c r="E96" i="19"/>
  <c r="G96" i="19"/>
  <c r="I96" i="19"/>
  <c r="K96" i="19"/>
  <c r="M96" i="19"/>
  <c r="O96" i="19"/>
  <c r="Q96" i="19"/>
  <c r="S96" i="19"/>
  <c r="U96" i="19"/>
  <c r="W96" i="19"/>
  <c r="Y96" i="19"/>
  <c r="AA96" i="19"/>
  <c r="E98" i="19"/>
  <c r="G98" i="19"/>
  <c r="I98" i="19"/>
  <c r="K98" i="19"/>
  <c r="M98" i="19"/>
  <c r="O98" i="19"/>
  <c r="Q98" i="19"/>
  <c r="S98" i="19"/>
  <c r="U98" i="19"/>
  <c r="W98" i="19"/>
  <c r="Y98" i="19"/>
  <c r="AA98" i="19"/>
  <c r="J11" i="12"/>
  <c r="H13" i="12"/>
  <c r="J15" i="12"/>
  <c r="J17" i="12"/>
  <c r="J38" i="12"/>
  <c r="H18" i="12"/>
  <c r="H22" i="12"/>
  <c r="E53" i="14"/>
  <c r="W36" i="12"/>
  <c r="V12" i="12"/>
  <c r="V16" i="12"/>
  <c r="V33" i="12"/>
  <c r="U11" i="12"/>
  <c r="U13" i="12"/>
  <c r="U15" i="12"/>
  <c r="U17" i="12"/>
  <c r="U32" i="12"/>
  <c r="U34" i="12"/>
  <c r="I37" i="12" l="1"/>
  <c r="I14" i="12"/>
  <c r="T63" i="12"/>
  <c r="J21" i="12"/>
  <c r="Q57" i="12"/>
  <c r="E58" i="12"/>
  <c r="F58" i="12" s="1"/>
  <c r="R59" i="12"/>
  <c r="S59" i="12" s="1"/>
  <c r="T61" i="12"/>
  <c r="Q63" i="12"/>
  <c r="G58" i="12"/>
  <c r="T57" i="12"/>
  <c r="T59" i="12"/>
  <c r="I35" i="12"/>
  <c r="J19" i="12"/>
  <c r="D66" i="12"/>
  <c r="T69" i="12"/>
  <c r="I33" i="12"/>
  <c r="E60" i="12"/>
  <c r="F60" i="12" s="1"/>
  <c r="H40" i="12"/>
  <c r="H35" i="12"/>
  <c r="J23" i="12"/>
  <c r="I10" i="12"/>
  <c r="G65" i="12"/>
  <c r="H44" i="12"/>
  <c r="E59" i="12"/>
  <c r="F59" i="12" s="1"/>
  <c r="D67" i="12"/>
  <c r="E57" i="12"/>
  <c r="F57" i="12" s="1"/>
  <c r="W43" i="12"/>
  <c r="U33" i="12"/>
  <c r="U21" i="12"/>
  <c r="U16" i="12"/>
  <c r="U14" i="12"/>
  <c r="U12" i="12"/>
  <c r="V35" i="12"/>
  <c r="V21" i="12"/>
  <c r="V14" i="12"/>
  <c r="W38" i="12"/>
  <c r="U36" i="12"/>
  <c r="D57" i="12"/>
  <c r="E61" i="12"/>
  <c r="F61" i="12" s="1"/>
  <c r="E69" i="12"/>
  <c r="F69" i="12" s="1"/>
  <c r="T58" i="12"/>
  <c r="T62" i="12"/>
  <c r="T66" i="12"/>
  <c r="R58" i="12"/>
  <c r="S58" i="12" s="1"/>
  <c r="R62" i="12"/>
  <c r="S62" i="12" s="1"/>
  <c r="R66" i="12"/>
  <c r="S66" i="12" s="1"/>
  <c r="H42" i="12"/>
  <c r="D59" i="12"/>
  <c r="E67" i="12"/>
  <c r="F67" i="12" s="1"/>
  <c r="W45" i="12"/>
  <c r="W41" i="12"/>
  <c r="U23" i="12"/>
  <c r="U19" i="12"/>
  <c r="U9" i="12"/>
  <c r="V34" i="12"/>
  <c r="V32" i="12"/>
  <c r="V17" i="12"/>
  <c r="V15" i="12"/>
  <c r="V13" i="12"/>
  <c r="V11" i="12"/>
  <c r="W37" i="12"/>
  <c r="U38" i="12"/>
  <c r="U35" i="12"/>
  <c r="W46" i="12"/>
  <c r="W44" i="12"/>
  <c r="W42" i="12"/>
  <c r="V23" i="12"/>
  <c r="V19" i="12"/>
  <c r="V9" i="12"/>
  <c r="U46" i="12"/>
  <c r="U45" i="12"/>
  <c r="U44" i="12"/>
  <c r="U43" i="12"/>
  <c r="U42" i="12"/>
  <c r="U41" i="12"/>
  <c r="U22" i="12"/>
  <c r="U20" i="12"/>
  <c r="U18" i="12"/>
  <c r="U10" i="12"/>
  <c r="V40" i="12"/>
  <c r="V22" i="12"/>
  <c r="V20" i="12"/>
  <c r="V18" i="12"/>
  <c r="V10" i="12"/>
  <c r="W39" i="12"/>
  <c r="U40" i="12"/>
  <c r="U37" i="12"/>
  <c r="U39" i="12"/>
  <c r="E65" i="12"/>
  <c r="F65" i="12" s="1"/>
  <c r="E55" i="12"/>
  <c r="F55" i="12" s="1"/>
  <c r="E63" i="12"/>
  <c r="F63" i="12" s="1"/>
  <c r="R56" i="12"/>
  <c r="S56" i="12" s="1"/>
  <c r="R60" i="12"/>
  <c r="S60" i="12" s="1"/>
  <c r="R64" i="12"/>
  <c r="S64" i="12" s="1"/>
  <c r="R68" i="12"/>
  <c r="S68" i="12" s="1"/>
  <c r="H46" i="12"/>
  <c r="H37" i="12"/>
  <c r="J41" i="12"/>
  <c r="H16" i="12"/>
  <c r="I69" i="12"/>
  <c r="J69" i="12" s="1"/>
  <c r="L69" i="12"/>
  <c r="K69" i="12"/>
  <c r="I67" i="12"/>
  <c r="J67" i="12" s="1"/>
  <c r="K67" i="12"/>
  <c r="L67" i="12"/>
  <c r="I61" i="12"/>
  <c r="J61" i="12" s="1"/>
  <c r="L61" i="12"/>
  <c r="K61" i="12"/>
  <c r="I59" i="12"/>
  <c r="J59" i="12" s="1"/>
  <c r="K59" i="12"/>
  <c r="L59" i="12"/>
  <c r="V69" i="12"/>
  <c r="W69" i="12" s="1"/>
  <c r="Y69" i="12"/>
  <c r="X69" i="12"/>
  <c r="V67" i="12"/>
  <c r="W67" i="12" s="1"/>
  <c r="Y67" i="12"/>
  <c r="X67" i="12"/>
  <c r="V65" i="12"/>
  <c r="W65" i="12" s="1"/>
  <c r="X65" i="12"/>
  <c r="Y65" i="12"/>
  <c r="V63" i="12"/>
  <c r="W63" i="12" s="1"/>
  <c r="Y63" i="12"/>
  <c r="X63" i="12"/>
  <c r="V61" i="12"/>
  <c r="W61" i="12" s="1"/>
  <c r="Y61" i="12"/>
  <c r="X61" i="12"/>
  <c r="V59" i="12"/>
  <c r="W59" i="12" s="1"/>
  <c r="Y59" i="12"/>
  <c r="X59" i="12"/>
  <c r="V57" i="12"/>
  <c r="W57" i="12" s="1"/>
  <c r="X57" i="12"/>
  <c r="Y57" i="12"/>
  <c r="V55" i="12"/>
  <c r="W55" i="12" s="1"/>
  <c r="Y55" i="12"/>
  <c r="X55" i="12"/>
  <c r="I64" i="12"/>
  <c r="J64" i="12" s="1"/>
  <c r="K64" i="12"/>
  <c r="L64" i="12"/>
  <c r="I62" i="12"/>
  <c r="J62" i="12" s="1"/>
  <c r="L62" i="12"/>
  <c r="K62" i="12"/>
  <c r="I56" i="12"/>
  <c r="J56" i="12" s="1"/>
  <c r="K56" i="12"/>
  <c r="L56" i="12"/>
  <c r="I68" i="12"/>
  <c r="J68" i="12" s="1"/>
  <c r="K68" i="12"/>
  <c r="L68" i="12"/>
  <c r="I66" i="12"/>
  <c r="J66" i="12" s="1"/>
  <c r="L66" i="12"/>
  <c r="K66" i="12"/>
  <c r="I60" i="12"/>
  <c r="J60" i="12" s="1"/>
  <c r="K60" i="12"/>
  <c r="L60" i="12"/>
  <c r="I58" i="12"/>
  <c r="J58" i="12" s="1"/>
  <c r="L58" i="12"/>
  <c r="K58" i="12"/>
  <c r="V68" i="12"/>
  <c r="W68" i="12" s="1"/>
  <c r="X68" i="12"/>
  <c r="Y68" i="12"/>
  <c r="V66" i="12"/>
  <c r="W66" i="12" s="1"/>
  <c r="Y66" i="12"/>
  <c r="X66" i="12"/>
  <c r="V64" i="12"/>
  <c r="W64" i="12" s="1"/>
  <c r="X64" i="12"/>
  <c r="Y64" i="12"/>
  <c r="V62" i="12"/>
  <c r="W62" i="12" s="1"/>
  <c r="Y62" i="12"/>
  <c r="X62" i="12"/>
  <c r="V60" i="12"/>
  <c r="W60" i="12" s="1"/>
  <c r="X60" i="12"/>
  <c r="Y60" i="12"/>
  <c r="V58" i="12"/>
  <c r="W58" i="12" s="1"/>
  <c r="Y58" i="12"/>
  <c r="X58" i="12"/>
  <c r="V56" i="12"/>
  <c r="W56" i="12" s="1"/>
  <c r="X56" i="12"/>
  <c r="Y56" i="12"/>
  <c r="K65" i="12"/>
  <c r="I65" i="12"/>
  <c r="J65" i="12" s="1"/>
  <c r="L65" i="12"/>
  <c r="I63" i="12"/>
  <c r="J63" i="12" s="1"/>
  <c r="K63" i="12"/>
  <c r="L63" i="12"/>
  <c r="K57" i="12"/>
  <c r="I57" i="12"/>
  <c r="J57" i="12" s="1"/>
  <c r="L57" i="12"/>
  <c r="I55" i="12"/>
  <c r="J55" i="12" s="1"/>
  <c r="K55" i="12"/>
  <c r="L55" i="12"/>
  <c r="J45" i="12"/>
  <c r="H43" i="12"/>
  <c r="H23" i="12"/>
  <c r="H33" i="12"/>
  <c r="H20" i="12"/>
  <c r="H14" i="12"/>
  <c r="J46" i="12"/>
  <c r="J44" i="12"/>
  <c r="J42" i="12"/>
  <c r="J40" i="12"/>
  <c r="H38" i="12"/>
  <c r="J36" i="12"/>
  <c r="J34" i="12"/>
  <c r="I22" i="12"/>
  <c r="I20" i="12"/>
  <c r="I18" i="12"/>
  <c r="I16" i="12"/>
  <c r="H15" i="12"/>
  <c r="J13" i="12"/>
  <c r="H11" i="12"/>
  <c r="J43" i="12"/>
  <c r="H45" i="12"/>
  <c r="H41" i="12"/>
  <c r="H34" i="12"/>
  <c r="H19" i="12"/>
  <c r="H10" i="12"/>
  <c r="H21" i="12"/>
  <c r="I32" i="12"/>
  <c r="H32" i="12"/>
  <c r="J12" i="12"/>
  <c r="H12" i="12"/>
  <c r="I23" i="20"/>
  <c r="L23" i="20" s="1"/>
  <c r="J23" i="20"/>
  <c r="K23" i="20" s="1"/>
  <c r="I19" i="20"/>
  <c r="L19" i="20" s="1"/>
  <c r="J19" i="20"/>
  <c r="K19" i="20" s="1"/>
  <c r="I15" i="20"/>
  <c r="L15" i="20" s="1"/>
  <c r="J15" i="20"/>
  <c r="K15" i="20" s="1"/>
  <c r="I11" i="20"/>
  <c r="L11" i="20" s="1"/>
  <c r="J11" i="20"/>
  <c r="K11" i="20" s="1"/>
  <c r="I46" i="20"/>
  <c r="L46" i="20" s="1"/>
  <c r="J46" i="20"/>
  <c r="K46" i="20"/>
  <c r="I43" i="20"/>
  <c r="L43" i="20" s="1"/>
  <c r="K43" i="20"/>
  <c r="J43" i="20"/>
  <c r="I39" i="20"/>
  <c r="L39" i="20" s="1"/>
  <c r="J39" i="20"/>
  <c r="K39" i="20"/>
  <c r="I32" i="20"/>
  <c r="L32" i="20" s="1"/>
  <c r="J32" i="20"/>
  <c r="K32" i="20"/>
  <c r="I22" i="20"/>
  <c r="L22" i="20" s="1"/>
  <c r="J22" i="20"/>
  <c r="K22" i="20" s="1"/>
  <c r="I18" i="20"/>
  <c r="L18" i="20" s="1"/>
  <c r="J18" i="20"/>
  <c r="K18" i="20" s="1"/>
  <c r="I14" i="20"/>
  <c r="L14" i="20" s="1"/>
  <c r="J14" i="20"/>
  <c r="K14" i="20" s="1"/>
  <c r="I10" i="20"/>
  <c r="L10" i="20" s="1"/>
  <c r="J10" i="20"/>
  <c r="K10" i="20" s="1"/>
  <c r="I42" i="20"/>
  <c r="L42" i="20" s="1"/>
  <c r="K42" i="20"/>
  <c r="J42" i="20"/>
  <c r="I38" i="20"/>
  <c r="L38" i="20" s="1"/>
  <c r="J38" i="20"/>
  <c r="K38" i="20"/>
  <c r="I36" i="20"/>
  <c r="L36" i="20" s="1"/>
  <c r="J36" i="20"/>
  <c r="K36" i="20"/>
  <c r="I33" i="20"/>
  <c r="L33" i="20" s="1"/>
  <c r="J33" i="20"/>
  <c r="K33" i="20"/>
  <c r="I21" i="20"/>
  <c r="L21" i="20" s="1"/>
  <c r="J21" i="20"/>
  <c r="K21" i="20" s="1"/>
  <c r="I17" i="20"/>
  <c r="L17" i="20" s="1"/>
  <c r="J17" i="20"/>
  <c r="K17" i="20" s="1"/>
  <c r="I13" i="20"/>
  <c r="L13" i="20" s="1"/>
  <c r="J13" i="20"/>
  <c r="K13" i="20" s="1"/>
  <c r="I9" i="20"/>
  <c r="L9" i="20" s="1"/>
  <c r="J9" i="20"/>
  <c r="K9" i="20" s="1"/>
  <c r="I44" i="20"/>
  <c r="L44" i="20" s="1"/>
  <c r="J44" i="20"/>
  <c r="K44" i="20"/>
  <c r="I41" i="20"/>
  <c r="L41" i="20" s="1"/>
  <c r="K41" i="20"/>
  <c r="J41" i="20"/>
  <c r="I34" i="20"/>
  <c r="L34" i="20" s="1"/>
  <c r="J34" i="20"/>
  <c r="K34" i="20"/>
  <c r="I20" i="20"/>
  <c r="L20" i="20" s="1"/>
  <c r="J20" i="20"/>
  <c r="K20" i="20" s="1"/>
  <c r="I16" i="20"/>
  <c r="L16" i="20" s="1"/>
  <c r="J16" i="20"/>
  <c r="K16" i="20" s="1"/>
  <c r="I12" i="20"/>
  <c r="L12" i="20" s="1"/>
  <c r="J12" i="20"/>
  <c r="K12" i="20" s="1"/>
  <c r="I45" i="20"/>
  <c r="L45" i="20" s="1"/>
  <c r="K45" i="20"/>
  <c r="J45" i="20"/>
  <c r="I40" i="20"/>
  <c r="L40" i="20" s="1"/>
  <c r="J40" i="20"/>
  <c r="K40" i="20"/>
  <c r="I37" i="20"/>
  <c r="L37" i="20" s="1"/>
  <c r="J37" i="20"/>
  <c r="K37" i="20"/>
  <c r="I35" i="20"/>
  <c r="L35" i="20" s="1"/>
  <c r="K35" i="20"/>
  <c r="J35" i="20"/>
  <c r="J39" i="12"/>
  <c r="H39" i="12"/>
  <c r="I17" i="12"/>
  <c r="H17" i="12"/>
  <c r="I9" i="12"/>
  <c r="H9" i="12"/>
  <c r="E4" i="15" l="1"/>
  <c r="E6" i="15"/>
  <c r="E5" i="15"/>
  <c r="E7" i="15"/>
  <c r="C46" i="12"/>
  <c r="D46" i="12" s="1"/>
  <c r="C45" i="12"/>
  <c r="E45" i="12" s="1"/>
  <c r="C44" i="12"/>
  <c r="E44" i="12" s="1"/>
  <c r="C43" i="12"/>
  <c r="E43" i="12" s="1"/>
  <c r="C42" i="12"/>
  <c r="E42" i="12" s="1"/>
  <c r="C41" i="12"/>
  <c r="E41" i="12" s="1"/>
  <c r="C40" i="12"/>
  <c r="E40" i="12" s="1"/>
  <c r="C39" i="12"/>
  <c r="E39" i="12" s="1"/>
  <c r="C38" i="12"/>
  <c r="E38" i="12" s="1"/>
  <c r="C37" i="12"/>
  <c r="E37" i="12" s="1"/>
  <c r="C36" i="12"/>
  <c r="E36" i="12" s="1"/>
  <c r="C35" i="12"/>
  <c r="E35" i="12" s="1"/>
  <c r="C34" i="12"/>
  <c r="E34" i="12" s="1"/>
  <c r="C33" i="12"/>
  <c r="E33" i="12" s="1"/>
  <c r="C32" i="12"/>
  <c r="E32" i="12" s="1"/>
  <c r="C23" i="12"/>
  <c r="E23" i="12" s="1"/>
  <c r="C22" i="12"/>
  <c r="E22" i="12" s="1"/>
  <c r="C21" i="12"/>
  <c r="E21" i="12" s="1"/>
  <c r="C20" i="12"/>
  <c r="E20" i="12" s="1"/>
  <c r="C19" i="12"/>
  <c r="F19" i="12" s="1"/>
  <c r="C18" i="12"/>
  <c r="F18" i="12" s="1"/>
  <c r="C17" i="12"/>
  <c r="F17" i="12" s="1"/>
  <c r="C16" i="12"/>
  <c r="F16" i="12" s="1"/>
  <c r="C15" i="12"/>
  <c r="F15" i="12" s="1"/>
  <c r="C14" i="12"/>
  <c r="F14" i="12" s="1"/>
  <c r="C13" i="12"/>
  <c r="F13" i="12" s="1"/>
  <c r="C12" i="12"/>
  <c r="F12" i="12" s="1"/>
  <c r="C11" i="12"/>
  <c r="F11" i="12" s="1"/>
  <c r="C10" i="12"/>
  <c r="F10" i="12" s="1"/>
  <c r="C9" i="12"/>
  <c r="F9" i="12" s="1"/>
  <c r="P39" i="12"/>
  <c r="Q39" i="12" s="1"/>
  <c r="P38" i="12"/>
  <c r="Q38" i="12" s="1"/>
  <c r="P36" i="12"/>
  <c r="R36" i="12" s="1"/>
  <c r="P37" i="12"/>
  <c r="R37" i="12" s="1"/>
  <c r="P40" i="12"/>
  <c r="R40" i="12" s="1"/>
  <c r="P9" i="12"/>
  <c r="S9" i="12" s="1"/>
  <c r="P10" i="12"/>
  <c r="S10" i="12" s="1"/>
  <c r="P11" i="12"/>
  <c r="S11" i="12" s="1"/>
  <c r="P12" i="12"/>
  <c r="S12" i="12" s="1"/>
  <c r="P13" i="12"/>
  <c r="S13" i="12" s="1"/>
  <c r="P14" i="12"/>
  <c r="S14" i="12" s="1"/>
  <c r="P15" i="12"/>
  <c r="S15" i="12" s="1"/>
  <c r="P16" i="12"/>
  <c r="S16" i="12" s="1"/>
  <c r="P17" i="12"/>
  <c r="S17" i="12" s="1"/>
  <c r="P18" i="12"/>
  <c r="S18" i="12" s="1"/>
  <c r="P19" i="12"/>
  <c r="S19" i="12" s="1"/>
  <c r="P20" i="12"/>
  <c r="S20" i="12" s="1"/>
  <c r="P21" i="12"/>
  <c r="S21" i="12" s="1"/>
  <c r="P22" i="12"/>
  <c r="S22" i="12" s="1"/>
  <c r="P23" i="12"/>
  <c r="S23" i="12" s="1"/>
  <c r="P32" i="12"/>
  <c r="S32" i="12" s="1"/>
  <c r="P33" i="12"/>
  <c r="S33" i="12" s="1"/>
  <c r="P34" i="12"/>
  <c r="S34" i="12" s="1"/>
  <c r="P41" i="12"/>
  <c r="R41" i="12" s="1"/>
  <c r="P42" i="12"/>
  <c r="R42" i="12" s="1"/>
  <c r="P43" i="12"/>
  <c r="R43" i="12" s="1"/>
  <c r="P44" i="12"/>
  <c r="R44" i="12" s="1"/>
  <c r="P45" i="12"/>
  <c r="R45" i="12" s="1"/>
  <c r="P46" i="12"/>
  <c r="R46" i="12" s="1"/>
  <c r="P35" i="12"/>
  <c r="Q35" i="12" s="1"/>
  <c r="E3" i="15"/>
  <c r="E9" i="12" l="1"/>
  <c r="E10" i="12"/>
  <c r="E11" i="12"/>
  <c r="E12" i="12"/>
  <c r="E13" i="12"/>
  <c r="E14" i="12"/>
  <c r="E15" i="12"/>
  <c r="E16" i="12"/>
  <c r="E17" i="12"/>
  <c r="E18" i="12"/>
  <c r="E19" i="12"/>
  <c r="D19" i="12"/>
  <c r="H4" i="15"/>
  <c r="H6" i="15" s="1"/>
  <c r="D10" i="12"/>
  <c r="D12" i="12"/>
  <c r="D14" i="12"/>
  <c r="D16" i="12"/>
  <c r="D18" i="12"/>
  <c r="F45" i="12"/>
  <c r="F46" i="12"/>
  <c r="E46" i="12"/>
  <c r="D9" i="12"/>
  <c r="D11" i="12"/>
  <c r="D13" i="12"/>
  <c r="D15" i="12"/>
  <c r="D17" i="12"/>
  <c r="S35" i="12"/>
  <c r="R35" i="12"/>
  <c r="S46" i="12"/>
  <c r="Q46" i="12"/>
  <c r="S45" i="12"/>
  <c r="Q45" i="12"/>
  <c r="S44" i="12"/>
  <c r="Q44" i="12"/>
  <c r="S43" i="12"/>
  <c r="Q43" i="12"/>
  <c r="S42" i="12"/>
  <c r="Q42" i="12"/>
  <c r="Q41" i="12"/>
  <c r="S41" i="12"/>
  <c r="R34" i="12"/>
  <c r="Q34" i="12"/>
  <c r="R33" i="12"/>
  <c r="Q33" i="12"/>
  <c r="R32" i="12"/>
  <c r="Q32" i="12"/>
  <c r="R23" i="12"/>
  <c r="Q23" i="12"/>
  <c r="R22" i="12"/>
  <c r="Q22" i="12"/>
  <c r="R21" i="12"/>
  <c r="Q21" i="12"/>
  <c r="R20" i="12"/>
  <c r="Q20" i="12"/>
  <c r="R19" i="12"/>
  <c r="Q19" i="12"/>
  <c r="R18" i="12"/>
  <c r="Q18" i="12"/>
  <c r="R17" i="12"/>
  <c r="Q17" i="12"/>
  <c r="R16" i="12"/>
  <c r="Q16" i="12"/>
  <c r="R15" i="12"/>
  <c r="Q15" i="12"/>
  <c r="R14" i="12"/>
  <c r="Q14" i="12"/>
  <c r="R13" i="12"/>
  <c r="Q13" i="12"/>
  <c r="R12" i="12"/>
  <c r="Q12" i="12"/>
  <c r="R11" i="12"/>
  <c r="Q11" i="12"/>
  <c r="R10" i="12"/>
  <c r="Q10" i="12"/>
  <c r="R9" i="12"/>
  <c r="Q9" i="12"/>
  <c r="Q40" i="12"/>
  <c r="S40" i="12"/>
  <c r="Q37" i="12"/>
  <c r="S37" i="12"/>
  <c r="Q36" i="12"/>
  <c r="S36" i="12"/>
  <c r="R38" i="12"/>
  <c r="S38" i="12"/>
  <c r="R39" i="12"/>
  <c r="S39" i="12"/>
  <c r="D20" i="12"/>
  <c r="D21" i="12"/>
  <c r="D22" i="12"/>
  <c r="D23" i="12"/>
  <c r="D32" i="12"/>
  <c r="D33" i="12"/>
  <c r="D34" i="12"/>
  <c r="D35" i="12"/>
  <c r="D36" i="12"/>
  <c r="D37" i="12"/>
  <c r="D38" i="12"/>
  <c r="D39" i="12"/>
  <c r="D40" i="12"/>
  <c r="D41" i="12"/>
  <c r="D42" i="12"/>
  <c r="D43" i="12"/>
  <c r="D44" i="12"/>
  <c r="D45" i="12"/>
  <c r="F20" i="12"/>
  <c r="F21" i="12"/>
  <c r="F22" i="12"/>
  <c r="F23" i="12"/>
  <c r="F32" i="12"/>
  <c r="F33" i="12"/>
  <c r="F34" i="12"/>
  <c r="F35" i="12"/>
  <c r="F36" i="12"/>
  <c r="F37" i="12"/>
  <c r="F38" i="12"/>
  <c r="F39" i="12"/>
  <c r="F40" i="12"/>
  <c r="F41" i="12"/>
  <c r="F42" i="12"/>
  <c r="F43" i="12"/>
  <c r="F44" i="12"/>
  <c r="X4" i="2"/>
  <c r="Z4" i="2"/>
  <c r="K4" i="2"/>
  <c r="W4" i="2"/>
  <c r="AA4" i="2"/>
  <c r="AC4" i="2"/>
  <c r="T4" i="2"/>
  <c r="N4" i="2"/>
  <c r="V4" i="2"/>
  <c r="AD4" i="2"/>
  <c r="U4" i="2"/>
  <c r="AB4" i="2"/>
  <c r="Y4" i="2"/>
  <c r="L4" i="2"/>
  <c r="M4" i="2"/>
  <c r="S4" i="2"/>
  <c r="AD3" i="2"/>
  <c r="W3" i="2"/>
  <c r="AB3" i="2"/>
  <c r="N3" i="2"/>
  <c r="L3" i="2"/>
  <c r="AC3" i="2"/>
  <c r="V3" i="2"/>
  <c r="X3" i="2"/>
  <c r="S3" i="2"/>
  <c r="Y3" i="2"/>
  <c r="U3" i="2"/>
  <c r="T3" i="2"/>
  <c r="M3" i="2"/>
  <c r="AA3" i="2"/>
  <c r="Z3" i="2"/>
  <c r="K3" i="2"/>
  <c r="Y13" i="15"/>
  <c r="U15" i="15"/>
  <c r="T13" i="15"/>
  <c r="P15" i="15"/>
  <c r="T3" i="15"/>
  <c r="P5" i="15"/>
  <c r="O4" i="15"/>
  <c r="AF5" i="15"/>
  <c r="AB5" i="15"/>
  <c r="AA4" i="15"/>
  <c r="W6" i="15"/>
  <c r="AB10" i="15"/>
  <c r="P8" i="15"/>
  <c r="O7" i="15"/>
  <c r="AE8" i="15"/>
  <c r="X15" i="15"/>
  <c r="X10" i="15"/>
  <c r="W9" i="15"/>
  <c r="S11" i="15"/>
  <c r="AA17" i="15"/>
  <c r="AF12" i="15"/>
  <c r="AE11" i="15"/>
  <c r="AA13" i="15"/>
  <c r="O20" i="15"/>
  <c r="AA3" i="15"/>
  <c r="S14" i="15"/>
  <c r="V3" i="15"/>
  <c r="S4" i="15"/>
  <c r="O6" i="15"/>
  <c r="AH3" i="15"/>
  <c r="AD5" i="15"/>
  <c r="AA6" i="15"/>
  <c r="W8" i="15"/>
  <c r="V6" i="15"/>
  <c r="R8" i="15"/>
  <c r="O9" i="15"/>
  <c r="AE10" i="15"/>
  <c r="AD8" i="15"/>
  <c r="Z10" i="15"/>
  <c r="W11" i="15"/>
  <c r="S13" i="15"/>
  <c r="R11" i="15"/>
  <c r="AH12" i="15"/>
  <c r="AE13" i="15"/>
  <c r="AA15" i="15"/>
  <c r="Z13" i="15"/>
  <c r="V15" i="15"/>
  <c r="Z3" i="15"/>
  <c r="V5" i="15"/>
  <c r="Y3" i="15"/>
  <c r="U5" i="15"/>
  <c r="AH5" i="15"/>
  <c r="AD7" i="15"/>
  <c r="AG5" i="15"/>
  <c r="AC7" i="15"/>
  <c r="V8" i="15"/>
  <c r="R10" i="15"/>
  <c r="U8" i="15"/>
  <c r="Q10" i="15"/>
  <c r="AD10" i="15"/>
  <c r="Z12" i="15"/>
  <c r="AC10" i="15"/>
  <c r="Y12" i="15"/>
  <c r="V19" i="15"/>
  <c r="AH19" i="15"/>
  <c r="Z20" i="15"/>
  <c r="R21" i="15"/>
  <c r="AD21" i="15"/>
  <c r="V22" i="15"/>
  <c r="AH22" i="15"/>
  <c r="Z23" i="15"/>
  <c r="R24" i="15"/>
  <c r="AD24" i="15"/>
  <c r="V25" i="15"/>
  <c r="AH25" i="15"/>
  <c r="Z26" i="15"/>
  <c r="R27" i="15"/>
  <c r="AD27" i="15"/>
  <c r="AC15" i="15"/>
  <c r="U16" i="15"/>
  <c r="AG16" i="15"/>
  <c r="Y17" i="15"/>
  <c r="Q18" i="15"/>
  <c r="AC18" i="15"/>
  <c r="U19" i="15"/>
  <c r="AG19" i="15"/>
  <c r="Y20" i="15"/>
  <c r="Q21" i="15"/>
  <c r="AC21" i="15"/>
  <c r="U22" i="15"/>
  <c r="AG22" i="15"/>
  <c r="Y23" i="15"/>
  <c r="Q24" i="15"/>
  <c r="AC24" i="15"/>
  <c r="P19" i="15"/>
  <c r="AG25" i="15"/>
  <c r="Y26" i="15"/>
  <c r="Q27" i="15"/>
  <c r="AC27" i="15"/>
  <c r="U28" i="15"/>
  <c r="T16" i="15"/>
  <c r="AF16" i="15"/>
  <c r="X17" i="15"/>
  <c r="P18" i="15"/>
  <c r="AB18" i="15"/>
  <c r="T19" i="15"/>
  <c r="AF19" i="15"/>
  <c r="X20" i="15"/>
  <c r="P21" i="15"/>
  <c r="AB21" i="15"/>
  <c r="T22" i="15"/>
  <c r="AF22" i="15"/>
  <c r="AB6" i="15"/>
  <c r="P24" i="15"/>
  <c r="AB24" i="15"/>
  <c r="T25" i="15"/>
  <c r="X11" i="15"/>
  <c r="X26" i="15"/>
  <c r="P27" i="15"/>
  <c r="AB27" i="15"/>
  <c r="AF14" i="15"/>
  <c r="S16" i="15"/>
  <c r="S29" i="15"/>
  <c r="AB13" i="15"/>
  <c r="AA12" i="15"/>
  <c r="W14" i="15"/>
  <c r="AE20" i="15"/>
  <c r="W4" i="15"/>
  <c r="O15" i="15"/>
  <c r="R4" i="15"/>
  <c r="O5" i="15"/>
  <c r="AE6" i="15"/>
  <c r="AD4" i="15"/>
  <c r="Z6" i="15"/>
  <c r="W7" i="15"/>
  <c r="S9" i="15"/>
  <c r="R7" i="15"/>
  <c r="AH8" i="15"/>
  <c r="AE9" i="15"/>
  <c r="AA11" i="15"/>
  <c r="Z9" i="15"/>
  <c r="V11" i="15"/>
  <c r="S12" i="15"/>
  <c r="O14" i="15"/>
  <c r="AH11" i="15"/>
  <c r="AD13" i="15"/>
  <c r="AA14" i="15"/>
  <c r="AD3" i="15"/>
  <c r="V14" i="15"/>
  <c r="AC3" i="15"/>
  <c r="V4" i="15"/>
  <c r="R6" i="15"/>
  <c r="U4" i="15"/>
  <c r="Q6" i="15"/>
  <c r="AD6" i="15"/>
  <c r="Z8" i="15"/>
  <c r="AC6" i="15"/>
  <c r="Y8" i="15"/>
  <c r="R9" i="15"/>
  <c r="AH10" i="15"/>
  <c r="Q9" i="15"/>
  <c r="AG10" i="15"/>
  <c r="Z11" i="15"/>
  <c r="V13" i="15"/>
  <c r="Y11" i="15"/>
  <c r="U13" i="15"/>
  <c r="AH13" i="15"/>
  <c r="U3" i="15"/>
  <c r="AG13" i="15"/>
  <c r="P3" i="15"/>
  <c r="AG3" i="15"/>
  <c r="AC5" i="15"/>
  <c r="AB3" i="15"/>
  <c r="X5" i="15"/>
  <c r="U6" i="15"/>
  <c r="Q8" i="15"/>
  <c r="P6" i="15"/>
  <c r="AF7" i="15"/>
  <c r="AC8" i="15"/>
  <c r="Y10" i="15"/>
  <c r="X8" i="15"/>
  <c r="T10" i="15"/>
  <c r="Q11" i="15"/>
  <c r="AG12" i="15"/>
  <c r="AF10" i="15"/>
  <c r="AB12" i="15"/>
  <c r="Y19" i="15"/>
  <c r="Q20" i="15"/>
  <c r="AC20" i="15"/>
  <c r="U21" i="15"/>
  <c r="AG21" i="15"/>
  <c r="Y22" i="15"/>
  <c r="Q23" i="15"/>
  <c r="AC23" i="15"/>
  <c r="U24" i="15"/>
  <c r="AG24" i="15"/>
  <c r="Y25" i="15"/>
  <c r="Q26" i="15"/>
  <c r="AC26" i="15"/>
  <c r="U27" i="15"/>
  <c r="AG27" i="15"/>
  <c r="AF15" i="15"/>
  <c r="X16" i="15"/>
  <c r="P17" i="15"/>
  <c r="AB17" i="15"/>
  <c r="T18" i="15"/>
  <c r="AF18" i="15"/>
  <c r="X19" i="15"/>
  <c r="P20" i="15"/>
  <c r="AB20" i="15"/>
  <c r="T21" i="15"/>
  <c r="AF21" i="15"/>
  <c r="X22" i="15"/>
  <c r="P23" i="15"/>
  <c r="AB23" i="15"/>
  <c r="T8" i="15"/>
  <c r="AF24" i="15"/>
  <c r="S32" i="15"/>
  <c r="P26" i="15"/>
  <c r="P13" i="15"/>
  <c r="T27" i="15"/>
  <c r="AF27" i="15"/>
  <c r="AE15" i="15"/>
  <c r="W16" i="15"/>
  <c r="O17" i="15"/>
  <c r="X23" i="15"/>
  <c r="S18" i="15"/>
  <c r="AE18" i="15"/>
  <c r="W19" i="15"/>
  <c r="V28" i="15"/>
  <c r="AA20" i="15"/>
  <c r="S21" i="15"/>
  <c r="AE21" i="15"/>
  <c r="W22" i="15"/>
  <c r="O23" i="15"/>
  <c r="AA23" i="15"/>
  <c r="S24" i="15"/>
  <c r="AE24" i="15"/>
  <c r="W25" i="15"/>
  <c r="O26" i="15"/>
  <c r="AA26" i="15"/>
  <c r="S27" i="15"/>
  <c r="AE27" i="15"/>
  <c r="AD15" i="15"/>
  <c r="V16" i="15"/>
  <c r="AH16" i="15"/>
  <c r="Z17" i="15"/>
  <c r="R18" i="15"/>
  <c r="O13" i="15"/>
  <c r="AE14" i="15"/>
  <c r="AD12" i="15"/>
  <c r="Z14" i="15"/>
  <c r="W15" i="15"/>
  <c r="Z4" i="15"/>
  <c r="R15" i="15"/>
  <c r="Y4" i="15"/>
  <c r="R5" i="15"/>
  <c r="AH6" i="15"/>
  <c r="Q5" i="15"/>
  <c r="AG6" i="15"/>
  <c r="Z7" i="15"/>
  <c r="V9" i="15"/>
  <c r="Y7" i="15"/>
  <c r="U9" i="15"/>
  <c r="AH9" i="15"/>
  <c r="AD11" i="15"/>
  <c r="AG9" i="15"/>
  <c r="AC11" i="15"/>
  <c r="V12" i="15"/>
  <c r="R14" i="15"/>
  <c r="U12" i="15"/>
  <c r="Q14" i="15"/>
  <c r="AD14" i="15"/>
  <c r="Q4" i="15"/>
  <c r="AC14" i="15"/>
  <c r="AF3" i="15"/>
  <c r="AC4" i="15"/>
  <c r="Y6" i="15"/>
  <c r="X4" i="15"/>
  <c r="T6" i="15"/>
  <c r="Q7" i="15"/>
  <c r="AG8" i="15"/>
  <c r="AF6" i="15"/>
  <c r="AB8" i="15"/>
  <c r="Y9" i="15"/>
  <c r="U11" i="15"/>
  <c r="T9" i="15"/>
  <c r="P11" i="15"/>
  <c r="AG11" i="15"/>
  <c r="AC13" i="15"/>
  <c r="AB11" i="15"/>
  <c r="X13" i="15"/>
  <c r="U14" i="15"/>
  <c r="X3" i="15"/>
  <c r="P14" i="15"/>
  <c r="Z15" i="15"/>
  <c r="P4" i="15"/>
  <c r="O3" i="15"/>
  <c r="AE4" i="15"/>
  <c r="X7" i="15"/>
  <c r="X6" i="15"/>
  <c r="W5" i="15"/>
  <c r="S7" i="15"/>
  <c r="T12" i="15"/>
  <c r="AF8" i="15"/>
  <c r="AE7" i="15"/>
  <c r="AA9" i="15"/>
  <c r="O16" i="15"/>
  <c r="T11" i="15"/>
  <c r="S10" i="15"/>
  <c r="O12" i="15"/>
  <c r="W18" i="15"/>
  <c r="AB19" i="15"/>
  <c r="T20" i="15"/>
  <c r="AF20" i="15"/>
  <c r="X21" i="15"/>
  <c r="P22" i="15"/>
  <c r="AB22" i="15"/>
  <c r="T23" i="15"/>
  <c r="AF23" i="15"/>
  <c r="X24" i="15"/>
  <c r="AF9" i="15"/>
  <c r="AB25" i="15"/>
  <c r="T26" i="15"/>
  <c r="AF26" i="15"/>
  <c r="AB14" i="15"/>
  <c r="T15" i="15"/>
  <c r="AD28" i="15"/>
  <c r="AA16" i="15"/>
  <c r="S17" i="15"/>
  <c r="AE17" i="15"/>
  <c r="P25" i="15"/>
  <c r="O19" i="15"/>
  <c r="AA19" i="15"/>
  <c r="S20" i="15"/>
  <c r="AA29" i="15"/>
  <c r="W21" i="15"/>
  <c r="O22" i="15"/>
  <c r="AA22" i="15"/>
  <c r="S23" i="15"/>
  <c r="AE23" i="15"/>
  <c r="W24" i="15"/>
  <c r="O25" i="15"/>
  <c r="AA25" i="15"/>
  <c r="S26" i="15"/>
  <c r="AE26" i="15"/>
  <c r="W27" i="15"/>
  <c r="O28" i="15"/>
  <c r="AH15" i="15"/>
  <c r="Z16" i="15"/>
  <c r="R17" i="15"/>
  <c r="AD17" i="15"/>
  <c r="V18" i="15"/>
  <c r="AH18" i="15"/>
  <c r="Z19" i="15"/>
  <c r="R20" i="15"/>
  <c r="AD20" i="15"/>
  <c r="V21" i="15"/>
  <c r="AH21" i="15"/>
  <c r="Z22" i="15"/>
  <c r="R23" i="15"/>
  <c r="AD23" i="15"/>
  <c r="V24" i="15"/>
  <c r="AH24" i="15"/>
  <c r="Z25" i="15"/>
  <c r="R26" i="15"/>
  <c r="AD26" i="15"/>
  <c r="V27" i="15"/>
  <c r="AH27" i="15"/>
  <c r="AG15" i="15"/>
  <c r="Y16" i="15"/>
  <c r="Q17" i="15"/>
  <c r="AC17" i="15"/>
  <c r="U18" i="15"/>
  <c r="R13" i="15"/>
  <c r="AH14" i="15"/>
  <c r="Q13" i="15"/>
  <c r="AG14" i="15"/>
  <c r="Q3" i="15"/>
  <c r="AG4" i="15"/>
  <c r="Y15" i="15"/>
  <c r="AB4" i="15"/>
  <c r="Y5" i="15"/>
  <c r="U7" i="15"/>
  <c r="T5" i="15"/>
  <c r="P7" i="15"/>
  <c r="AG7" i="15"/>
  <c r="AC9" i="15"/>
  <c r="AB7" i="15"/>
  <c r="X9" i="15"/>
  <c r="U10" i="15"/>
  <c r="Q12" i="15"/>
  <c r="P10" i="15"/>
  <c r="AF11" i="15"/>
  <c r="AC12" i="15"/>
  <c r="Y14" i="15"/>
  <c r="X12" i="15"/>
  <c r="T14" i="15"/>
  <c r="Q15" i="15"/>
  <c r="T4" i="15"/>
  <c r="S3" i="15"/>
  <c r="AB15" i="15"/>
  <c r="AF4" i="15"/>
  <c r="AE3" i="15"/>
  <c r="AA5" i="15"/>
  <c r="P9" i="15"/>
  <c r="T7" i="15"/>
  <c r="S6" i="15"/>
  <c r="O8" i="15"/>
  <c r="AF13" i="15"/>
  <c r="AB9" i="15"/>
  <c r="AA8" i="15"/>
  <c r="W10" i="15"/>
  <c r="AE16" i="15"/>
  <c r="P12" i="15"/>
  <c r="O11" i="15"/>
  <c r="AE12" i="15"/>
  <c r="S19" i="15"/>
  <c r="X14" i="15"/>
  <c r="W13" i="15"/>
  <c r="S15" i="15"/>
  <c r="W3" i="15"/>
  <c r="S5" i="15"/>
  <c r="R3" i="15"/>
  <c r="AH4" i="15"/>
  <c r="AE5" i="15"/>
  <c r="AA7" i="15"/>
  <c r="Z5" i="15"/>
  <c r="V7" i="15"/>
  <c r="S8" i="15"/>
  <c r="O10" i="15"/>
  <c r="AH7" i="15"/>
  <c r="AD9" i="15"/>
  <c r="AA10" i="15"/>
  <c r="W12" i="15"/>
  <c r="V10" i="15"/>
  <c r="R12" i="15"/>
  <c r="AA21" i="15"/>
  <c r="AE19" i="15"/>
  <c r="W20" i="15"/>
  <c r="O21" i="15"/>
  <c r="W30" i="15"/>
  <c r="S22" i="15"/>
  <c r="AE22" i="15"/>
  <c r="W23" i="15"/>
  <c r="O24" i="15"/>
  <c r="AA24" i="15"/>
  <c r="S25" i="15"/>
  <c r="AE25" i="15"/>
  <c r="W26" i="15"/>
  <c r="O27" i="15"/>
  <c r="AA27" i="15"/>
  <c r="S28" i="15"/>
  <c r="R16" i="15"/>
  <c r="AD16" i="15"/>
  <c r="V17" i="15"/>
  <c r="AH17" i="15"/>
  <c r="Z18" i="15"/>
  <c r="R19" i="15"/>
  <c r="AD19" i="15"/>
  <c r="V20" i="15"/>
  <c r="AH20" i="15"/>
  <c r="Z21" i="15"/>
  <c r="R22" i="15"/>
  <c r="AD22" i="15"/>
  <c r="V23" i="15"/>
  <c r="AH23" i="15"/>
  <c r="Z24" i="15"/>
  <c r="R25" i="15"/>
  <c r="AD25" i="15"/>
  <c r="V26" i="15"/>
  <c r="AH26" i="15"/>
  <c r="Z27" i="15"/>
  <c r="R28" i="15"/>
  <c r="Q16" i="15"/>
  <c r="AC16" i="15"/>
  <c r="U17" i="15"/>
  <c r="AG17" i="15"/>
  <c r="Y18" i="15"/>
  <c r="Q19" i="15"/>
  <c r="AC19" i="15"/>
  <c r="U20" i="15"/>
  <c r="AG20" i="15"/>
  <c r="Y21" i="15"/>
  <c r="Q22" i="15"/>
  <c r="AC22" i="15"/>
  <c r="U23" i="15"/>
  <c r="AG23" i="15"/>
  <c r="Y24" i="15"/>
  <c r="Q25" i="15"/>
  <c r="AC25" i="15"/>
  <c r="U26" i="15"/>
  <c r="AG26" i="15"/>
  <c r="Y27" i="15"/>
  <c r="Q28" i="15"/>
  <c r="P16" i="15"/>
  <c r="AB16" i="15"/>
  <c r="T17" i="15"/>
  <c r="AF17" i="15"/>
  <c r="X18" i="15"/>
  <c r="AB26" i="15"/>
  <c r="W17" i="15"/>
  <c r="AG18" i="15"/>
  <c r="U36" i="15"/>
  <c r="Q34" i="15"/>
  <c r="T36" i="15"/>
  <c r="P34" i="15"/>
  <c r="AA38" i="15"/>
  <c r="W36" i="15"/>
  <c r="AB41" i="15"/>
  <c r="Z35" i="15"/>
  <c r="V33" i="15"/>
  <c r="AG37" i="15"/>
  <c r="AC35" i="15"/>
  <c r="AF37" i="15"/>
  <c r="AB35" i="15"/>
  <c r="U40" i="15"/>
  <c r="P32" i="15"/>
  <c r="O36" i="15"/>
  <c r="O33" i="15"/>
  <c r="AH39" i="15"/>
  <c r="AD37" i="15"/>
  <c r="Y37" i="15"/>
  <c r="U35" i="15"/>
  <c r="AE2" i="15"/>
  <c r="P40" i="15"/>
  <c r="AE39" i="15"/>
  <c r="AA37" i="15"/>
  <c r="AH2" i="15"/>
  <c r="AA41" i="15"/>
  <c r="V39" i="15"/>
  <c r="Q39" i="15"/>
  <c r="AG36" i="15"/>
  <c r="Q29" i="15"/>
  <c r="R2" i="15"/>
  <c r="P29" i="15"/>
  <c r="S39" i="15"/>
  <c r="AD40" i="15"/>
  <c r="AB38" i="15"/>
  <c r="V2" i="15"/>
  <c r="I13" i="8"/>
  <c r="A32" i="13"/>
  <c r="I16" i="16"/>
  <c r="I23" i="19"/>
  <c r="I20" i="8"/>
  <c r="I9" i="16"/>
  <c r="I22" i="16"/>
  <c r="A38" i="13"/>
  <c r="I11" i="16"/>
  <c r="A14" i="13"/>
  <c r="A54" i="14"/>
  <c r="I17" i="19"/>
  <c r="A92" i="13"/>
  <c r="A57" i="14"/>
  <c r="O41" i="15"/>
  <c r="AH40" i="15"/>
  <c r="U41" i="15"/>
  <c r="Y38" i="15"/>
  <c r="AC30" i="15"/>
  <c r="AF28" i="15"/>
  <c r="AB30" i="15"/>
  <c r="Y41" i="15"/>
  <c r="P28" i="15"/>
  <c r="AE29" i="15"/>
  <c r="S41" i="15"/>
  <c r="AH29" i="15"/>
  <c r="Q40" i="15"/>
  <c r="U32" i="15"/>
  <c r="Z2" i="15"/>
  <c r="AH34" i="15"/>
  <c r="P35" i="15"/>
  <c r="AF32" i="15"/>
  <c r="AA32" i="15"/>
  <c r="O29" i="15"/>
  <c r="W40" i="15"/>
  <c r="V34" i="15"/>
  <c r="R32" i="15"/>
  <c r="AG31" i="15"/>
  <c r="AC29" i="15"/>
  <c r="AB36" i="15"/>
  <c r="X34" i="15"/>
  <c r="S34" i="15"/>
  <c r="O32" i="15"/>
  <c r="U2" i="15"/>
  <c r="AH35" i="15"/>
  <c r="AD33" i="15"/>
  <c r="Y33" i="15"/>
  <c r="U31" i="15"/>
  <c r="X38" i="15"/>
  <c r="AA2" i="15"/>
  <c r="I14" i="16"/>
  <c r="I23" i="8"/>
  <c r="I23" i="16"/>
  <c r="A110" i="13"/>
  <c r="D6" i="1"/>
  <c r="N2" i="2"/>
  <c r="AB2" i="2"/>
  <c r="D9" i="1"/>
  <c r="D8" i="1"/>
  <c r="A67" i="14"/>
  <c r="I5" i="16"/>
  <c r="S2" i="2"/>
  <c r="I15" i="16"/>
  <c r="I21" i="8"/>
  <c r="O18" i="15"/>
  <c r="W29" i="15"/>
  <c r="AD36" i="15"/>
  <c r="Z34" i="15"/>
  <c r="U34" i="15"/>
  <c r="Q32" i="15"/>
  <c r="P39" i="15"/>
  <c r="AF36" i="15"/>
  <c r="AA36" i="15"/>
  <c r="W34" i="15"/>
  <c r="AE41" i="15"/>
  <c r="V38" i="15"/>
  <c r="R36" i="15"/>
  <c r="AG35" i="15"/>
  <c r="AC33" i="15"/>
  <c r="P41" i="15"/>
  <c r="Z30" i="15"/>
  <c r="Y34" i="15"/>
  <c r="AG41" i="15"/>
  <c r="AE38" i="15"/>
  <c r="X27" i="15"/>
  <c r="AH37" i="15"/>
  <c r="AD35" i="15"/>
  <c r="Y40" i="15"/>
  <c r="Q38" i="15"/>
  <c r="T40" i="15"/>
  <c r="P38" i="15"/>
  <c r="T30" i="15"/>
  <c r="AC40" i="15"/>
  <c r="O30" i="15"/>
  <c r="Z39" i="15"/>
  <c r="V37" i="15"/>
  <c r="Z29" i="15"/>
  <c r="AC39" i="15"/>
  <c r="AF2" i="15"/>
  <c r="AB39" i="15"/>
  <c r="O38" i="15"/>
  <c r="R37" i="15"/>
  <c r="I14" i="19"/>
  <c r="I22" i="8"/>
  <c r="I18" i="19"/>
  <c r="A20" i="13"/>
  <c r="I14" i="8"/>
  <c r="I21" i="19"/>
  <c r="I20" i="16"/>
  <c r="I8" i="16"/>
  <c r="I17" i="8"/>
  <c r="A64" i="14"/>
  <c r="I8" i="19"/>
  <c r="I8" i="8"/>
  <c r="A80" i="13"/>
  <c r="AA2" i="2"/>
  <c r="AF31" i="15"/>
  <c r="AB29" i="15"/>
  <c r="AA31" i="15"/>
  <c r="AH41" i="15"/>
  <c r="AH38" i="15"/>
  <c r="R31" i="15"/>
  <c r="AG28" i="15"/>
  <c r="W28" i="15"/>
  <c r="AA40" i="15"/>
  <c r="X33" i="15"/>
  <c r="T31" i="15"/>
  <c r="S30" i="15"/>
  <c r="AF40" i="15"/>
  <c r="Z40" i="15"/>
  <c r="AD32" i="15"/>
  <c r="T32" i="15"/>
  <c r="U25" i="15"/>
  <c r="Q33" i="15"/>
  <c r="AG30" i="15"/>
  <c r="P33" i="15"/>
  <c r="AF30" i="15"/>
  <c r="W35" i="15"/>
  <c r="S33" i="15"/>
  <c r="X40" i="15"/>
  <c r="V32" i="15"/>
  <c r="R30" i="15"/>
  <c r="AC34" i="15"/>
  <c r="Y32" i="15"/>
  <c r="AB34" i="15"/>
  <c r="X32" i="15"/>
  <c r="O37" i="15"/>
  <c r="AE34" i="15"/>
  <c r="S2" i="15"/>
  <c r="AH33" i="15"/>
  <c r="AD31" i="15"/>
  <c r="AH36" i="15"/>
  <c r="X28" i="15"/>
  <c r="I15" i="8"/>
  <c r="Z2" i="2"/>
  <c r="I19" i="19"/>
  <c r="A58" i="14"/>
  <c r="I18" i="16"/>
  <c r="I5" i="19"/>
  <c r="AD2" i="2"/>
  <c r="I12" i="8"/>
  <c r="A26" i="13"/>
  <c r="I6" i="8"/>
  <c r="A104" i="13"/>
  <c r="A68" i="13"/>
  <c r="I16" i="8"/>
  <c r="I12" i="19"/>
  <c r="AA18" i="15"/>
  <c r="AE37" i="15"/>
  <c r="AA35" i="15"/>
  <c r="AE40" i="15"/>
  <c r="AD34" i="15"/>
  <c r="Z32" i="15"/>
  <c r="Q37" i="15"/>
  <c r="AG34" i="15"/>
  <c r="P37" i="15"/>
  <c r="AF34" i="15"/>
  <c r="W39" i="15"/>
  <c r="S37" i="15"/>
  <c r="T24" i="15"/>
  <c r="V36" i="15"/>
  <c r="R34" i="15"/>
  <c r="AC38" i="15"/>
  <c r="AE31" i="15"/>
  <c r="Z41" i="15"/>
  <c r="W41" i="15"/>
  <c r="T39" i="15"/>
  <c r="O39" i="15"/>
  <c r="AE36" i="15"/>
  <c r="T2" i="15"/>
  <c r="R41" i="15"/>
  <c r="Z38" i="15"/>
  <c r="U38" i="15"/>
  <c r="Q36" i="15"/>
  <c r="AB28" i="15"/>
  <c r="X41" i="15"/>
  <c r="Q41" i="15"/>
  <c r="W38" i="15"/>
  <c r="Y2" i="15"/>
  <c r="AG2" i="15"/>
  <c r="R40" i="15"/>
  <c r="AG39" i="15"/>
  <c r="AC37" i="15"/>
  <c r="Y36" i="15"/>
  <c r="P30" i="15"/>
  <c r="I11" i="8"/>
  <c r="A44" i="13"/>
  <c r="A61" i="14"/>
  <c r="I20" i="19"/>
  <c r="L2" i="2"/>
  <c r="A59" i="14"/>
  <c r="I13" i="16"/>
  <c r="I10" i="8"/>
  <c r="AC2" i="2"/>
  <c r="I17" i="16"/>
  <c r="A86" i="13"/>
  <c r="I16" i="19"/>
  <c r="M2" i="2"/>
  <c r="I22" i="19"/>
  <c r="AG29" i="15"/>
  <c r="AD2" i="15"/>
  <c r="AF29" i="15"/>
  <c r="O40" i="15"/>
  <c r="O31" i="15"/>
  <c r="Z28" i="15"/>
  <c r="AD41" i="15"/>
  <c r="R29" i="15"/>
  <c r="U39" i="15"/>
  <c r="Y31" i="15"/>
  <c r="U29" i="15"/>
  <c r="X31" i="15"/>
  <c r="T29" i="15"/>
  <c r="AE33" i="15"/>
  <c r="W31" i="15"/>
  <c r="AD30" i="15"/>
  <c r="S31" i="15"/>
  <c r="Z33" i="15"/>
  <c r="V31" i="15"/>
  <c r="Q31" i="15"/>
  <c r="AE28" i="15"/>
  <c r="AF35" i="15"/>
  <c r="AB33" i="15"/>
  <c r="W33" i="15"/>
  <c r="AA30" i="15"/>
  <c r="P2" i="15"/>
  <c r="R35" i="15"/>
  <c r="AH32" i="15"/>
  <c r="AC32" i="15"/>
  <c r="Y30" i="15"/>
  <c r="X37" i="15"/>
  <c r="T35" i="15"/>
  <c r="O35" i="15"/>
  <c r="AE32" i="15"/>
  <c r="AB2" i="15"/>
  <c r="S38" i="15"/>
  <c r="V41" i="15"/>
  <c r="A56" i="14"/>
  <c r="T2" i="2"/>
  <c r="A74" i="13"/>
  <c r="D4" i="1"/>
  <c r="K2" i="2"/>
  <c r="A55" i="14"/>
  <c r="I24" i="19"/>
  <c r="I9" i="8"/>
  <c r="A98" i="13"/>
  <c r="I24" i="16"/>
  <c r="I15" i="19"/>
  <c r="I21" i="16"/>
  <c r="A69" i="14"/>
  <c r="A66" i="14"/>
  <c r="A68" i="14"/>
  <c r="W2" i="2"/>
  <c r="U2" i="2"/>
  <c r="AD18" i="15"/>
  <c r="T38" i="15"/>
  <c r="P36" i="15"/>
  <c r="AE35" i="15"/>
  <c r="AA33" i="15"/>
  <c r="T41" i="15"/>
  <c r="Z37" i="15"/>
  <c r="V35" i="15"/>
  <c r="Q35" i="15"/>
  <c r="AG32" i="15"/>
  <c r="AF39" i="15"/>
  <c r="AB37" i="15"/>
  <c r="W37" i="15"/>
  <c r="S35" i="15"/>
  <c r="X2" i="15"/>
  <c r="R39" i="15"/>
  <c r="U30" i="15"/>
  <c r="X25" i="15"/>
  <c r="Y39" i="15"/>
  <c r="U37" i="15"/>
  <c r="X39" i="15"/>
  <c r="T37" i="15"/>
  <c r="X29" i="15"/>
  <c r="AA39" i="15"/>
  <c r="AA28" i="15"/>
  <c r="AD38" i="15"/>
  <c r="Z36" i="15"/>
  <c r="Y28" i="15"/>
  <c r="AG38" i="15"/>
  <c r="AF41" i="15"/>
  <c r="AF38" i="15"/>
  <c r="P31" i="15"/>
  <c r="AC28" i="15"/>
  <c r="AE30" i="15"/>
  <c r="V40" i="15"/>
  <c r="R38" i="15"/>
  <c r="AF25" i="15"/>
  <c r="AC41" i="15"/>
  <c r="D3" i="1"/>
  <c r="I6" i="16"/>
  <c r="I12" i="16"/>
  <c r="A50" i="13"/>
  <c r="I13" i="19"/>
  <c r="I6" i="19"/>
  <c r="I11" i="19"/>
  <c r="A62" i="14"/>
  <c r="A60" i="14"/>
  <c r="I10" i="16"/>
  <c r="A8" i="13"/>
  <c r="A70" i="14"/>
  <c r="I10" i="19"/>
  <c r="X2" i="2"/>
  <c r="D7" i="1"/>
  <c r="I7" i="8"/>
  <c r="I7" i="19"/>
  <c r="V30" i="15"/>
  <c r="AG40" i="15"/>
  <c r="T28" i="15"/>
  <c r="AB40" i="15"/>
  <c r="AB32" i="15"/>
  <c r="X30" i="15"/>
  <c r="AH28" i="15"/>
  <c r="Q2" i="15"/>
  <c r="AD39" i="15"/>
  <c r="AH31" i="15"/>
  <c r="AD29" i="15"/>
  <c r="Y29" i="15"/>
  <c r="W2" i="15"/>
  <c r="T34" i="15"/>
  <c r="Q30" i="15"/>
  <c r="X36" i="15"/>
  <c r="AA34" i="15"/>
  <c r="W32" i="15"/>
  <c r="AC2" i="15"/>
  <c r="Z31" i="15"/>
  <c r="V29" i="15"/>
  <c r="AG33" i="15"/>
  <c r="AC31" i="15"/>
  <c r="AF33" i="15"/>
  <c r="AB31" i="15"/>
  <c r="S36" i="15"/>
  <c r="O34" i="15"/>
  <c r="S40" i="15"/>
  <c r="R33" i="15"/>
  <c r="AH30" i="15"/>
  <c r="Y35" i="15"/>
  <c r="U33" i="15"/>
  <c r="X35" i="15"/>
  <c r="T33" i="15"/>
  <c r="O2" i="15"/>
  <c r="AC36" i="15"/>
  <c r="I24" i="8"/>
  <c r="I5" i="8"/>
  <c r="A63" i="14"/>
  <c r="A65" i="14"/>
  <c r="I19" i="8"/>
  <c r="I7" i="16"/>
  <c r="A56" i="13"/>
  <c r="I9" i="19"/>
  <c r="A116" i="13"/>
  <c r="Y2" i="2"/>
  <c r="D10" i="1"/>
  <c r="I18" i="8"/>
  <c r="A62" i="13"/>
  <c r="V2" i="2"/>
  <c r="I19" i="16"/>
  <c r="A2" i="13"/>
  <c r="I6" i="15" l="1"/>
  <c r="M16" i="8"/>
  <c r="P16" i="8"/>
  <c r="K16" i="8"/>
  <c r="N16" i="8"/>
  <c r="R16" i="8"/>
  <c r="O16" i="8"/>
  <c r="J16" i="8"/>
  <c r="S16" i="8"/>
  <c r="Q16" i="8"/>
  <c r="L16" i="8"/>
  <c r="T16" i="8"/>
  <c r="K12" i="19"/>
  <c r="O12" i="19"/>
  <c r="R12" i="19"/>
  <c r="L12" i="19"/>
  <c r="P12" i="19"/>
  <c r="T12" i="19"/>
  <c r="N12" i="19"/>
  <c r="Q12" i="19"/>
  <c r="J12" i="19"/>
  <c r="S12" i="19"/>
  <c r="M12" i="19"/>
  <c r="BS68" i="13"/>
  <c r="BS72" i="13"/>
  <c r="BS71" i="13"/>
  <c r="BS70" i="13"/>
  <c r="BS69" i="13"/>
  <c r="BS73" i="13"/>
  <c r="DJ73" i="13"/>
  <c r="ED73" i="13"/>
  <c r="CC70" i="13" a="1"/>
  <c r="DA73" i="13"/>
  <c r="DZ73" i="13"/>
  <c r="CA70" i="13" a="1"/>
  <c r="CA70" i="13" s="1"/>
  <c r="CH73" i="13"/>
  <c r="CX73" i="13"/>
  <c r="EG69" i="13"/>
  <c r="BY68" i="13"/>
  <c r="CS70" i="13" a="1"/>
  <c r="CS70" i="13" s="1"/>
  <c r="DR73" i="13"/>
  <c r="CG70" i="13" a="1"/>
  <c r="DP69" i="13"/>
  <c r="BZ69" i="13"/>
  <c r="DO70" i="13" a="1"/>
  <c r="CG73" i="13"/>
  <c r="CA73" i="13"/>
  <c r="EI73" i="13"/>
  <c r="DP73" i="13"/>
  <c r="CD70" i="13" a="1"/>
  <c r="DM70" i="13" a="1"/>
  <c r="DM70" i="13" s="1"/>
  <c r="CO73" i="13"/>
  <c r="DI73" i="13"/>
  <c r="D70" i="13"/>
  <c r="CF73" i="13"/>
  <c r="CZ73" i="13"/>
  <c r="EI69" i="13"/>
  <c r="G72" i="13"/>
  <c r="CC73" i="13"/>
  <c r="DI69" i="13"/>
  <c r="EJ73" i="13"/>
  <c r="CF70" i="13" a="1"/>
  <c r="CB73" i="13"/>
  <c r="EE69" i="13"/>
  <c r="AB69" i="13"/>
  <c r="EK73" i="13"/>
  <c r="CQ70" i="13" a="1"/>
  <c r="CQ70" i="13" s="1"/>
  <c r="EC70" i="13" a="1"/>
  <c r="CV69" i="13"/>
  <c r="CF68" i="13"/>
  <c r="DM73" i="13"/>
  <c r="BZ73" i="13"/>
  <c r="DQ69" i="13"/>
  <c r="CO70" i="13" a="1"/>
  <c r="CN73" i="13"/>
  <c r="DO69" i="13"/>
  <c r="C70" i="13"/>
  <c r="CE68" i="13"/>
  <c r="CV70" i="13" a="1"/>
  <c r="CV70" i="13" s="1"/>
  <c r="EC73" i="13"/>
  <c r="C68" i="13"/>
  <c r="CH70" i="13" a="1"/>
  <c r="CT69" i="13"/>
  <c r="DQ70" i="13" a="1"/>
  <c r="CD68" i="13"/>
  <c r="EH70" i="13" a="1"/>
  <c r="DN73" i="13"/>
  <c r="CE70" i="13" a="1"/>
  <c r="CE70" i="13" s="1"/>
  <c r="DK73" i="13"/>
  <c r="CG68" i="13"/>
  <c r="EM73" i="13"/>
  <c r="CT70" i="13" a="1"/>
  <c r="E70" i="13"/>
  <c r="CU69" i="13"/>
  <c r="EE70" i="13" a="1"/>
  <c r="EE71" i="13" s="1"/>
  <c r="DG73" i="13"/>
  <c r="EE73" i="13"/>
  <c r="I68" i="13"/>
  <c r="CP70" i="13" a="1"/>
  <c r="CP70" i="13" s="1"/>
  <c r="DL73" i="13"/>
  <c r="EF69" i="13"/>
  <c r="EJ70" i="13" a="1"/>
  <c r="CH69" i="13"/>
  <c r="CX69" i="13"/>
  <c r="EA70" i="13" a="1"/>
  <c r="CH68" i="13"/>
  <c r="CT73" i="13"/>
  <c r="EC69" i="13"/>
  <c r="CA69" i="13"/>
  <c r="D68" i="13"/>
  <c r="CR73" i="13"/>
  <c r="G70" i="13"/>
  <c r="AF73" i="13" s="1"/>
  <c r="CS69" i="13"/>
  <c r="CB70" i="13" a="1"/>
  <c r="DQ73" i="13"/>
  <c r="CD73" i="13"/>
  <c r="DP70" i="13" a="1"/>
  <c r="D69" i="13"/>
  <c r="EH69" i="13"/>
  <c r="EM72" i="13"/>
  <c r="CW72" i="13"/>
  <c r="ED72" i="13"/>
  <c r="CA72" i="13"/>
  <c r="DL72" i="13"/>
  <c r="EJ72" i="13"/>
  <c r="CP72" i="13"/>
  <c r="DA72" i="13"/>
  <c r="EH72" i="13"/>
  <c r="CE72" i="13"/>
  <c r="DP72" i="13"/>
  <c r="CN72" i="13"/>
  <c r="DJ72" i="13"/>
  <c r="EL72" i="13"/>
  <c r="CR72" i="13"/>
  <c r="CY72" i="13"/>
  <c r="EB72" i="13"/>
  <c r="EN73" i="13" s="1"/>
  <c r="CC72" i="13"/>
  <c r="DN72" i="13"/>
  <c r="BX72" i="13"/>
  <c r="CV72" i="13"/>
  <c r="DH72" i="13"/>
  <c r="EF72" i="13"/>
  <c r="CG72" i="13"/>
  <c r="CU72" i="13"/>
  <c r="DS72" i="13"/>
  <c r="BY72" i="13"/>
  <c r="DL69" i="13"/>
  <c r="ED70" i="13" a="1"/>
  <c r="ED71" i="13" s="1"/>
  <c r="CQ73" i="13"/>
  <c r="DH69" i="13"/>
  <c r="EB70" i="13" a="1"/>
  <c r="EB71" i="13" s="1"/>
  <c r="C69" i="13"/>
  <c r="CC69" i="13"/>
  <c r="DK70" i="13" a="1"/>
  <c r="F68" i="13"/>
  <c r="BY73" i="13"/>
  <c r="CW69" i="13"/>
  <c r="EL73" i="13"/>
  <c r="CY73" i="13"/>
  <c r="EF70" i="13" a="1"/>
  <c r="CP69" i="13"/>
  <c r="BZ68" i="13"/>
  <c r="DM69" i="13"/>
  <c r="DG69" i="13"/>
  <c r="CR70" i="13" a="1"/>
  <c r="EF73" i="13"/>
  <c r="CG69" i="13"/>
  <c r="J68" i="13"/>
  <c r="CN69" i="13"/>
  <c r="DN70" i="13" a="1"/>
  <c r="BX68" i="13"/>
  <c r="CE69" i="13"/>
  <c r="DL70" i="13" a="1"/>
  <c r="H68" i="13"/>
  <c r="CC68" i="13"/>
  <c r="CU70" i="13" a="1"/>
  <c r="DZ69" i="13"/>
  <c r="EG70" i="13" a="1"/>
  <c r="CB69" i="13"/>
  <c r="CV73" i="13"/>
  <c r="AB71" i="13"/>
  <c r="DH70" i="13" a="1"/>
  <c r="AB68" i="13"/>
  <c r="DJ69" i="13"/>
  <c r="E69" i="13"/>
  <c r="DZ70" i="13" a="1"/>
  <c r="CS73" i="13"/>
  <c r="AB70" i="13"/>
  <c r="CP73" i="13"/>
  <c r="G68" i="13"/>
  <c r="B69" i="13"/>
  <c r="CX70" i="13" a="1"/>
  <c r="EG73" i="13"/>
  <c r="E72" i="13"/>
  <c r="CE73" i="13"/>
  <c r="DK69" i="13"/>
  <c r="ED69" i="13"/>
  <c r="EI70" i="13" a="1"/>
  <c r="CF69" i="13"/>
  <c r="DO73" i="13"/>
  <c r="BX70" i="13" a="1"/>
  <c r="EB69" i="13"/>
  <c r="CD69" i="13"/>
  <c r="EH73" i="13"/>
  <c r="CU73" i="13"/>
  <c r="F70" i="13"/>
  <c r="CW70" i="13" a="1"/>
  <c r="CW70" i="13" s="1"/>
  <c r="CA68" i="13"/>
  <c r="DT73" i="13"/>
  <c r="AB73" i="13"/>
  <c r="DN69" i="13"/>
  <c r="BX69" i="13"/>
  <c r="B70" i="13"/>
  <c r="EJ69" i="13"/>
  <c r="F72" i="13"/>
  <c r="CQ69" i="13"/>
  <c r="EA73" i="13"/>
  <c r="E68" i="13"/>
  <c r="CN70" i="13" a="1"/>
  <c r="CN70" i="13" s="1"/>
  <c r="DH73" i="13"/>
  <c r="DS73" i="13"/>
  <c r="BZ70" i="13" a="1"/>
  <c r="BY69" i="13"/>
  <c r="DI70" i="13" a="1"/>
  <c r="B68" i="13"/>
  <c r="DJ70" i="13" a="1"/>
  <c r="BX73" i="13"/>
  <c r="EA69" i="13"/>
  <c r="AB72" i="13"/>
  <c r="EB73" i="13"/>
  <c r="CW73" i="13"/>
  <c r="BY70" i="13" a="1"/>
  <c r="BY71" i="13" s="1"/>
  <c r="CR69" i="13"/>
  <c r="CB68" i="13"/>
  <c r="DG70" i="13" a="1"/>
  <c r="DG70" i="13" s="1"/>
  <c r="CO69" i="13"/>
  <c r="DR72" i="13"/>
  <c r="CB72" i="13"/>
  <c r="CZ72" i="13"/>
  <c r="EG72" i="13"/>
  <c r="CQ72" i="13"/>
  <c r="DO72" i="13"/>
  <c r="EA72" i="13"/>
  <c r="CF72" i="13"/>
  <c r="DI72" i="13"/>
  <c r="EK72" i="13"/>
  <c r="DZ72" i="13"/>
  <c r="EE72" i="13"/>
  <c r="CO72" i="13"/>
  <c r="DM72" i="13"/>
  <c r="DT72" i="13"/>
  <c r="CD72" i="13"/>
  <c r="CX72" i="13"/>
  <c r="EI72" i="13"/>
  <c r="CS72" i="13"/>
  <c r="DQ72" i="13"/>
  <c r="EC72" i="13"/>
  <c r="CH72" i="13"/>
  <c r="DK72" i="13"/>
  <c r="DG72" i="13"/>
  <c r="BZ72" i="13"/>
  <c r="CT72" i="13"/>
  <c r="P21" i="8"/>
  <c r="T21" i="8"/>
  <c r="M21" i="8"/>
  <c r="Q21" i="8"/>
  <c r="J21" i="8"/>
  <c r="N21" i="8"/>
  <c r="R21" i="8"/>
  <c r="K21" i="8"/>
  <c r="O21" i="8"/>
  <c r="S21" i="8"/>
  <c r="L21" i="8"/>
  <c r="E6" i="13"/>
  <c r="F6" i="13"/>
  <c r="G6" i="13"/>
  <c r="D68" i="14"/>
  <c r="B68" i="14"/>
  <c r="C68" i="14"/>
  <c r="BS104" i="13"/>
  <c r="BS108" i="13"/>
  <c r="BS107" i="13"/>
  <c r="BS106" i="13"/>
  <c r="BS105" i="13"/>
  <c r="BS109" i="13"/>
  <c r="EM109" i="13"/>
  <c r="EC106" i="13" a="1"/>
  <c r="EC106" i="13" s="1"/>
  <c r="CP105" i="13"/>
  <c r="CU106" i="13" a="1"/>
  <c r="CB104" i="13"/>
  <c r="DG105" i="13"/>
  <c r="DH105" i="13"/>
  <c r="EK109" i="13"/>
  <c r="DZ109" i="13"/>
  <c r="CB106" i="13" a="1"/>
  <c r="CR106" i="13" a="1"/>
  <c r="CR107" i="13" s="1"/>
  <c r="J104" i="13"/>
  <c r="EG106" i="13" a="1"/>
  <c r="CX105" i="13"/>
  <c r="DG106" i="13" a="1"/>
  <c r="C105" i="13"/>
  <c r="EE105" i="13"/>
  <c r="DP105" i="13"/>
  <c r="DK106" i="13" a="1"/>
  <c r="EH109" i="13"/>
  <c r="CF106" i="13" a="1"/>
  <c r="CV106" i="13" a="1"/>
  <c r="CV107" i="13" s="1"/>
  <c r="CD104" i="13"/>
  <c r="CA105" i="13"/>
  <c r="DN105" i="13"/>
  <c r="DJ106" i="13" a="1"/>
  <c r="DJ107" i="13" s="1"/>
  <c r="CH105" i="13"/>
  <c r="E104" i="13"/>
  <c r="EF105" i="13"/>
  <c r="DO106" i="13" a="1"/>
  <c r="DO107" i="13" s="1"/>
  <c r="BY105" i="13"/>
  <c r="CO106" i="13" a="1"/>
  <c r="D104" i="13"/>
  <c r="E105" i="13"/>
  <c r="CN105" i="13"/>
  <c r="DT109" i="13"/>
  <c r="DI109" i="13"/>
  <c r="F106" i="13"/>
  <c r="CG106" i="13" a="1"/>
  <c r="CG107" i="13" s="1"/>
  <c r="E106" i="13"/>
  <c r="EA106" i="13" a="1"/>
  <c r="CG105" i="13"/>
  <c r="CS106" i="13" a="1"/>
  <c r="BX104" i="13"/>
  <c r="CQ105" i="13"/>
  <c r="CV105" i="13"/>
  <c r="EG109" i="13"/>
  <c r="DQ109" i="13"/>
  <c r="BZ106" i="13" a="1"/>
  <c r="CP106" i="13" a="1"/>
  <c r="CP107" i="13" s="1"/>
  <c r="F104" i="13"/>
  <c r="EF109" i="13"/>
  <c r="CU109" i="13"/>
  <c r="CE109" i="13"/>
  <c r="CF105" i="13"/>
  <c r="AB106" i="13"/>
  <c r="DJ109" i="13"/>
  <c r="CT109" i="13"/>
  <c r="AB107" i="13"/>
  <c r="ED106" i="13" a="1"/>
  <c r="G104" i="13"/>
  <c r="BZ104" i="13"/>
  <c r="AB105" i="13"/>
  <c r="DH109" i="13"/>
  <c r="CR109" i="13"/>
  <c r="DI105" i="13"/>
  <c r="CA106" i="13" a="1"/>
  <c r="DR109" i="13"/>
  <c r="DG109" i="13"/>
  <c r="EL109" i="13"/>
  <c r="CH106" i="13" a="1"/>
  <c r="CX106" i="13" a="1"/>
  <c r="CH104" i="13"/>
  <c r="CE105" i="13"/>
  <c r="DP109" i="13"/>
  <c r="CZ109" i="13"/>
  <c r="EG105" i="13"/>
  <c r="CE106" i="13" a="1"/>
  <c r="CE106" i="13" s="1"/>
  <c r="EE109" i="13"/>
  <c r="DO109" i="13"/>
  <c r="CD109" i="13"/>
  <c r="F108" i="13"/>
  <c r="CG104" i="13"/>
  <c r="DM105" i="13"/>
  <c r="CS109" i="13"/>
  <c r="CC109" i="13"/>
  <c r="EH105" i="13"/>
  <c r="DP106" i="13" a="1"/>
  <c r="EA105" i="13"/>
  <c r="CA104" i="13"/>
  <c r="EK108" i="13"/>
  <c r="CH108" i="13"/>
  <c r="DA108" i="13"/>
  <c r="CG108" i="13"/>
  <c r="CQ108" i="13"/>
  <c r="DM108" i="13"/>
  <c r="EE108" i="13"/>
  <c r="CO108" i="13"/>
  <c r="DO108" i="13"/>
  <c r="DZ108" i="13"/>
  <c r="EC108" i="13"/>
  <c r="CU108" i="13"/>
  <c r="DQ108" i="13"/>
  <c r="EI108" i="13"/>
  <c r="CS108" i="13"/>
  <c r="DS108" i="13"/>
  <c r="BY108" i="13"/>
  <c r="CY108" i="13"/>
  <c r="ED108" i="13"/>
  <c r="CA108" i="13"/>
  <c r="DR108" i="13"/>
  <c r="CB108" i="13"/>
  <c r="CX108" i="13"/>
  <c r="DG108" i="13"/>
  <c r="EH108" i="13"/>
  <c r="EA108" i="13"/>
  <c r="DK108" i="13"/>
  <c r="EB109" i="13"/>
  <c r="CQ109" i="13"/>
  <c r="CA109" i="13"/>
  <c r="BX105" i="13"/>
  <c r="B106" i="13"/>
  <c r="DA109" i="13"/>
  <c r="CP109" i="13"/>
  <c r="G106" i="13"/>
  <c r="EB106" i="13" a="1"/>
  <c r="EB106" i="13" s="1"/>
  <c r="C104" i="13"/>
  <c r="B105" i="13"/>
  <c r="EJ109" i="13"/>
  <c r="CY109" i="13"/>
  <c r="CN109" i="13"/>
  <c r="CS105" i="13"/>
  <c r="BY106" i="13" a="1"/>
  <c r="DN109" i="13"/>
  <c r="CX109" i="13"/>
  <c r="G108" i="13"/>
  <c r="EF106" i="13" a="1"/>
  <c r="AB104" i="13"/>
  <c r="CB105" i="13"/>
  <c r="CB109" i="13"/>
  <c r="DL109" i="13"/>
  <c r="CV109" i="13"/>
  <c r="DQ105" i="13"/>
  <c r="CC106" i="13" a="1"/>
  <c r="EA109" i="13"/>
  <c r="DK109" i="13"/>
  <c r="BZ109" i="13"/>
  <c r="EJ106" i="13" a="1"/>
  <c r="CC104" i="13"/>
  <c r="CW105" i="13"/>
  <c r="CO109" i="13"/>
  <c r="BY109" i="13"/>
  <c r="ED105" i="13"/>
  <c r="DN106" i="13" a="1"/>
  <c r="DN107" i="13" s="1"/>
  <c r="DK105" i="13"/>
  <c r="EI109" i="13"/>
  <c r="DS109" i="13"/>
  <c r="CH109" i="13"/>
  <c r="AB109" i="13"/>
  <c r="D105" i="13"/>
  <c r="EC105" i="13"/>
  <c r="CW109" i="13"/>
  <c r="CG109" i="13"/>
  <c r="C106" i="13"/>
  <c r="DZ106" i="13" a="1"/>
  <c r="EI105" i="13"/>
  <c r="CE104" i="13"/>
  <c r="E108" i="13"/>
  <c r="EE106" i="13" a="1"/>
  <c r="CT105" i="13"/>
  <c r="CW106" i="13" a="1"/>
  <c r="CF104" i="13"/>
  <c r="DO105" i="13"/>
  <c r="DL105" i="13"/>
  <c r="DI106" i="13" a="1"/>
  <c r="ED109" i="13"/>
  <c r="CD106" i="13" a="1"/>
  <c r="CT106" i="13" a="1"/>
  <c r="CT106" i="13" s="1"/>
  <c r="BX109" i="13"/>
  <c r="EI106" i="13" a="1"/>
  <c r="DJ105" i="13"/>
  <c r="DH106" i="13" a="1"/>
  <c r="DH106" i="13" s="1"/>
  <c r="BZ105" i="13"/>
  <c r="D106" i="13"/>
  <c r="EB105" i="13"/>
  <c r="DM106" i="13" a="1"/>
  <c r="DM106" i="13" s="1"/>
  <c r="EH106" i="13" a="1"/>
  <c r="BY104" i="13"/>
  <c r="CO105" i="13"/>
  <c r="CF109" i="13"/>
  <c r="AB108" i="13"/>
  <c r="DZ105" i="13"/>
  <c r="DL106" i="13" a="1"/>
  <c r="CU105" i="13"/>
  <c r="I104" i="13"/>
  <c r="EJ105" i="13"/>
  <c r="DQ106" i="13" a="1"/>
  <c r="CC105" i="13"/>
  <c r="CQ106" i="13" a="1"/>
  <c r="H104" i="13"/>
  <c r="CD105" i="13"/>
  <c r="CR105" i="13"/>
  <c r="EC109" i="13"/>
  <c r="DM109" i="13"/>
  <c r="BX106" i="13" a="1"/>
  <c r="CN106" i="13" a="1"/>
  <c r="CN106" i="13" s="1"/>
  <c r="B104" i="13"/>
  <c r="EG108" i="13"/>
  <c r="CE108" i="13"/>
  <c r="EF108" i="13"/>
  <c r="DL108" i="13"/>
  <c r="EL108" i="13"/>
  <c r="CR108" i="13"/>
  <c r="DJ108" i="13"/>
  <c r="EJ108" i="13"/>
  <c r="CP108" i="13"/>
  <c r="CN108" i="13"/>
  <c r="DP108" i="13"/>
  <c r="BZ108" i="13"/>
  <c r="CV108" i="13"/>
  <c r="DN108" i="13"/>
  <c r="BX108" i="13"/>
  <c r="CT108" i="13"/>
  <c r="DT108" i="13"/>
  <c r="CD108" i="13"/>
  <c r="CZ108" i="13"/>
  <c r="EM108" i="13"/>
  <c r="CW108" i="13"/>
  <c r="EB108" i="13"/>
  <c r="CC108" i="13"/>
  <c r="DH108" i="13"/>
  <c r="DI108" i="13"/>
  <c r="CF108" i="13"/>
  <c r="O19" i="16"/>
  <c r="S19" i="16"/>
  <c r="L19" i="16"/>
  <c r="P19" i="16"/>
  <c r="T19" i="16"/>
  <c r="M19" i="16"/>
  <c r="Q19" i="16"/>
  <c r="J19" i="16"/>
  <c r="N19" i="16"/>
  <c r="R19" i="16"/>
  <c r="K19" i="16"/>
  <c r="C66" i="14"/>
  <c r="D66" i="14"/>
  <c r="B66" i="14"/>
  <c r="P15" i="16"/>
  <c r="T15" i="16"/>
  <c r="M15" i="16"/>
  <c r="Q15" i="16"/>
  <c r="N15" i="16"/>
  <c r="K15" i="16"/>
  <c r="S15" i="16"/>
  <c r="J15" i="16"/>
  <c r="R15" i="16"/>
  <c r="O15" i="16"/>
  <c r="L15" i="16"/>
  <c r="D69" i="14"/>
  <c r="B69" i="14"/>
  <c r="C69" i="14"/>
  <c r="R21" i="16"/>
  <c r="K21" i="16"/>
  <c r="T21" i="16"/>
  <c r="M21" i="16"/>
  <c r="O21" i="16"/>
  <c r="S21" i="16"/>
  <c r="L21" i="16"/>
  <c r="P21" i="16"/>
  <c r="Q21" i="16"/>
  <c r="J21" i="16"/>
  <c r="N21" i="16"/>
  <c r="BS26" i="13"/>
  <c r="BS30" i="13"/>
  <c r="BS29" i="13"/>
  <c r="BS28" i="13"/>
  <c r="BS27" i="13"/>
  <c r="BS31" i="13"/>
  <c r="BY31" i="13"/>
  <c r="EG27" i="13"/>
  <c r="ED27" i="13"/>
  <c r="CD31" i="13"/>
  <c r="BX26" i="13"/>
  <c r="I26" i="13"/>
  <c r="DO31" i="13"/>
  <c r="CS28" i="13" a="1"/>
  <c r="CS29" i="13" s="1"/>
  <c r="CQ27" i="13"/>
  <c r="CC31" i="13"/>
  <c r="B28" i="13"/>
  <c r="EH27" i="13"/>
  <c r="CH31" i="13"/>
  <c r="CB26" i="13"/>
  <c r="DQ27" i="13"/>
  <c r="D26" i="13"/>
  <c r="DJ31" i="13"/>
  <c r="BY27" i="13"/>
  <c r="CU28" i="13" a="1"/>
  <c r="CF31" i="13"/>
  <c r="AB26" i="13"/>
  <c r="EF31" i="13"/>
  <c r="DM28" i="13" a="1"/>
  <c r="DK27" i="13"/>
  <c r="EJ31" i="13"/>
  <c r="ED28" i="13" a="1"/>
  <c r="DQ28" i="13" a="1"/>
  <c r="EJ28" i="13" a="1"/>
  <c r="EJ29" i="13" s="1"/>
  <c r="DO27" i="13"/>
  <c r="DL27" i="13"/>
  <c r="CX31" i="13"/>
  <c r="CG28" i="13" a="1"/>
  <c r="CG28" i="13" s="1"/>
  <c r="CB28" i="13" a="1"/>
  <c r="CB29" i="13" s="1"/>
  <c r="DH31" i="13"/>
  <c r="BZ27" i="13"/>
  <c r="AB27" i="13"/>
  <c r="CP28" i="13" a="1"/>
  <c r="DL31" i="13"/>
  <c r="CA27" i="13"/>
  <c r="EC27" i="13"/>
  <c r="BZ31" i="13"/>
  <c r="E26" i="13"/>
  <c r="CS27" i="13"/>
  <c r="EB28" i="13" a="1"/>
  <c r="EB28" i="13" s="1"/>
  <c r="DM31" i="13"/>
  <c r="CD26" i="13"/>
  <c r="CE28" i="13" a="1"/>
  <c r="EL31" i="13"/>
  <c r="CF27" i="13"/>
  <c r="DL28" i="13" a="1"/>
  <c r="CZ31" i="13"/>
  <c r="DJ28" i="13" a="1"/>
  <c r="DJ29" i="13" s="1"/>
  <c r="CW28" i="13" a="1"/>
  <c r="CW28" i="13" s="1"/>
  <c r="EC31" i="13"/>
  <c r="CU27" i="13"/>
  <c r="CR27" i="13"/>
  <c r="E30" i="13"/>
  <c r="AB31" i="13"/>
  <c r="EB27" i="13"/>
  <c r="CT28" i="13" a="1"/>
  <c r="CT29" i="13" s="1"/>
  <c r="DP31" i="13"/>
  <c r="CE27" i="13"/>
  <c r="F28" i="13"/>
  <c r="CQ31" i="13"/>
  <c r="CA26" i="13"/>
  <c r="CW27" i="13"/>
  <c r="EF28" i="13" a="1"/>
  <c r="DQ31" i="13"/>
  <c r="CS31" i="13"/>
  <c r="CH26" i="13"/>
  <c r="CC26" i="13"/>
  <c r="CN28" i="13" a="1"/>
  <c r="CN28" i="13" s="1"/>
  <c r="B27" i="13"/>
  <c r="EM31" i="13"/>
  <c r="DM27" i="13"/>
  <c r="DJ27" i="13"/>
  <c r="G30" i="13"/>
  <c r="EI28" i="13" a="1"/>
  <c r="ED31" i="13"/>
  <c r="BX27" i="13"/>
  <c r="CV28" i="13" a="1"/>
  <c r="CR31" i="13"/>
  <c r="CA31" i="13"/>
  <c r="EF27" i="13"/>
  <c r="DN28" i="13" a="1"/>
  <c r="DN28" i="13" s="1"/>
  <c r="EG31" i="13"/>
  <c r="CV27" i="13"/>
  <c r="BY28" i="13" a="1"/>
  <c r="BY29" i="13" s="1"/>
  <c r="CU31" i="13"/>
  <c r="CE26" i="13"/>
  <c r="DI30" i="13"/>
  <c r="EE30" i="13"/>
  <c r="CO30" i="13"/>
  <c r="CZ30" i="13"/>
  <c r="EA30" i="13"/>
  <c r="CF30" i="13"/>
  <c r="CX30" i="13"/>
  <c r="EC30" i="13"/>
  <c r="CH30" i="13"/>
  <c r="DK30" i="13"/>
  <c r="EG30" i="13"/>
  <c r="CQ30" i="13"/>
  <c r="DQ30" i="13"/>
  <c r="EM30" i="13"/>
  <c r="CW30" i="13"/>
  <c r="EL30" i="13"/>
  <c r="CR30" i="13"/>
  <c r="DN30" i="13"/>
  <c r="BX30" i="13"/>
  <c r="DO30" i="13"/>
  <c r="EK30" i="13"/>
  <c r="CU30" i="13"/>
  <c r="DS30" i="13"/>
  <c r="BY30" i="13"/>
  <c r="CY30" i="13"/>
  <c r="DZ30" i="13"/>
  <c r="CV31" i="13"/>
  <c r="BX31" i="13"/>
  <c r="F26" i="13"/>
  <c r="C26" i="13"/>
  <c r="D28" i="13"/>
  <c r="AL28" i="13" s="1"/>
  <c r="EJ27" i="13"/>
  <c r="DS31" i="13"/>
  <c r="CX28" i="13" a="1"/>
  <c r="CX28" i="13" s="1"/>
  <c r="DT31" i="13"/>
  <c r="CN27" i="13"/>
  <c r="CB31" i="13"/>
  <c r="J26" i="13"/>
  <c r="M29" i="13" s="1"/>
  <c r="G26" i="13"/>
  <c r="K27" i="13" s="1"/>
  <c r="AB28" i="13"/>
  <c r="E28" i="13"/>
  <c r="DN27" i="13"/>
  <c r="EH31" i="13"/>
  <c r="CB27" i="13"/>
  <c r="DH28" i="13" a="1"/>
  <c r="DI31" i="13"/>
  <c r="BZ26" i="13"/>
  <c r="CA28" i="13" a="1"/>
  <c r="DZ28" i="13" a="1"/>
  <c r="EK31" i="13"/>
  <c r="DH27" i="13"/>
  <c r="EI31" i="13"/>
  <c r="DI27" i="13"/>
  <c r="CX27" i="13"/>
  <c r="AB29" i="13"/>
  <c r="EE28" i="13" a="1"/>
  <c r="DZ31" i="13"/>
  <c r="CW31" i="13"/>
  <c r="E27" i="13"/>
  <c r="CG26" i="13"/>
  <c r="CR28" i="13" a="1"/>
  <c r="CH28" i="13" a="1"/>
  <c r="DG31" i="13"/>
  <c r="CF28" i="13" a="1"/>
  <c r="CD27" i="13"/>
  <c r="AB30" i="13"/>
  <c r="DZ27" i="13"/>
  <c r="H26" i="13"/>
  <c r="EA31" i="13"/>
  <c r="CP27" i="13"/>
  <c r="DO28" i="13" a="1"/>
  <c r="CO31" i="13"/>
  <c r="BY26" i="13"/>
  <c r="BZ28" i="13" a="1"/>
  <c r="BZ28" i="13" s="1"/>
  <c r="DN31" i="13"/>
  <c r="CC27" i="13"/>
  <c r="DG28" i="13" a="1"/>
  <c r="DR31" i="13"/>
  <c r="CO27" i="13"/>
  <c r="CG27" i="13"/>
  <c r="DP28" i="13" a="1"/>
  <c r="DK28" i="13" a="1"/>
  <c r="DK28" i="13" s="1"/>
  <c r="CN31" i="13"/>
  <c r="EG28" i="13" a="1"/>
  <c r="EE27" i="13"/>
  <c r="DK31" i="13"/>
  <c r="CO28" i="13" a="1"/>
  <c r="CH27" i="13"/>
  <c r="CG31" i="13"/>
  <c r="C28" i="13"/>
  <c r="CF26" i="13"/>
  <c r="EE31" i="13"/>
  <c r="CT27" i="13"/>
  <c r="EA28" i="13" a="1"/>
  <c r="EA28" i="13" s="1"/>
  <c r="CT31" i="13"/>
  <c r="CC28" i="13" a="1"/>
  <c r="BX28" i="13" a="1"/>
  <c r="CY31" i="13"/>
  <c r="CD28" i="13" a="1"/>
  <c r="CD29" i="13" s="1"/>
  <c r="CE31" i="13"/>
  <c r="EH28" i="13" a="1"/>
  <c r="EC28" i="13" a="1"/>
  <c r="EC29" i="13" s="1"/>
  <c r="F30" i="13"/>
  <c r="EA27" i="13"/>
  <c r="DP27" i="13"/>
  <c r="DA31" i="13"/>
  <c r="D27" i="13"/>
  <c r="CQ28" i="13" a="1"/>
  <c r="B26" i="13"/>
  <c r="EI27" i="13"/>
  <c r="EB31" i="13"/>
  <c r="EO31" i="13" s="1"/>
  <c r="DI28" i="13" a="1"/>
  <c r="DG27" i="13"/>
  <c r="CP31" i="13"/>
  <c r="G28" i="13"/>
  <c r="BC31" i="13" s="1"/>
  <c r="C27" i="13"/>
  <c r="EH30" i="13"/>
  <c r="CE30" i="13"/>
  <c r="DJ30" i="13"/>
  <c r="ED30" i="13"/>
  <c r="CA30" i="13"/>
  <c r="DA30" i="13"/>
  <c r="EB30" i="13"/>
  <c r="CC30" i="13"/>
  <c r="DH30" i="13"/>
  <c r="EF30" i="13"/>
  <c r="CG30" i="13"/>
  <c r="DL30" i="13"/>
  <c r="DG30" i="13"/>
  <c r="CV30" i="13"/>
  <c r="DR30" i="13"/>
  <c r="CB30" i="13"/>
  <c r="DM30" i="13"/>
  <c r="EI30" i="13"/>
  <c r="CS30" i="13"/>
  <c r="EJ30" i="13"/>
  <c r="CP30" i="13"/>
  <c r="DP30" i="13"/>
  <c r="BZ30" i="13"/>
  <c r="CT30" i="13"/>
  <c r="DT30" i="13"/>
  <c r="CD30" i="13"/>
  <c r="CN30" i="13"/>
  <c r="BS62" i="13"/>
  <c r="BS66" i="13"/>
  <c r="BS65" i="13"/>
  <c r="BS64" i="13"/>
  <c r="BS63" i="13"/>
  <c r="BS67" i="13"/>
  <c r="DO64" i="13" a="1"/>
  <c r="DO65" i="13" s="1"/>
  <c r="EI67" i="13"/>
  <c r="CV67" i="13"/>
  <c r="EE63" i="13"/>
  <c r="ED63" i="13"/>
  <c r="CG67" i="13"/>
  <c r="EG63" i="13"/>
  <c r="CN67" i="13"/>
  <c r="DN63" i="13"/>
  <c r="CB64" i="13" a="1"/>
  <c r="B63" i="13"/>
  <c r="DP64" i="13" a="1"/>
  <c r="EK67" i="13"/>
  <c r="BY62" i="13"/>
  <c r="CH62" i="13"/>
  <c r="DN64" i="13" a="1"/>
  <c r="AB62" i="13"/>
  <c r="EC63" i="13"/>
  <c r="EB63" i="13"/>
  <c r="CE67" i="13"/>
  <c r="DK63" i="13"/>
  <c r="DJ63" i="13"/>
  <c r="CQ64" i="13" a="1"/>
  <c r="CS67" i="13"/>
  <c r="EL67" i="13"/>
  <c r="CG64" i="13" a="1"/>
  <c r="CD67" i="13"/>
  <c r="EB67" i="13"/>
  <c r="DK64" i="13" a="1"/>
  <c r="DK65" i="13" s="1"/>
  <c r="J62" i="13"/>
  <c r="DL67" i="13"/>
  <c r="CW64" i="13" a="1"/>
  <c r="DJ67" i="13"/>
  <c r="BZ62" i="13"/>
  <c r="CR64" i="13" a="1"/>
  <c r="CU67" i="13"/>
  <c r="DS67" i="13"/>
  <c r="E66" i="13"/>
  <c r="D64" i="13"/>
  <c r="CT67" i="13"/>
  <c r="CB63" i="13"/>
  <c r="CA63" i="13"/>
  <c r="EB64" i="13" a="1"/>
  <c r="C63" i="13"/>
  <c r="CG62" i="13"/>
  <c r="CP67" i="13"/>
  <c r="DQ63" i="13"/>
  <c r="DP63" i="13"/>
  <c r="CA67" i="13"/>
  <c r="DG63" i="13"/>
  <c r="CX63" i="13"/>
  <c r="EI64" i="13" a="1"/>
  <c r="CE63" i="13"/>
  <c r="D63" i="13"/>
  <c r="B64" i="13"/>
  <c r="EJ63" i="13"/>
  <c r="CR67" i="13"/>
  <c r="EA63" i="13"/>
  <c r="DZ63" i="13"/>
  <c r="CU64" i="13" a="1"/>
  <c r="DK67" i="13"/>
  <c r="F64" i="13"/>
  <c r="AZ66" i="13" s="1"/>
  <c r="E64" i="13"/>
  <c r="DJ64" i="13" a="1"/>
  <c r="DT67" i="13"/>
  <c r="H62" i="13"/>
  <c r="CX67" i="13"/>
  <c r="EF63" i="13"/>
  <c r="DO63" i="13"/>
  <c r="BY67" i="13"/>
  <c r="E63" i="13"/>
  <c r="DM67" i="13"/>
  <c r="AB64" i="13"/>
  <c r="G64" i="13"/>
  <c r="BB67" i="13" s="1"/>
  <c r="EA64" i="13" a="1"/>
  <c r="CE62" i="13"/>
  <c r="EG67" i="13"/>
  <c r="DI64" i="13" a="1"/>
  <c r="DI64" i="13" s="1"/>
  <c r="DR67" i="13"/>
  <c r="F62" i="13"/>
  <c r="CV64" i="13" a="1"/>
  <c r="CV65" i="13" s="1"/>
  <c r="DH67" i="13"/>
  <c r="AB66" i="13"/>
  <c r="CS63" i="13"/>
  <c r="CR63" i="13"/>
  <c r="EH64" i="13" a="1"/>
  <c r="CD63" i="13"/>
  <c r="CC63" i="13"/>
  <c r="EC64" i="13" a="1"/>
  <c r="EA67" i="13"/>
  <c r="CX64" i="13" a="1"/>
  <c r="CD62" i="13"/>
  <c r="DM63" i="13"/>
  <c r="DL63" i="13"/>
  <c r="AB67" i="13"/>
  <c r="CU63" i="13"/>
  <c r="CT63" i="13"/>
  <c r="BZ64" i="13" a="1"/>
  <c r="BZ64" i="13" s="1"/>
  <c r="DI67" i="13"/>
  <c r="C64" i="13"/>
  <c r="CF64" i="13" a="1"/>
  <c r="CF64" i="13" s="1"/>
  <c r="CB67" i="13"/>
  <c r="DZ67" i="13"/>
  <c r="CA64" i="13" a="1"/>
  <c r="G66" i="13"/>
  <c r="I62" i="13"/>
  <c r="Q63" i="13" s="1"/>
  <c r="DG64" i="13" a="1"/>
  <c r="DN67" i="13"/>
  <c r="B62" i="13"/>
  <c r="CT64" i="13" a="1"/>
  <c r="CT64" i="13" s="1"/>
  <c r="CY67" i="13"/>
  <c r="E62" i="13"/>
  <c r="CF63" i="13"/>
  <c r="ED64" i="13" a="1"/>
  <c r="DQ64" i="13" a="1"/>
  <c r="EE67" i="13"/>
  <c r="CB62" i="13"/>
  <c r="DH64" i="13" a="1"/>
  <c r="DP67" i="13"/>
  <c r="D62" i="13"/>
  <c r="DA67" i="13"/>
  <c r="CP64" i="13" a="1"/>
  <c r="CP65" i="13" s="1"/>
  <c r="G62" i="13"/>
  <c r="EJ67" i="13"/>
  <c r="CW63" i="13"/>
  <c r="CV63" i="13"/>
  <c r="EJ64" i="13" a="1"/>
  <c r="CH63" i="13"/>
  <c r="CG63" i="13"/>
  <c r="EE64" i="13" a="1"/>
  <c r="EE64" i="13" s="1"/>
  <c r="BX63" i="13"/>
  <c r="AB63" i="13"/>
  <c r="DZ64" i="13" a="1"/>
  <c r="DZ65" i="13" s="1"/>
  <c r="CF62" i="13"/>
  <c r="CC62" i="13"/>
  <c r="DM64" i="13" a="1"/>
  <c r="CF67" i="13"/>
  <c r="CC64" i="13" a="1"/>
  <c r="CO64" i="13" a="1"/>
  <c r="CO67" i="13"/>
  <c r="EH67" i="13"/>
  <c r="CE64" i="13" a="1"/>
  <c r="CE65" i="13" s="1"/>
  <c r="BZ67" i="13"/>
  <c r="CC67" i="13"/>
  <c r="DH63" i="13"/>
  <c r="CQ63" i="13"/>
  <c r="EG64" i="13" a="1"/>
  <c r="EM67" i="13"/>
  <c r="CZ67" i="13"/>
  <c r="EI63" i="13"/>
  <c r="EH63" i="13"/>
  <c r="EH66" i="13"/>
  <c r="CE66" i="13"/>
  <c r="DJ66" i="13"/>
  <c r="ED66" i="13"/>
  <c r="CA66" i="13"/>
  <c r="DA66" i="13"/>
  <c r="EB66" i="13"/>
  <c r="CC66" i="13"/>
  <c r="DH66" i="13"/>
  <c r="EF66" i="13"/>
  <c r="CG66" i="13"/>
  <c r="DL66" i="13"/>
  <c r="CN66" i="13"/>
  <c r="DQ66" i="13"/>
  <c r="EM66" i="13"/>
  <c r="CW66" i="13"/>
  <c r="EL66" i="13"/>
  <c r="CR66" i="13"/>
  <c r="DN66" i="13"/>
  <c r="BX66" i="13"/>
  <c r="DO66" i="13"/>
  <c r="EK66" i="13"/>
  <c r="CU66" i="13"/>
  <c r="DS66" i="13"/>
  <c r="BY66" i="13"/>
  <c r="CY66" i="13"/>
  <c r="DZ66" i="13"/>
  <c r="CQ67" i="13"/>
  <c r="CS64" i="13" a="1"/>
  <c r="CW67" i="13"/>
  <c r="C62" i="13"/>
  <c r="CN64" i="13" a="1"/>
  <c r="CH67" i="13"/>
  <c r="EF67" i="13"/>
  <c r="CD64" i="13" a="1"/>
  <c r="CD65" i="13" s="1"/>
  <c r="BX67" i="13"/>
  <c r="DQ67" i="13"/>
  <c r="BY64" i="13" a="1"/>
  <c r="BY65" i="13" s="1"/>
  <c r="AB65" i="13"/>
  <c r="DG67" i="13"/>
  <c r="CH64" i="13" a="1"/>
  <c r="ED67" i="13"/>
  <c r="DO67" i="13"/>
  <c r="CO63" i="13"/>
  <c r="CN63" i="13"/>
  <c r="EF64" i="13" a="1"/>
  <c r="EF64" i="13" s="1"/>
  <c r="BZ63" i="13"/>
  <c r="BY63" i="13"/>
  <c r="DI63" i="13"/>
  <c r="F66" i="13"/>
  <c r="CP63" i="13"/>
  <c r="BX64" i="13" a="1"/>
  <c r="CA62" i="13"/>
  <c r="DL64" i="13" a="1"/>
  <c r="DL64" i="13" s="1"/>
  <c r="EC67" i="13"/>
  <c r="BX62" i="13"/>
  <c r="DI66" i="13"/>
  <c r="EE66" i="13"/>
  <c r="CO66" i="13"/>
  <c r="CZ66" i="13"/>
  <c r="EA66" i="13"/>
  <c r="CF66" i="13"/>
  <c r="CX66" i="13"/>
  <c r="EC66" i="13"/>
  <c r="CH66" i="13"/>
  <c r="DK66" i="13"/>
  <c r="EG66" i="13"/>
  <c r="CQ66" i="13"/>
  <c r="DG66" i="13"/>
  <c r="CV66" i="13"/>
  <c r="DR66" i="13"/>
  <c r="CB66" i="13"/>
  <c r="DM66" i="13"/>
  <c r="EI66" i="13"/>
  <c r="CS66" i="13"/>
  <c r="EJ66" i="13"/>
  <c r="CP66" i="13"/>
  <c r="DP66" i="13"/>
  <c r="BZ66" i="13"/>
  <c r="CT66" i="13"/>
  <c r="DT66" i="13"/>
  <c r="CD66" i="13"/>
  <c r="N15" i="19"/>
  <c r="R15" i="19"/>
  <c r="K15" i="19"/>
  <c r="O15" i="19"/>
  <c r="S15" i="19"/>
  <c r="L15" i="19"/>
  <c r="P15" i="19"/>
  <c r="T15" i="19"/>
  <c r="M15" i="19"/>
  <c r="Q15" i="19"/>
  <c r="J15" i="19"/>
  <c r="S12" i="8"/>
  <c r="K12" i="8"/>
  <c r="O12" i="8"/>
  <c r="Q12" i="8"/>
  <c r="M12" i="8"/>
  <c r="P12" i="8"/>
  <c r="T12" i="8"/>
  <c r="N12" i="8"/>
  <c r="R12" i="8"/>
  <c r="J12" i="8"/>
  <c r="L12" i="8"/>
  <c r="T18" i="8"/>
  <c r="R18" i="8"/>
  <c r="K18" i="8"/>
  <c r="N18" i="8"/>
  <c r="S18" i="8"/>
  <c r="L18" i="8"/>
  <c r="P18" i="8"/>
  <c r="J18" i="8"/>
  <c r="M18" i="8"/>
  <c r="Q18" i="8"/>
  <c r="O18" i="8"/>
  <c r="R24" i="16"/>
  <c r="P24" i="16"/>
  <c r="J24" i="16"/>
  <c r="S24" i="16"/>
  <c r="L24" i="16"/>
  <c r="O24" i="16"/>
  <c r="T24" i="16"/>
  <c r="M24" i="16"/>
  <c r="Q24" i="16"/>
  <c r="K24" i="16"/>
  <c r="N24" i="16"/>
  <c r="O3" i="2"/>
  <c r="R3" i="2" s="1"/>
  <c r="C67" i="14"/>
  <c r="D67" i="14"/>
  <c r="B67" i="14"/>
  <c r="BS98" i="13"/>
  <c r="BS102" i="13"/>
  <c r="BS101" i="13"/>
  <c r="BS100" i="13"/>
  <c r="BS99" i="13"/>
  <c r="BS103" i="13"/>
  <c r="CP100" i="13" a="1"/>
  <c r="DN103" i="13"/>
  <c r="EF103" i="13"/>
  <c r="CD100" i="13" a="1"/>
  <c r="CU103" i="13"/>
  <c r="DM103" i="13"/>
  <c r="AB100" i="13"/>
  <c r="CB103" i="13"/>
  <c r="CT103" i="13"/>
  <c r="EC99" i="13"/>
  <c r="AB101" i="13"/>
  <c r="EH100" i="13" a="1"/>
  <c r="DH99" i="13"/>
  <c r="CH98" i="13"/>
  <c r="DL100" i="13" a="1"/>
  <c r="B99" i="13"/>
  <c r="EG103" i="13"/>
  <c r="CT100" i="13" a="1"/>
  <c r="E98" i="13"/>
  <c r="DH103" i="13"/>
  <c r="CA100" i="13" a="1"/>
  <c r="DG103" i="13"/>
  <c r="ED103" i="13"/>
  <c r="CC100" i="13" a="1"/>
  <c r="CR99" i="13"/>
  <c r="DO100" i="13" a="1"/>
  <c r="DO100" i="13" s="1"/>
  <c r="BZ98" i="13"/>
  <c r="BY99" i="13"/>
  <c r="DH100" i="13" a="1"/>
  <c r="EM103" i="13"/>
  <c r="BY103" i="13"/>
  <c r="CW99" i="13"/>
  <c r="ED99" i="13"/>
  <c r="DJ100" i="13" a="1"/>
  <c r="DJ101" i="13" s="1"/>
  <c r="CE98" i="13"/>
  <c r="EC103" i="13"/>
  <c r="CN100" i="13" a="1"/>
  <c r="EB103" i="13"/>
  <c r="CQ103" i="13"/>
  <c r="BY100" i="13" a="1"/>
  <c r="CX103" i="13"/>
  <c r="G102" i="13"/>
  <c r="DK99" i="13"/>
  <c r="CO99" i="13"/>
  <c r="DI103" i="13"/>
  <c r="D100" i="13"/>
  <c r="BX103" i="13"/>
  <c r="CP103" i="13"/>
  <c r="DQ99" i="13"/>
  <c r="G100" i="13"/>
  <c r="AB103" i="13"/>
  <c r="CU99" i="13"/>
  <c r="EB99" i="13"/>
  <c r="EG100" i="13" a="1"/>
  <c r="EG101" i="13" s="1"/>
  <c r="CB99" i="13"/>
  <c r="CX99" i="13"/>
  <c r="CG100" i="13" a="1"/>
  <c r="DS103" i="13"/>
  <c r="CH103" i="13"/>
  <c r="EI99" i="13"/>
  <c r="DM99" i="13"/>
  <c r="CA103" i="13"/>
  <c r="EF99" i="13"/>
  <c r="CF99" i="13"/>
  <c r="EB100" i="13" a="1"/>
  <c r="CN99" i="13"/>
  <c r="J98" i="13"/>
  <c r="CN103" i="13"/>
  <c r="DO99" i="13"/>
  <c r="E100" i="13"/>
  <c r="CQ100" i="13" a="1"/>
  <c r="DP103" i="13"/>
  <c r="EH103" i="13"/>
  <c r="CE100" i="13" a="1"/>
  <c r="CE101" i="13" s="1"/>
  <c r="CW103" i="13"/>
  <c r="DO103" i="13"/>
  <c r="BX100" i="13" a="1"/>
  <c r="CD103" i="13"/>
  <c r="CV103" i="13"/>
  <c r="E102" i="13"/>
  <c r="DI99" i="13"/>
  <c r="EJ100" i="13" a="1"/>
  <c r="EJ100" i="13" s="1"/>
  <c r="DL99" i="13"/>
  <c r="E99" i="13"/>
  <c r="DZ100" i="13" a="1"/>
  <c r="CE99" i="13"/>
  <c r="F98" i="13"/>
  <c r="CV100" i="13" a="1"/>
  <c r="I98" i="13"/>
  <c r="DL103" i="13"/>
  <c r="CT102" i="13"/>
  <c r="DJ102" i="13"/>
  <c r="EK102" i="13"/>
  <c r="DN102" i="13"/>
  <c r="ED102" i="13"/>
  <c r="CA102" i="13"/>
  <c r="CY102" i="13"/>
  <c r="DZ102" i="13"/>
  <c r="EF102" i="13"/>
  <c r="CG102" i="13"/>
  <c r="DO102" i="13"/>
  <c r="EM102" i="13"/>
  <c r="CW102" i="13"/>
  <c r="EA102" i="13"/>
  <c r="EH102" i="13"/>
  <c r="CE102" i="13"/>
  <c r="DH102" i="13"/>
  <c r="EI102" i="13"/>
  <c r="EL102" i="13"/>
  <c r="CR102" i="13"/>
  <c r="DL102" i="13"/>
  <c r="DG102" i="13"/>
  <c r="CX102" i="13"/>
  <c r="CO102" i="13"/>
  <c r="DA102" i="13"/>
  <c r="DP102" i="13"/>
  <c r="F102" i="13"/>
  <c r="CQ99" i="13"/>
  <c r="DP99" i="13"/>
  <c r="EE100" i="13" a="1"/>
  <c r="BX99" i="13"/>
  <c r="CT99" i="13"/>
  <c r="DP100" i="13" a="1"/>
  <c r="CB98" i="13"/>
  <c r="CA99" i="13"/>
  <c r="DI100" i="13" a="1"/>
  <c r="DI100" i="13" s="1"/>
  <c r="B98" i="13"/>
  <c r="CC98" i="13"/>
  <c r="CD99" i="13"/>
  <c r="EA100" i="13" a="1"/>
  <c r="EA101" i="13" s="1"/>
  <c r="CG99" i="13"/>
  <c r="H98" i="13"/>
  <c r="CW100" i="13" a="1"/>
  <c r="AB98" i="13"/>
  <c r="EA103" i="13"/>
  <c r="CH100" i="13" a="1"/>
  <c r="DZ103" i="13"/>
  <c r="CO103" i="13"/>
  <c r="B100" i="13"/>
  <c r="BK98" i="13" s="1"/>
  <c r="ED100" i="13" a="1"/>
  <c r="CS103" i="13"/>
  <c r="DK103" i="13"/>
  <c r="F100" i="13"/>
  <c r="BZ103" i="13"/>
  <c r="CR103" i="13"/>
  <c r="EA99" i="13"/>
  <c r="CA98" i="13"/>
  <c r="CS100" i="13" a="1"/>
  <c r="DT103" i="13"/>
  <c r="C98" i="13"/>
  <c r="D98" i="13"/>
  <c r="CU100" i="13" a="1"/>
  <c r="G98" i="13"/>
  <c r="DJ103" i="13"/>
  <c r="CB100" i="13" a="1"/>
  <c r="DQ103" i="13"/>
  <c r="CF103" i="13"/>
  <c r="EG99" i="13"/>
  <c r="CE103" i="13"/>
  <c r="EJ99" i="13"/>
  <c r="DN99" i="13"/>
  <c r="DN100" i="13" a="1"/>
  <c r="DN101" i="13" s="1"/>
  <c r="BX98" i="13"/>
  <c r="AB99" i="13"/>
  <c r="DG100" i="13" a="1"/>
  <c r="EK103" i="13"/>
  <c r="BY98" i="13"/>
  <c r="CR100" i="13" a="1"/>
  <c r="DR103" i="13"/>
  <c r="EJ103" i="13"/>
  <c r="CF100" i="13" a="1"/>
  <c r="CY103" i="13"/>
  <c r="EL103" i="13"/>
  <c r="DA103" i="13"/>
  <c r="BZ100" i="13" a="1"/>
  <c r="BZ101" i="13" s="1"/>
  <c r="CZ103" i="13"/>
  <c r="CG103" i="13"/>
  <c r="C100" i="13"/>
  <c r="DG99" i="13"/>
  <c r="EI100" i="13" a="1"/>
  <c r="DJ99" i="13"/>
  <c r="C99" i="13"/>
  <c r="DM100" i="13" a="1"/>
  <c r="D99" i="13"/>
  <c r="CX100" i="13" a="1"/>
  <c r="EI103" i="13"/>
  <c r="AB102" i="13"/>
  <c r="CS99" i="13"/>
  <c r="DZ99" i="13"/>
  <c r="EF100" i="13" a="1"/>
  <c r="EF100" i="13" s="1"/>
  <c r="BZ99" i="13"/>
  <c r="CV99" i="13"/>
  <c r="DQ100" i="13" a="1"/>
  <c r="CD98" i="13"/>
  <c r="CC99" i="13"/>
  <c r="EE99" i="13"/>
  <c r="CC103" i="13"/>
  <c r="EH99" i="13"/>
  <c r="CH99" i="13"/>
  <c r="EC100" i="13" a="1"/>
  <c r="CP99" i="13"/>
  <c r="CF98" i="13"/>
  <c r="DK100" i="13" a="1"/>
  <c r="CG98" i="13"/>
  <c r="EE103" i="13"/>
  <c r="CO100" i="13" a="1"/>
  <c r="DS102" i="13"/>
  <c r="CC102" i="13"/>
  <c r="CV102" i="13"/>
  <c r="CU102" i="13"/>
  <c r="BX102" i="13"/>
  <c r="CZ102" i="13"/>
  <c r="DT102" i="13"/>
  <c r="CD102" i="13"/>
  <c r="CN102" i="13"/>
  <c r="DK102" i="13"/>
  <c r="EJ102" i="13"/>
  <c r="CP102" i="13"/>
  <c r="DR102" i="13"/>
  <c r="CB102" i="13"/>
  <c r="CF102" i="13"/>
  <c r="DI102" i="13"/>
  <c r="EC102" i="13"/>
  <c r="CH102" i="13"/>
  <c r="CS102" i="13"/>
  <c r="DM102" i="13"/>
  <c r="EG102" i="13"/>
  <c r="CQ102" i="13"/>
  <c r="EB102" i="13"/>
  <c r="EE102" i="13"/>
  <c r="BY102" i="13"/>
  <c r="DQ102" i="13"/>
  <c r="BZ102" i="13"/>
  <c r="O9" i="8"/>
  <c r="S9" i="8"/>
  <c r="L9" i="8"/>
  <c r="P9" i="8"/>
  <c r="T9" i="8"/>
  <c r="M9" i="8"/>
  <c r="Q9" i="8"/>
  <c r="J9" i="8"/>
  <c r="N9" i="8"/>
  <c r="R9" i="8"/>
  <c r="K9" i="8"/>
  <c r="BS116" i="13"/>
  <c r="BS120" i="13"/>
  <c r="BS119" i="13"/>
  <c r="BS118" i="13"/>
  <c r="BS117" i="13"/>
  <c r="BS121" i="13"/>
  <c r="AB119" i="13"/>
  <c r="DL118" i="13" a="1"/>
  <c r="DL121" i="13"/>
  <c r="CY121" i="13"/>
  <c r="DG117" i="13"/>
  <c r="CN121" i="13"/>
  <c r="G120" i="13"/>
  <c r="CH116" i="13"/>
  <c r="AB120" i="13"/>
  <c r="EE118" i="13" a="1"/>
  <c r="E116" i="13"/>
  <c r="CD121" i="13"/>
  <c r="DP118" i="13" a="1"/>
  <c r="CO117" i="13"/>
  <c r="E118" i="13"/>
  <c r="DI118" i="13" a="1"/>
  <c r="DI119" i="13" s="1"/>
  <c r="CB116" i="13"/>
  <c r="DZ117" i="13"/>
  <c r="CT118" i="13" a="1"/>
  <c r="EJ121" i="13"/>
  <c r="CV117" i="13"/>
  <c r="CH118" i="13" a="1"/>
  <c r="DN121" i="13"/>
  <c r="EB118" i="13" a="1"/>
  <c r="EB119" i="13" s="1"/>
  <c r="DM117" i="13"/>
  <c r="E120" i="13"/>
  <c r="DM118" i="13" a="1"/>
  <c r="BX117" i="13"/>
  <c r="EH117" i="13"/>
  <c r="CX118" i="13" a="1"/>
  <c r="H116" i="13"/>
  <c r="DL117" i="13"/>
  <c r="E117" i="13"/>
  <c r="AB121" i="13"/>
  <c r="EF118" i="13" a="1"/>
  <c r="G116" i="13"/>
  <c r="CH121" i="13"/>
  <c r="DQ118" i="13" a="1"/>
  <c r="CS117" i="13"/>
  <c r="G118" i="13"/>
  <c r="DJ118" i="13" a="1"/>
  <c r="CF116" i="13"/>
  <c r="EB117" i="13"/>
  <c r="CU118" i="13" a="1"/>
  <c r="B116" i="13"/>
  <c r="CE121" i="13"/>
  <c r="EJ118" i="13" a="1"/>
  <c r="BZ116" i="13"/>
  <c r="EG121" i="13"/>
  <c r="EC118" i="13" a="1"/>
  <c r="DQ117" i="13"/>
  <c r="CG116" i="13"/>
  <c r="D118" i="13"/>
  <c r="AK118" i="13" s="1"/>
  <c r="DT121" i="13"/>
  <c r="DR121" i="13"/>
  <c r="DO117" i="13"/>
  <c r="CR121" i="13"/>
  <c r="BX121" i="13"/>
  <c r="BZ117" i="13"/>
  <c r="BY121" i="13"/>
  <c r="EG118" i="13" a="1"/>
  <c r="EG119" i="13" s="1"/>
  <c r="I116" i="13"/>
  <c r="CQ121" i="13"/>
  <c r="DZ118" i="13" a="1"/>
  <c r="DZ118" i="13" s="1"/>
  <c r="CW117" i="13"/>
  <c r="CA116" i="13"/>
  <c r="EG117" i="13"/>
  <c r="DH121" i="13"/>
  <c r="CS121" i="13"/>
  <c r="CU117" i="13"/>
  <c r="CG121" i="13"/>
  <c r="CO118" i="13" a="1"/>
  <c r="CO118" i="13" s="1"/>
  <c r="DZ121" i="13"/>
  <c r="CG117" i="13"/>
  <c r="CC118" i="13" a="1"/>
  <c r="DG121" i="13"/>
  <c r="B117" i="13"/>
  <c r="F118" i="13"/>
  <c r="EA121" i="13"/>
  <c r="EC121" i="13"/>
  <c r="EA117" i="13"/>
  <c r="CT121" i="13"/>
  <c r="CB121" i="13"/>
  <c r="CD117" i="13"/>
  <c r="CA121" i="13"/>
  <c r="EH118" i="13" a="1"/>
  <c r="AB116" i="13"/>
  <c r="CU121" i="13"/>
  <c r="EA118" i="13" a="1"/>
  <c r="EA118" i="13" s="1"/>
  <c r="DI117" i="13"/>
  <c r="CB120" i="13"/>
  <c r="DO120" i="13"/>
  <c r="EM120" i="13"/>
  <c r="EG120" i="13"/>
  <c r="EL120" i="13"/>
  <c r="CR120" i="13"/>
  <c r="CO120" i="13"/>
  <c r="DS120" i="13"/>
  <c r="BY120" i="13"/>
  <c r="BX120" i="13"/>
  <c r="CN120" i="13"/>
  <c r="DQ120" i="13"/>
  <c r="EI120" i="13"/>
  <c r="EC120" i="13"/>
  <c r="EB120" i="13"/>
  <c r="CC120" i="13"/>
  <c r="CF120" i="13"/>
  <c r="ED120" i="13"/>
  <c r="CA120" i="13"/>
  <c r="EK120" i="13"/>
  <c r="EF120" i="13"/>
  <c r="CG120" i="13"/>
  <c r="CS120" i="13"/>
  <c r="BZ120" i="13"/>
  <c r="EH120" i="13"/>
  <c r="DP120" i="13"/>
  <c r="CV121" i="13"/>
  <c r="CC116" i="13"/>
  <c r="EI117" i="13"/>
  <c r="EF117" i="13"/>
  <c r="CW118" i="13" a="1"/>
  <c r="CW119" i="13" s="1"/>
  <c r="F116" i="13"/>
  <c r="DJ117" i="13"/>
  <c r="CP118" i="13" a="1"/>
  <c r="CP118" i="13" s="1"/>
  <c r="EB121" i="13"/>
  <c r="CN117" i="13"/>
  <c r="CD118" i="13" a="1"/>
  <c r="DI121" i="13"/>
  <c r="D117" i="13"/>
  <c r="AB118" i="13"/>
  <c r="EE121" i="13"/>
  <c r="EK121" i="13"/>
  <c r="EC117" i="13"/>
  <c r="CW121" i="13"/>
  <c r="CF121" i="13"/>
  <c r="CH117" i="13"/>
  <c r="CC121" i="13"/>
  <c r="EI118" i="13" a="1"/>
  <c r="DQ121" i="13"/>
  <c r="CC117" i="13"/>
  <c r="CA118" i="13" a="1"/>
  <c r="CX121" i="13"/>
  <c r="CE116" i="13"/>
  <c r="B118" i="13"/>
  <c r="DP121" i="13"/>
  <c r="DJ121" i="13"/>
  <c r="DK117" i="13"/>
  <c r="CP121" i="13"/>
  <c r="CQ118" i="13" a="1"/>
  <c r="CQ118" i="13" s="1"/>
  <c r="ED121" i="13"/>
  <c r="CP117" i="13"/>
  <c r="CE118" i="13" a="1"/>
  <c r="CE118" i="13" s="1"/>
  <c r="DK121" i="13"/>
  <c r="AB117" i="13"/>
  <c r="BX118" i="13" a="1"/>
  <c r="EI121" i="13"/>
  <c r="BY116" i="13"/>
  <c r="EE117" i="13"/>
  <c r="DA121" i="13"/>
  <c r="CO121" i="13"/>
  <c r="CQ117" i="13"/>
  <c r="EL121" i="13"/>
  <c r="CX117" i="13"/>
  <c r="CN118" i="13" a="1"/>
  <c r="CN119" i="13" s="1"/>
  <c r="DS121" i="13"/>
  <c r="CE117" i="13"/>
  <c r="CB118" i="13" a="1"/>
  <c r="CZ121" i="13"/>
  <c r="DN118" i="13" a="1"/>
  <c r="CB117" i="13"/>
  <c r="EJ117" i="13"/>
  <c r="DG118" i="13" a="1"/>
  <c r="DG118" i="13" s="1"/>
  <c r="J116" i="13"/>
  <c r="DN117" i="13"/>
  <c r="CR118" i="13" a="1"/>
  <c r="EF121" i="13"/>
  <c r="CR117" i="13"/>
  <c r="CF118" i="13" a="1"/>
  <c r="DM121" i="13"/>
  <c r="BY117" i="13"/>
  <c r="BY118" i="13" a="1"/>
  <c r="BY118" i="13" s="1"/>
  <c r="EM121" i="13"/>
  <c r="DK118" i="13" a="1"/>
  <c r="C117" i="13"/>
  <c r="ED117" i="13"/>
  <c r="CV118" i="13" a="1"/>
  <c r="D116" i="13"/>
  <c r="DH117" i="13"/>
  <c r="CD116" i="13"/>
  <c r="F120" i="13"/>
  <c r="ED118" i="13" a="1"/>
  <c r="C116" i="13"/>
  <c r="BZ121" i="13"/>
  <c r="DO118" i="13" a="1"/>
  <c r="CF117" i="13"/>
  <c r="C118" i="13"/>
  <c r="DH118" i="13" a="1"/>
  <c r="BX116" i="13"/>
  <c r="DP117" i="13"/>
  <c r="CS118" i="13" a="1"/>
  <c r="CS119" i="13" s="1"/>
  <c r="EH121" i="13"/>
  <c r="CT117" i="13"/>
  <c r="CG118" i="13" a="1"/>
  <c r="DO121" i="13"/>
  <c r="CA117" i="13"/>
  <c r="BZ118" i="13" a="1"/>
  <c r="DI120" i="13"/>
  <c r="EJ120" i="13"/>
  <c r="CP120" i="13"/>
  <c r="DA120" i="13"/>
  <c r="CH120" i="13"/>
  <c r="DM120" i="13"/>
  <c r="EA120" i="13"/>
  <c r="DN120" i="13"/>
  <c r="CT120" i="13"/>
  <c r="DL120" i="13"/>
  <c r="CU120" i="13"/>
  <c r="DG120" i="13"/>
  <c r="CV120" i="13"/>
  <c r="CW120" i="13"/>
  <c r="CD120" i="13"/>
  <c r="CX120" i="13"/>
  <c r="DT120" i="13"/>
  <c r="DJ120" i="13"/>
  <c r="CZ120" i="13"/>
  <c r="DH120" i="13"/>
  <c r="CQ120" i="13"/>
  <c r="DK120" i="13"/>
  <c r="EE120" i="13"/>
  <c r="DR120" i="13"/>
  <c r="DZ120" i="13"/>
  <c r="CE120" i="13"/>
  <c r="CY120" i="13"/>
  <c r="N24" i="19"/>
  <c r="R24" i="19"/>
  <c r="O24" i="19"/>
  <c r="J24" i="19"/>
  <c r="S24" i="19"/>
  <c r="Q24" i="19"/>
  <c r="L24" i="19"/>
  <c r="T24" i="19"/>
  <c r="M24" i="19"/>
  <c r="P24" i="19"/>
  <c r="K24" i="19"/>
  <c r="M18" i="16"/>
  <c r="Q18" i="16"/>
  <c r="J18" i="16"/>
  <c r="P18" i="16"/>
  <c r="O18" i="16"/>
  <c r="K18" i="16"/>
  <c r="T18" i="16"/>
  <c r="N18" i="16"/>
  <c r="L18" i="16"/>
  <c r="S18" i="16"/>
  <c r="R18" i="16"/>
  <c r="T9" i="19"/>
  <c r="M9" i="19"/>
  <c r="Q9" i="19"/>
  <c r="J9" i="19"/>
  <c r="N9" i="19"/>
  <c r="R9" i="19"/>
  <c r="K9" i="19"/>
  <c r="O9" i="19"/>
  <c r="S9" i="19"/>
  <c r="L9" i="19"/>
  <c r="P9" i="19"/>
  <c r="O4" i="2"/>
  <c r="BS56" i="13"/>
  <c r="BS60" i="13"/>
  <c r="BS59" i="13"/>
  <c r="BS58" i="13"/>
  <c r="BS57" i="13"/>
  <c r="BS61" i="13"/>
  <c r="DP61" i="13"/>
  <c r="E58" i="13"/>
  <c r="CV61" i="13"/>
  <c r="EE57" i="13"/>
  <c r="DS61" i="13"/>
  <c r="BZ58" i="13" a="1"/>
  <c r="CD61" i="13"/>
  <c r="CV57" i="13"/>
  <c r="EJ58" i="13" a="1"/>
  <c r="CH57" i="13"/>
  <c r="CG61" i="13"/>
  <c r="DM57" i="13"/>
  <c r="EH57" i="13"/>
  <c r="EK61" i="13"/>
  <c r="BX61" i="13"/>
  <c r="DQ61" i="13"/>
  <c r="BY58" i="13" a="1"/>
  <c r="C56" i="13"/>
  <c r="CH58" i="13" a="1"/>
  <c r="CH58" i="13" s="1"/>
  <c r="CY61" i="13"/>
  <c r="EB57" i="13"/>
  <c r="CE61" i="13"/>
  <c r="DK57" i="13"/>
  <c r="DG61" i="13"/>
  <c r="B58" i="13"/>
  <c r="G60" i="13"/>
  <c r="BZ61" i="13"/>
  <c r="CR57" i="13"/>
  <c r="EH58" i="13" a="1"/>
  <c r="CD57" i="13"/>
  <c r="CC61" i="13"/>
  <c r="DI57" i="13"/>
  <c r="EM61" i="13"/>
  <c r="CZ61" i="13"/>
  <c r="EI57" i="13"/>
  <c r="EB61" i="13"/>
  <c r="CB58" i="13" a="1"/>
  <c r="CH61" i="13"/>
  <c r="DH57" i="13"/>
  <c r="DN61" i="13"/>
  <c r="CA56" i="13"/>
  <c r="CT58" i="13" a="1"/>
  <c r="CG57" i="13"/>
  <c r="DK58" i="13" a="1"/>
  <c r="F56" i="13"/>
  <c r="CB61" i="13"/>
  <c r="DZ61" i="13"/>
  <c r="CA58" i="13" a="1"/>
  <c r="CA59" i="13" s="1"/>
  <c r="G56" i="13"/>
  <c r="CO57" i="13"/>
  <c r="EA61" i="13"/>
  <c r="ED61" i="13"/>
  <c r="CC58" i="13" a="1"/>
  <c r="AB60" i="13"/>
  <c r="CS57" i="13"/>
  <c r="EE61" i="13"/>
  <c r="AB57" i="13"/>
  <c r="DH58" i="13" a="1"/>
  <c r="DZ57" i="13"/>
  <c r="DQ58" i="13" a="1"/>
  <c r="CD56" i="13"/>
  <c r="DI61" i="13"/>
  <c r="D58" i="13"/>
  <c r="EF61" i="13"/>
  <c r="CD58" i="13" a="1"/>
  <c r="CQ61" i="13"/>
  <c r="DL57" i="13"/>
  <c r="CR58" i="13" a="1"/>
  <c r="BY57" i="13"/>
  <c r="DI58" i="13" a="1"/>
  <c r="B56" i="13"/>
  <c r="CN61" i="13"/>
  <c r="DO57" i="13"/>
  <c r="DK61" i="13"/>
  <c r="F58" i="13"/>
  <c r="CO61" i="13"/>
  <c r="EH61" i="13"/>
  <c r="CE58" i="13" a="1"/>
  <c r="BY56" i="13"/>
  <c r="CS58" i="13" a="1"/>
  <c r="EF57" i="13"/>
  <c r="F60" i="13"/>
  <c r="CQ57" i="13"/>
  <c r="CP61" i="13"/>
  <c r="DQ57" i="13"/>
  <c r="C58" i="13"/>
  <c r="DM61" i="13"/>
  <c r="AB58" i="13"/>
  <c r="EJ61" i="13"/>
  <c r="CF58" i="13" a="1"/>
  <c r="EI60" i="13"/>
  <c r="CS60" i="13"/>
  <c r="DQ60" i="13"/>
  <c r="CW60" i="13"/>
  <c r="CV60" i="13"/>
  <c r="DP60" i="13"/>
  <c r="BZ60" i="13"/>
  <c r="CT60" i="13"/>
  <c r="DJ60" i="13"/>
  <c r="CZ60" i="13"/>
  <c r="DT60" i="13"/>
  <c r="CD60" i="13"/>
  <c r="CX60" i="13"/>
  <c r="DZ60" i="13"/>
  <c r="DG60" i="13"/>
  <c r="DA60" i="13"/>
  <c r="EH60" i="13"/>
  <c r="CB60" i="13"/>
  <c r="CE60" i="13"/>
  <c r="DH60" i="13"/>
  <c r="EF60" i="13"/>
  <c r="CG60" i="13"/>
  <c r="CO60" i="13"/>
  <c r="CR60" i="13"/>
  <c r="DL60" i="13"/>
  <c r="EJ60" i="13"/>
  <c r="CP60" i="13"/>
  <c r="EI61" i="13"/>
  <c r="CC57" i="13"/>
  <c r="DJ58" i="13" a="1"/>
  <c r="D56" i="13"/>
  <c r="EA58" i="13" a="1"/>
  <c r="CH56" i="13"/>
  <c r="CW61" i="13"/>
  <c r="E56" i="13"/>
  <c r="CN58" i="13" a="1"/>
  <c r="CG56" i="13"/>
  <c r="CW58" i="13" a="1"/>
  <c r="CW59" i="13" s="1"/>
  <c r="EC61" i="13"/>
  <c r="E60" i="13"/>
  <c r="G58" i="13"/>
  <c r="ED57" i="13"/>
  <c r="DZ58" i="13" a="1"/>
  <c r="CF56" i="13"/>
  <c r="EI58" i="13" a="1"/>
  <c r="EI59" i="13" s="1"/>
  <c r="CF57" i="13"/>
  <c r="DR61" i="13"/>
  <c r="CE56" i="13"/>
  <c r="CV58" i="13" a="1"/>
  <c r="CT57" i="13"/>
  <c r="DM58" i="13" a="1"/>
  <c r="J56" i="13"/>
  <c r="CF61" i="13"/>
  <c r="CS61" i="13"/>
  <c r="EL61" i="13"/>
  <c r="CG58" i="13" a="1"/>
  <c r="CC56" i="13"/>
  <c r="CU58" i="13" a="1"/>
  <c r="DT61" i="13"/>
  <c r="CP57" i="13"/>
  <c r="DL58" i="13" a="1"/>
  <c r="DL58" i="13" s="1"/>
  <c r="H56" i="13"/>
  <c r="EC58" i="13" a="1"/>
  <c r="E57" i="13"/>
  <c r="DA61" i="13"/>
  <c r="CU61" i="13"/>
  <c r="DP57" i="13"/>
  <c r="CA61" i="13"/>
  <c r="DG57" i="13"/>
  <c r="CX61" i="13"/>
  <c r="EG57" i="13"/>
  <c r="AB59" i="13"/>
  <c r="CA57" i="13"/>
  <c r="EB58" i="13" a="1"/>
  <c r="C57" i="13"/>
  <c r="CO58" i="13" a="1"/>
  <c r="DH61" i="13"/>
  <c r="CE57" i="13"/>
  <c r="ED58" i="13" a="1"/>
  <c r="AB56" i="13"/>
  <c r="CQ58" i="13" a="1"/>
  <c r="CQ58" i="13" s="1"/>
  <c r="DL61" i="13"/>
  <c r="EJ57" i="13"/>
  <c r="CR61" i="13"/>
  <c r="EA57" i="13"/>
  <c r="DO61" i="13"/>
  <c r="BX58" i="13" a="1"/>
  <c r="CX57" i="13"/>
  <c r="DN58" i="13" a="1"/>
  <c r="DN58" i="13" s="1"/>
  <c r="BX56" i="13"/>
  <c r="EE58" i="13" a="1"/>
  <c r="BX57" i="13"/>
  <c r="DJ61" i="13"/>
  <c r="AB61" i="13"/>
  <c r="CU57" i="13"/>
  <c r="CT61" i="13"/>
  <c r="EC57" i="13"/>
  <c r="B57" i="13"/>
  <c r="CX58" i="13" a="1"/>
  <c r="DJ57" i="13"/>
  <c r="DO58" i="13" a="1"/>
  <c r="DO59" i="13" s="1"/>
  <c r="BZ56" i="13"/>
  <c r="CN57" i="13"/>
  <c r="EF58" i="13" a="1"/>
  <c r="BZ57" i="13"/>
  <c r="BY61" i="13"/>
  <c r="CW57" i="13"/>
  <c r="I56" i="13"/>
  <c r="CP58" i="13" a="1"/>
  <c r="CP59" i="13" s="1"/>
  <c r="D57" i="13"/>
  <c r="DG58" i="13" a="1"/>
  <c r="EG61" i="13"/>
  <c r="DN57" i="13"/>
  <c r="DP58" i="13" a="1"/>
  <c r="CB56" i="13"/>
  <c r="EG58" i="13" a="1"/>
  <c r="CB57" i="13"/>
  <c r="DN60" i="13"/>
  <c r="BX60" i="13"/>
  <c r="EM60" i="13"/>
  <c r="ED60" i="13"/>
  <c r="EK60" i="13"/>
  <c r="CU60" i="13"/>
  <c r="DS60" i="13"/>
  <c r="BY60" i="13"/>
  <c r="EL60" i="13"/>
  <c r="CA60" i="13"/>
  <c r="CY60" i="13"/>
  <c r="EB60" i="13"/>
  <c r="CC60" i="13"/>
  <c r="CN60" i="13"/>
  <c r="EA60" i="13"/>
  <c r="CF60" i="13"/>
  <c r="DR60" i="13"/>
  <c r="DI60" i="13"/>
  <c r="EC60" i="13"/>
  <c r="CH60" i="13"/>
  <c r="DK60" i="13"/>
  <c r="EE60" i="13"/>
  <c r="DM60" i="13"/>
  <c r="EG60" i="13"/>
  <c r="CQ60" i="13"/>
  <c r="DO60" i="13"/>
  <c r="D55" i="14"/>
  <c r="B55" i="14"/>
  <c r="C55" i="14"/>
  <c r="C58" i="14"/>
  <c r="D58" i="14"/>
  <c r="B58" i="14"/>
  <c r="T19" i="19"/>
  <c r="M19" i="19"/>
  <c r="Q19" i="19"/>
  <c r="J19" i="19"/>
  <c r="N19" i="19"/>
  <c r="R19" i="19"/>
  <c r="K19" i="19"/>
  <c r="O19" i="19"/>
  <c r="S19" i="19"/>
  <c r="L19" i="19"/>
  <c r="P19" i="19"/>
  <c r="BS110" i="13"/>
  <c r="BS114" i="13"/>
  <c r="BS113" i="13"/>
  <c r="BS112" i="13"/>
  <c r="BS111" i="13"/>
  <c r="BS115" i="13"/>
  <c r="CV115" i="13"/>
  <c r="CR112" i="13" a="1"/>
  <c r="DP112" i="13" a="1"/>
  <c r="DP113" i="13" s="1"/>
  <c r="CC115" i="13"/>
  <c r="CB111" i="13"/>
  <c r="G110" i="13"/>
  <c r="EE112" i="13" a="1"/>
  <c r="EE113" i="13" s="1"/>
  <c r="CF110" i="13"/>
  <c r="EB115" i="13"/>
  <c r="DK112" i="13" a="1"/>
  <c r="F110" i="13"/>
  <c r="DI115" i="13"/>
  <c r="CV112" i="13" a="1"/>
  <c r="EF112" i="13" a="1"/>
  <c r="CP115" i="13"/>
  <c r="CO112" i="13" a="1"/>
  <c r="G112" i="13"/>
  <c r="AB115" i="13"/>
  <c r="CC112" i="13" a="1"/>
  <c r="CC112" i="13" s="1"/>
  <c r="EJ115" i="13"/>
  <c r="DQ112" i="13" a="1"/>
  <c r="BZ110" i="13"/>
  <c r="DQ115" i="13"/>
  <c r="DH112" i="13" a="1"/>
  <c r="AB114" i="13"/>
  <c r="CX115" i="13"/>
  <c r="CS112" i="13" a="1"/>
  <c r="CS112" i="13" s="1"/>
  <c r="DZ112" i="13" a="1"/>
  <c r="DZ113" i="13" s="1"/>
  <c r="CE115" i="13"/>
  <c r="CD111" i="13"/>
  <c r="I110" i="13"/>
  <c r="P110" i="13" s="1"/>
  <c r="EG112" i="13" a="1"/>
  <c r="CH110" i="13"/>
  <c r="ED115" i="13"/>
  <c r="DL112" i="13" a="1"/>
  <c r="DL112" i="13" s="1"/>
  <c r="H110" i="13"/>
  <c r="DK115" i="13"/>
  <c r="CW112" i="13" a="1"/>
  <c r="EH112" i="13" a="1"/>
  <c r="EH113" i="13" s="1"/>
  <c r="CR115" i="13"/>
  <c r="CP112" i="13" a="1"/>
  <c r="CA110" i="13"/>
  <c r="E114" i="13"/>
  <c r="BX111" i="13"/>
  <c r="C110" i="13"/>
  <c r="EC115" i="13"/>
  <c r="AB112" i="13"/>
  <c r="DH111" i="13"/>
  <c r="DJ115" i="13"/>
  <c r="EC111" i="13"/>
  <c r="CG111" i="13"/>
  <c r="CQ115" i="13"/>
  <c r="DG111" i="13"/>
  <c r="B111" i="13"/>
  <c r="BX115" i="13"/>
  <c r="CF111" i="13"/>
  <c r="AB110" i="13"/>
  <c r="EI112" i="13" a="1"/>
  <c r="C111" i="13"/>
  <c r="EF115" i="13"/>
  <c r="DM112" i="13" a="1"/>
  <c r="J110" i="13"/>
  <c r="DM115" i="13"/>
  <c r="CX112" i="13" a="1"/>
  <c r="EJ112" i="13" a="1"/>
  <c r="CT115" i="13"/>
  <c r="CQ112" i="13" a="1"/>
  <c r="CQ113" i="13" s="1"/>
  <c r="DN112" i="13" a="1"/>
  <c r="CA115" i="13"/>
  <c r="CE112" i="13" a="1"/>
  <c r="EF111" i="13"/>
  <c r="EE115" i="13"/>
  <c r="BX112" i="13" a="1"/>
  <c r="DJ111" i="13"/>
  <c r="DL115" i="13"/>
  <c r="EE111" i="13"/>
  <c r="CN111" i="13"/>
  <c r="CS115" i="13"/>
  <c r="DI111" i="13"/>
  <c r="D111" i="13"/>
  <c r="BZ115" i="13"/>
  <c r="CH111" i="13"/>
  <c r="EM115" i="13"/>
  <c r="CB112" i="13" a="1"/>
  <c r="DZ111" i="13"/>
  <c r="DT115" i="13"/>
  <c r="D112" i="13"/>
  <c r="CV111" i="13"/>
  <c r="DA115" i="13"/>
  <c r="DQ111" i="13"/>
  <c r="CX114" i="13"/>
  <c r="DI114" i="13"/>
  <c r="EE114" i="13"/>
  <c r="CO114" i="13"/>
  <c r="DK114" i="13"/>
  <c r="EG114" i="13"/>
  <c r="CQ114" i="13"/>
  <c r="DM114" i="13"/>
  <c r="EI114" i="13"/>
  <c r="CS114" i="13"/>
  <c r="CN114" i="13"/>
  <c r="DO114" i="13"/>
  <c r="EK114" i="13"/>
  <c r="CU114" i="13"/>
  <c r="DQ114" i="13"/>
  <c r="EM114" i="13"/>
  <c r="CW114" i="13"/>
  <c r="DS114" i="13"/>
  <c r="BY114" i="13"/>
  <c r="CY114" i="13"/>
  <c r="ED114" i="13"/>
  <c r="CA114" i="13"/>
  <c r="DA114" i="13"/>
  <c r="DG114" i="13"/>
  <c r="EB114" i="13"/>
  <c r="EC114" i="13"/>
  <c r="EH114" i="13"/>
  <c r="CH115" i="13"/>
  <c r="CU111" i="13"/>
  <c r="CE110" i="13"/>
  <c r="CF112" i="13" a="1"/>
  <c r="EH111" i="13"/>
  <c r="EG115" i="13"/>
  <c r="BY112" i="13" a="1"/>
  <c r="DL111" i="13"/>
  <c r="DN115" i="13"/>
  <c r="EG111" i="13"/>
  <c r="CP111" i="13"/>
  <c r="CU115" i="13"/>
  <c r="DK111" i="13"/>
  <c r="AB111" i="13"/>
  <c r="CB115" i="13"/>
  <c r="CO111" i="13"/>
  <c r="BY110" i="13"/>
  <c r="AB113" i="13"/>
  <c r="EB111" i="13"/>
  <c r="EA115" i="13"/>
  <c r="F112" i="13"/>
  <c r="CX111" i="13"/>
  <c r="DH115" i="13"/>
  <c r="EA111" i="13"/>
  <c r="CE111" i="13"/>
  <c r="CO115" i="13"/>
  <c r="CW111" i="13"/>
  <c r="CG110" i="13"/>
  <c r="CG112" i="13" a="1"/>
  <c r="EJ111" i="13"/>
  <c r="EI115" i="13"/>
  <c r="BZ112" i="13" a="1"/>
  <c r="DN111" i="13"/>
  <c r="DP115" i="13"/>
  <c r="EI111" i="13"/>
  <c r="CR111" i="13"/>
  <c r="CW115" i="13"/>
  <c r="DM111" i="13"/>
  <c r="BY111" i="13"/>
  <c r="CD115" i="13"/>
  <c r="CQ111" i="13"/>
  <c r="BY115" i="13"/>
  <c r="CD112" i="13" a="1"/>
  <c r="ED111" i="13"/>
  <c r="EL115" i="13"/>
  <c r="EA112" i="13" a="1"/>
  <c r="EA112" i="13" s="1"/>
  <c r="CB110" i="13"/>
  <c r="DS115" i="13"/>
  <c r="DI112" i="13" a="1"/>
  <c r="B110" i="13"/>
  <c r="CZ115" i="13"/>
  <c r="CT112" i="13" a="1"/>
  <c r="EB112" i="13" a="1"/>
  <c r="CG115" i="13"/>
  <c r="CH112" i="13" a="1"/>
  <c r="C112" i="13"/>
  <c r="EK115" i="13"/>
  <c r="CA112" i="13" a="1"/>
  <c r="DP111" i="13"/>
  <c r="DR115" i="13"/>
  <c r="B112" i="13"/>
  <c r="CT111" i="13"/>
  <c r="CY115" i="13"/>
  <c r="DO111" i="13"/>
  <c r="CA111" i="13"/>
  <c r="CF115" i="13"/>
  <c r="CS111" i="13"/>
  <c r="CC110" i="13"/>
  <c r="G114" i="13"/>
  <c r="BZ111" i="13"/>
  <c r="E110" i="13"/>
  <c r="EC112" i="13" a="1"/>
  <c r="CD110" i="13"/>
  <c r="DZ115" i="13"/>
  <c r="DJ112" i="13" a="1"/>
  <c r="D110" i="13"/>
  <c r="DG115" i="13"/>
  <c r="CU112" i="13" a="1"/>
  <c r="CU113" i="13" s="1"/>
  <c r="ED112" i="13" a="1"/>
  <c r="ED112" i="13" s="1"/>
  <c r="CN115" i="13"/>
  <c r="CN112" i="13" a="1"/>
  <c r="E112" i="13"/>
  <c r="F114" i="13"/>
  <c r="E111" i="13"/>
  <c r="EH115" i="13"/>
  <c r="DO112" i="13" a="1"/>
  <c r="BX110" i="13"/>
  <c r="DO115" i="13"/>
  <c r="DG112" i="13" a="1"/>
  <c r="CC111" i="13"/>
  <c r="CH114" i="13"/>
  <c r="CE114" i="13"/>
  <c r="DJ114" i="13"/>
  <c r="EF114" i="13"/>
  <c r="CG114" i="13"/>
  <c r="DL114" i="13"/>
  <c r="EL114" i="13"/>
  <c r="CR114" i="13"/>
  <c r="DN114" i="13"/>
  <c r="BX114" i="13"/>
  <c r="EJ114" i="13"/>
  <c r="CP114" i="13"/>
  <c r="DP114" i="13"/>
  <c r="BZ114" i="13"/>
  <c r="CV114" i="13"/>
  <c r="DR114" i="13"/>
  <c r="CB114" i="13"/>
  <c r="CT114" i="13"/>
  <c r="DT114" i="13"/>
  <c r="CD114" i="13"/>
  <c r="CZ114" i="13"/>
  <c r="EA114" i="13"/>
  <c r="CF114" i="13"/>
  <c r="DZ114" i="13"/>
  <c r="CC114" i="13"/>
  <c r="DH114" i="13"/>
  <c r="K19" i="8"/>
  <c r="O19" i="8"/>
  <c r="S19" i="8"/>
  <c r="L19" i="8"/>
  <c r="P19" i="8"/>
  <c r="T19" i="8"/>
  <c r="M19" i="8"/>
  <c r="Q19" i="8"/>
  <c r="J19" i="8"/>
  <c r="N19" i="8"/>
  <c r="R19" i="8"/>
  <c r="BS74" i="13"/>
  <c r="BS78" i="13"/>
  <c r="BS77" i="13"/>
  <c r="BS76" i="13"/>
  <c r="BS75" i="13"/>
  <c r="BS79" i="13"/>
  <c r="CS79" i="13"/>
  <c r="CG76" i="13" a="1"/>
  <c r="CG77" i="13" s="1"/>
  <c r="CA74" i="13"/>
  <c r="EA76" i="13" a="1"/>
  <c r="CH74" i="13"/>
  <c r="DM79" i="13"/>
  <c r="EI75" i="13"/>
  <c r="DH75" i="13"/>
  <c r="CG79" i="13"/>
  <c r="DM75" i="13"/>
  <c r="CG75" i="13"/>
  <c r="DA79" i="13"/>
  <c r="CP76" i="13" a="1"/>
  <c r="CP76" i="13" s="1"/>
  <c r="B75" i="13"/>
  <c r="EE76" i="13" a="1"/>
  <c r="BX75" i="13"/>
  <c r="DZ79" i="13"/>
  <c r="AB76" i="13"/>
  <c r="DP75" i="13"/>
  <c r="DG79" i="13"/>
  <c r="EC75" i="13"/>
  <c r="CT75" i="13"/>
  <c r="DN79" i="13"/>
  <c r="CT76" i="13" a="1"/>
  <c r="CB79" i="13"/>
  <c r="CU79" i="13"/>
  <c r="CH76" i="13" a="1"/>
  <c r="AB77" i="13"/>
  <c r="EB76" i="13" a="1"/>
  <c r="C75" i="13"/>
  <c r="E74" i="13"/>
  <c r="DM76" i="13" a="1"/>
  <c r="J74" i="13"/>
  <c r="M74" i="13" s="1"/>
  <c r="DN75" i="13"/>
  <c r="CP79" i="13"/>
  <c r="DO75" i="13"/>
  <c r="CN75" i="13"/>
  <c r="AB78" i="13"/>
  <c r="CS75" i="13"/>
  <c r="EF76" i="13" a="1"/>
  <c r="BZ75" i="13"/>
  <c r="EB79" i="13"/>
  <c r="BX76" i="13" a="1"/>
  <c r="DZ75" i="13"/>
  <c r="C74" i="13"/>
  <c r="DI79" i="13"/>
  <c r="EE75" i="13"/>
  <c r="CV75" i="13"/>
  <c r="CC79" i="13"/>
  <c r="DI75" i="13"/>
  <c r="CW79" i="13"/>
  <c r="CN76" i="13" a="1"/>
  <c r="E78" i="13"/>
  <c r="EJ79" i="13"/>
  <c r="CB76" i="13" a="1"/>
  <c r="EH75" i="13"/>
  <c r="AB74" i="13"/>
  <c r="DN76" i="13" a="1"/>
  <c r="BX74" i="13"/>
  <c r="EC79" i="13"/>
  <c r="DG76" i="13" a="1"/>
  <c r="CV79" i="13"/>
  <c r="AB79" i="13"/>
  <c r="CU75" i="13"/>
  <c r="AB75" i="13"/>
  <c r="EG76" i="13" a="1"/>
  <c r="CB75" i="13"/>
  <c r="BY74" i="13"/>
  <c r="ED79" i="13"/>
  <c r="BY76" i="13" a="1"/>
  <c r="BY76" i="13" s="1"/>
  <c r="EB75" i="13"/>
  <c r="DK79" i="13"/>
  <c r="EG75" i="13"/>
  <c r="DR79" i="13"/>
  <c r="CV76" i="13" a="1"/>
  <c r="CF79" i="13"/>
  <c r="CY79" i="13"/>
  <c r="CO75" i="13"/>
  <c r="CG74" i="13"/>
  <c r="EL79" i="13"/>
  <c r="CC76" i="13" a="1"/>
  <c r="I74" i="13"/>
  <c r="DO76" i="13" a="1"/>
  <c r="BZ74" i="13"/>
  <c r="CX79" i="13"/>
  <c r="EA75" i="13"/>
  <c r="CR75" i="13"/>
  <c r="BY79" i="13"/>
  <c r="CW75" i="13"/>
  <c r="BY75" i="13"/>
  <c r="EL78" i="13"/>
  <c r="CR78" i="13"/>
  <c r="DL78" i="13"/>
  <c r="DS78" i="13"/>
  <c r="BY78" i="13"/>
  <c r="DA78" i="13"/>
  <c r="DQ78" i="13"/>
  <c r="EK78" i="13"/>
  <c r="CU78" i="13"/>
  <c r="EB78" i="13"/>
  <c r="CC78" i="13"/>
  <c r="DJ78" i="13"/>
  <c r="ED78" i="13"/>
  <c r="CA78" i="13"/>
  <c r="CY78" i="13"/>
  <c r="EF78" i="13"/>
  <c r="CG78" i="13"/>
  <c r="DN78" i="13"/>
  <c r="BX78" i="13"/>
  <c r="DI78" i="13"/>
  <c r="EC78" i="13"/>
  <c r="CH78" i="13"/>
  <c r="DO78" i="13"/>
  <c r="EM78" i="13"/>
  <c r="CW78" i="13"/>
  <c r="DZ78" i="13"/>
  <c r="CN78" i="13"/>
  <c r="EH76" i="13" a="1"/>
  <c r="CD75" i="13"/>
  <c r="EF79" i="13"/>
  <c r="BZ76" i="13" a="1"/>
  <c r="BZ77" i="13" s="1"/>
  <c r="EM79" i="13"/>
  <c r="DL76" i="13" a="1"/>
  <c r="H74" i="13"/>
  <c r="DT79" i="13"/>
  <c r="CW76" i="13" a="1"/>
  <c r="CW77" i="13" s="1"/>
  <c r="CN79" i="13"/>
  <c r="CP75" i="13"/>
  <c r="F78" i="13"/>
  <c r="CQ75" i="13"/>
  <c r="CH79" i="13"/>
  <c r="CD76" i="13" a="1"/>
  <c r="C76" i="13"/>
  <c r="DP76" i="13" a="1"/>
  <c r="CB74" i="13"/>
  <c r="EG79" i="13"/>
  <c r="DI76" i="13" a="1"/>
  <c r="DI77" i="13" s="1"/>
  <c r="B74" i="13"/>
  <c r="CX75" i="13"/>
  <c r="CA79" i="13"/>
  <c r="DG75" i="13"/>
  <c r="CA75" i="13"/>
  <c r="EI76" i="13" a="1"/>
  <c r="CF75" i="13"/>
  <c r="EH79" i="13"/>
  <c r="CA76" i="13" a="1"/>
  <c r="EF75" i="13"/>
  <c r="DO79" i="13"/>
  <c r="B76" i="13"/>
  <c r="DJ75" i="13"/>
  <c r="EA79" i="13"/>
  <c r="CX76" i="13" a="1"/>
  <c r="CR79" i="13"/>
  <c r="DH79" i="13"/>
  <c r="CQ76" i="13" a="1"/>
  <c r="CO79" i="13"/>
  <c r="CE76" i="13" a="1"/>
  <c r="CE77" i="13" s="1"/>
  <c r="E76" i="13"/>
  <c r="DQ76" i="13" a="1"/>
  <c r="CD74" i="13"/>
  <c r="ED75" i="13"/>
  <c r="EI79" i="13"/>
  <c r="DJ76" i="13" a="1"/>
  <c r="D74" i="13"/>
  <c r="DP79" i="13"/>
  <c r="CU76" i="13" a="1"/>
  <c r="CD79" i="13"/>
  <c r="EJ76" i="13" a="1"/>
  <c r="CH75" i="13"/>
  <c r="CE74" i="13"/>
  <c r="EC76" i="13" a="1"/>
  <c r="E75" i="13"/>
  <c r="G74" i="13"/>
  <c r="DQ79" i="13"/>
  <c r="D76" i="13"/>
  <c r="DL75" i="13"/>
  <c r="CT79" i="13"/>
  <c r="DQ75" i="13"/>
  <c r="DJ79" i="13"/>
  <c r="CR76" i="13" a="1"/>
  <c r="BX79" i="13"/>
  <c r="CQ79" i="13"/>
  <c r="CF76" i="13" a="1"/>
  <c r="G76" i="13"/>
  <c r="CC74" i="13"/>
  <c r="DZ76" i="13" a="1"/>
  <c r="CF74" i="13"/>
  <c r="EK79" i="13"/>
  <c r="DK76" i="13" a="1"/>
  <c r="DK77" i="13" s="1"/>
  <c r="F74" i="13"/>
  <c r="CE79" i="13"/>
  <c r="DK75" i="13"/>
  <c r="CE75" i="13"/>
  <c r="CO76" i="13" a="1"/>
  <c r="CO77" i="13" s="1"/>
  <c r="G78" i="13"/>
  <c r="D75" i="13"/>
  <c r="ED76" i="13" a="1"/>
  <c r="ED76" i="13" s="1"/>
  <c r="EJ75" i="13"/>
  <c r="DS79" i="13"/>
  <c r="F76" i="13"/>
  <c r="EE79" i="13"/>
  <c r="DH76" i="13" a="1"/>
  <c r="DH77" i="13" s="1"/>
  <c r="CZ79" i="13"/>
  <c r="DL79" i="13"/>
  <c r="CS76" i="13" a="1"/>
  <c r="CS77" i="13" s="1"/>
  <c r="BZ79" i="13"/>
  <c r="CC75" i="13"/>
  <c r="DM78" i="13"/>
  <c r="EG78" i="13"/>
  <c r="CQ78" i="13"/>
  <c r="CT78" i="13"/>
  <c r="EA78" i="13"/>
  <c r="CF78" i="13"/>
  <c r="CV78" i="13"/>
  <c r="DP78" i="13"/>
  <c r="BZ78" i="13"/>
  <c r="CX78" i="13"/>
  <c r="EE78" i="13"/>
  <c r="CO78" i="13"/>
  <c r="CZ78" i="13"/>
  <c r="DT78" i="13"/>
  <c r="CD78" i="13"/>
  <c r="DK78" i="13"/>
  <c r="EI78" i="13"/>
  <c r="CS78" i="13"/>
  <c r="EH78" i="13"/>
  <c r="CE78" i="13"/>
  <c r="DH78" i="13"/>
  <c r="EJ78" i="13"/>
  <c r="CP78" i="13"/>
  <c r="DR78" i="13"/>
  <c r="CB78" i="13"/>
  <c r="DG78" i="13"/>
  <c r="M23" i="16"/>
  <c r="Q23" i="16"/>
  <c r="J23" i="16"/>
  <c r="N23" i="16"/>
  <c r="R23" i="16"/>
  <c r="K23" i="16"/>
  <c r="O23" i="16"/>
  <c r="S23" i="16"/>
  <c r="L23" i="16"/>
  <c r="P23" i="16"/>
  <c r="T23" i="16"/>
  <c r="B65" i="14"/>
  <c r="C65" i="14"/>
  <c r="D65" i="14"/>
  <c r="P23" i="8"/>
  <c r="T23" i="8"/>
  <c r="M23" i="8"/>
  <c r="Q23" i="8"/>
  <c r="J23" i="8"/>
  <c r="N23" i="8"/>
  <c r="R23" i="8"/>
  <c r="K23" i="8"/>
  <c r="O23" i="8"/>
  <c r="S23" i="8"/>
  <c r="L23" i="8"/>
  <c r="B63" i="14"/>
  <c r="C63" i="14"/>
  <c r="D63" i="14"/>
  <c r="C56" i="14"/>
  <c r="B56" i="14"/>
  <c r="D56" i="14"/>
  <c r="L15" i="8"/>
  <c r="P15" i="8"/>
  <c r="T15" i="8"/>
  <c r="M15" i="8"/>
  <c r="Q15" i="8"/>
  <c r="J15" i="8"/>
  <c r="N15" i="8"/>
  <c r="R15" i="8"/>
  <c r="K15" i="8"/>
  <c r="O15" i="8"/>
  <c r="S15" i="8"/>
  <c r="P14" i="16"/>
  <c r="K14" i="16"/>
  <c r="O14" i="16"/>
  <c r="R14" i="16"/>
  <c r="L14" i="16"/>
  <c r="J14" i="16"/>
  <c r="S14" i="16"/>
  <c r="N14" i="16"/>
  <c r="Q14" i="16"/>
  <c r="M14" i="16"/>
  <c r="T14" i="16"/>
  <c r="R24" i="8"/>
  <c r="J24" i="8"/>
  <c r="O24" i="8"/>
  <c r="S24" i="8"/>
  <c r="L24" i="8"/>
  <c r="Q24" i="8"/>
  <c r="T24" i="8"/>
  <c r="M24" i="8"/>
  <c r="K24" i="8"/>
  <c r="P24" i="8"/>
  <c r="N24" i="8"/>
  <c r="L2" i="15"/>
  <c r="L35" i="15"/>
  <c r="L37" i="15"/>
  <c r="L32" i="15"/>
  <c r="L34" i="15"/>
  <c r="L29" i="15"/>
  <c r="L31" i="15"/>
  <c r="L40" i="15"/>
  <c r="L41" i="15"/>
  <c r="B57" i="14"/>
  <c r="C57" i="14"/>
  <c r="D57" i="14"/>
  <c r="BS92" i="13"/>
  <c r="BS96" i="13"/>
  <c r="BS95" i="13"/>
  <c r="BS94" i="13"/>
  <c r="BS93" i="13"/>
  <c r="BS97" i="13"/>
  <c r="CB97" i="13"/>
  <c r="CP94" i="13" a="1"/>
  <c r="CP94" i="13" s="1"/>
  <c r="EF93" i="13"/>
  <c r="EF97" i="13"/>
  <c r="CD94" i="13" a="1"/>
  <c r="DJ93" i="13"/>
  <c r="DM97" i="13"/>
  <c r="AB94" i="13"/>
  <c r="CN93" i="13"/>
  <c r="CT97" i="13"/>
  <c r="EC93" i="13"/>
  <c r="D93" i="13"/>
  <c r="DJ94" i="13" a="1"/>
  <c r="D92" i="13"/>
  <c r="CQ97" i="13"/>
  <c r="CU94" i="13" a="1"/>
  <c r="G94" i="13"/>
  <c r="BX97" i="13"/>
  <c r="CN94" i="13" a="1"/>
  <c r="EB93" i="13"/>
  <c r="EB97" i="13"/>
  <c r="CB94" i="13" a="1"/>
  <c r="CB94" i="13" s="1"/>
  <c r="CX93" i="13"/>
  <c r="CO97" i="13"/>
  <c r="CX94" i="13" a="1"/>
  <c r="E96" i="13"/>
  <c r="CD97" i="13"/>
  <c r="CQ94" i="13" a="1"/>
  <c r="EH93" i="13"/>
  <c r="EH97" i="13"/>
  <c r="CE94" i="13" a="1"/>
  <c r="DL93" i="13"/>
  <c r="DO97" i="13"/>
  <c r="BX94" i="13" a="1"/>
  <c r="BX94" i="13" s="1"/>
  <c r="CP93" i="13"/>
  <c r="DZ94" i="13" a="1"/>
  <c r="CF92" i="13"/>
  <c r="DL97" i="13"/>
  <c r="DK94" i="13" a="1"/>
  <c r="F92" i="13"/>
  <c r="CS97" i="13"/>
  <c r="CV94" i="13" a="1"/>
  <c r="CV95" i="13" s="1"/>
  <c r="CA92" i="13"/>
  <c r="CO94" i="13" a="1"/>
  <c r="ED93" i="13"/>
  <c r="EM97" i="13"/>
  <c r="DI97" i="13"/>
  <c r="D94" i="13"/>
  <c r="CE93" i="13"/>
  <c r="CP97" i="13"/>
  <c r="DQ93" i="13"/>
  <c r="CG92" i="13"/>
  <c r="AB97" i="13"/>
  <c r="CU93" i="13"/>
  <c r="I92" i="13"/>
  <c r="EG94" i="13" a="1"/>
  <c r="CB93" i="13"/>
  <c r="EL97" i="13"/>
  <c r="CG94" i="13" a="1"/>
  <c r="CG94" i="13" s="1"/>
  <c r="DP93" i="13"/>
  <c r="DS97" i="13"/>
  <c r="BZ94" i="13" a="1"/>
  <c r="BZ95" i="13" s="1"/>
  <c r="CT93" i="13"/>
  <c r="CZ97" i="13"/>
  <c r="EI93" i="13"/>
  <c r="CA93" i="13"/>
  <c r="CG97" i="13"/>
  <c r="DM93" i="13"/>
  <c r="CC92" i="13"/>
  <c r="ED97" i="13"/>
  <c r="CC94" i="13" a="1"/>
  <c r="DT97" i="13"/>
  <c r="DO94" i="13" a="1"/>
  <c r="BZ92" i="13"/>
  <c r="DA97" i="13"/>
  <c r="DH94" i="13" a="1"/>
  <c r="B93" i="13"/>
  <c r="BY97" i="13"/>
  <c r="CW93" i="13"/>
  <c r="AB92" i="13"/>
  <c r="CT94" i="13" a="1"/>
  <c r="E94" i="13"/>
  <c r="CH94" i="13" a="1"/>
  <c r="DZ93" i="13"/>
  <c r="DZ97" i="13"/>
  <c r="CA94" i="13" a="1"/>
  <c r="CA95" i="13" s="1"/>
  <c r="CV93" i="13"/>
  <c r="DG97" i="13"/>
  <c r="B94" i="13"/>
  <c r="CC93" i="13"/>
  <c r="EH96" i="13"/>
  <c r="CE96" i="13"/>
  <c r="CB96" i="13"/>
  <c r="EF96" i="13"/>
  <c r="CG96" i="13"/>
  <c r="CH96" i="13"/>
  <c r="EL96" i="13"/>
  <c r="CR96" i="13"/>
  <c r="CF96" i="13"/>
  <c r="DZ96" i="13"/>
  <c r="DG96" i="13"/>
  <c r="DN96" i="13"/>
  <c r="CV96" i="13"/>
  <c r="CO96" i="13"/>
  <c r="DP96" i="13"/>
  <c r="CT96" i="13"/>
  <c r="CU96" i="13"/>
  <c r="EM96" i="13"/>
  <c r="ED96" i="13"/>
  <c r="CA96" i="13"/>
  <c r="BX96" i="13"/>
  <c r="EB96" i="13"/>
  <c r="CC96" i="13"/>
  <c r="CD96" i="13"/>
  <c r="EJ96" i="13"/>
  <c r="CP96" i="13"/>
  <c r="CW97" i="13"/>
  <c r="F96" i="13"/>
  <c r="CQ93" i="13"/>
  <c r="E92" i="13"/>
  <c r="EE94" i="13" a="1"/>
  <c r="BX93" i="13"/>
  <c r="EA97" i="13"/>
  <c r="DP94" i="13" a="1"/>
  <c r="CB92" i="13"/>
  <c r="DH97" i="13"/>
  <c r="DI94" i="13" a="1"/>
  <c r="DI95" i="13" s="1"/>
  <c r="B92" i="13"/>
  <c r="CV97" i="13"/>
  <c r="EE93" i="13"/>
  <c r="AB93" i="13"/>
  <c r="CC97" i="13"/>
  <c r="DI93" i="13"/>
  <c r="BY92" i="13"/>
  <c r="EJ94" i="13" a="1"/>
  <c r="CH93" i="13"/>
  <c r="EK97" i="13"/>
  <c r="EC94" i="13" a="1"/>
  <c r="EC94" i="13" s="1"/>
  <c r="E93" i="13"/>
  <c r="DR97" i="13"/>
  <c r="CN97" i="13"/>
  <c r="DO93" i="13"/>
  <c r="CE92" i="13"/>
  <c r="AB96" i="13"/>
  <c r="CS93" i="13"/>
  <c r="G92" i="13"/>
  <c r="EF94" i="13" a="1"/>
  <c r="BZ93" i="13"/>
  <c r="EC97" i="13"/>
  <c r="DQ94" i="13" a="1"/>
  <c r="DQ95" i="13" s="1"/>
  <c r="CD92" i="13"/>
  <c r="DQ97" i="13"/>
  <c r="BY94" i="13" a="1"/>
  <c r="CR93" i="13"/>
  <c r="CX97" i="13"/>
  <c r="EG93" i="13"/>
  <c r="BY93" i="13"/>
  <c r="CE97" i="13"/>
  <c r="DK93" i="13"/>
  <c r="BZ97" i="13"/>
  <c r="CO93" i="13"/>
  <c r="C92" i="13"/>
  <c r="DJ97" i="13"/>
  <c r="DN94" i="13" a="1"/>
  <c r="BX92" i="13"/>
  <c r="CY97" i="13"/>
  <c r="DG94" i="13" a="1"/>
  <c r="DG94" i="13" s="1"/>
  <c r="G96" i="13"/>
  <c r="CF97" i="13"/>
  <c r="CR94" i="13" a="1"/>
  <c r="CR95" i="13" s="1"/>
  <c r="EJ93" i="13"/>
  <c r="EJ97" i="13"/>
  <c r="CF94" i="13" a="1"/>
  <c r="DN93" i="13"/>
  <c r="EH94" i="13" a="1"/>
  <c r="CD93" i="13"/>
  <c r="EG97" i="13"/>
  <c r="EA94" i="13" a="1"/>
  <c r="CH92" i="13"/>
  <c r="DN97" i="13"/>
  <c r="DL94" i="13" a="1"/>
  <c r="H92" i="13"/>
  <c r="P93" i="13" s="1"/>
  <c r="CU97" i="13"/>
  <c r="CW94" i="13" a="1"/>
  <c r="AB95" i="13"/>
  <c r="EE97" i="13"/>
  <c r="ED94" i="13" a="1"/>
  <c r="DH93" i="13"/>
  <c r="DK97" i="13"/>
  <c r="F94" i="13"/>
  <c r="CG93" i="13"/>
  <c r="CR97" i="13"/>
  <c r="EA93" i="13"/>
  <c r="CH97" i="13"/>
  <c r="CS94" i="13" a="1"/>
  <c r="C94" i="13"/>
  <c r="CA97" i="13"/>
  <c r="DG93" i="13"/>
  <c r="EI94" i="13" a="1"/>
  <c r="CF93" i="13"/>
  <c r="EI97" i="13"/>
  <c r="EB94" i="13" a="1"/>
  <c r="C93" i="13"/>
  <c r="DP97" i="13"/>
  <c r="DM94" i="13" a="1"/>
  <c r="J92" i="13"/>
  <c r="J95" i="13" s="1"/>
  <c r="EA96" i="13"/>
  <c r="DI96" i="13"/>
  <c r="CW96" i="13"/>
  <c r="EC96" i="13"/>
  <c r="DK96" i="13"/>
  <c r="DH96" i="13"/>
  <c r="EE96" i="13"/>
  <c r="DM96" i="13"/>
  <c r="DA96" i="13"/>
  <c r="CQ96" i="13"/>
  <c r="CN96" i="13"/>
  <c r="EI96" i="13"/>
  <c r="DQ96" i="13"/>
  <c r="DJ96" i="13"/>
  <c r="EK96" i="13"/>
  <c r="DS96" i="13"/>
  <c r="BY96" i="13"/>
  <c r="BZ96" i="13"/>
  <c r="DR96" i="13"/>
  <c r="CZ96" i="13"/>
  <c r="CS96" i="13"/>
  <c r="DT96" i="13"/>
  <c r="CX96" i="13"/>
  <c r="CY96" i="13"/>
  <c r="EG96" i="13"/>
  <c r="DO96" i="13"/>
  <c r="DL96" i="13"/>
  <c r="O22" i="19"/>
  <c r="S22" i="19"/>
  <c r="M22" i="19"/>
  <c r="P22" i="19"/>
  <c r="T22" i="19"/>
  <c r="R22" i="19"/>
  <c r="L22" i="19"/>
  <c r="J22" i="19"/>
  <c r="N22" i="19"/>
  <c r="Q22" i="19"/>
  <c r="K22" i="19"/>
  <c r="BS80" i="13"/>
  <c r="BS84" i="13"/>
  <c r="BS83" i="13"/>
  <c r="BS82" i="13"/>
  <c r="BS81" i="13"/>
  <c r="BS85" i="13"/>
  <c r="DJ82" i="13" a="1"/>
  <c r="DJ82" i="13" s="1"/>
  <c r="D80" i="13"/>
  <c r="CE80" i="13"/>
  <c r="CU82" i="13" a="1"/>
  <c r="CU83" i="13" s="1"/>
  <c r="EC85" i="13"/>
  <c r="G80" i="13"/>
  <c r="CN82" i="13" a="1"/>
  <c r="DJ85" i="13"/>
  <c r="EB85" i="13"/>
  <c r="CB82" i="13" a="1"/>
  <c r="CQ85" i="13"/>
  <c r="DI85" i="13"/>
  <c r="D82" i="13"/>
  <c r="BB82" i="13" s="1"/>
  <c r="BX85" i="13"/>
  <c r="CP85" i="13"/>
  <c r="DQ81" i="13"/>
  <c r="G82" i="13"/>
  <c r="AV85" i="13" s="1"/>
  <c r="AB85" i="13"/>
  <c r="CU81" i="13"/>
  <c r="EB81" i="13"/>
  <c r="EG82" i="13" a="1"/>
  <c r="CB81" i="13"/>
  <c r="CX81" i="13"/>
  <c r="DZ82" i="13" a="1"/>
  <c r="DZ83" i="13" s="1"/>
  <c r="CF80" i="13"/>
  <c r="CE81" i="13"/>
  <c r="DK82" i="13" a="1"/>
  <c r="F80" i="13"/>
  <c r="CG80" i="13"/>
  <c r="CV82" i="13" a="1"/>
  <c r="EE85" i="13"/>
  <c r="I80" i="13"/>
  <c r="Q81" i="13" s="1"/>
  <c r="CO81" i="13"/>
  <c r="DN81" i="13"/>
  <c r="ED82" i="13" a="1"/>
  <c r="CS85" i="13"/>
  <c r="DK85" i="13"/>
  <c r="F82" i="13"/>
  <c r="BZ85" i="13"/>
  <c r="CR85" i="13"/>
  <c r="EA81" i="13"/>
  <c r="CA80" i="13"/>
  <c r="CS82" i="13" a="1"/>
  <c r="CS82" i="13" s="1"/>
  <c r="DT85" i="13"/>
  <c r="C80" i="13"/>
  <c r="EH82" i="13" a="1"/>
  <c r="CD81" i="13"/>
  <c r="DH81" i="13"/>
  <c r="EA82" i="13" a="1"/>
  <c r="CH80" i="13"/>
  <c r="CG81" i="13"/>
  <c r="DL82" i="13" a="1"/>
  <c r="DL83" i="13" s="1"/>
  <c r="H80" i="13"/>
  <c r="CG85" i="13"/>
  <c r="DM81" i="13"/>
  <c r="C82" i="13"/>
  <c r="F84" i="13"/>
  <c r="CQ81" i="13"/>
  <c r="DP81" i="13"/>
  <c r="EE82" i="13" a="1"/>
  <c r="EE82" i="13" s="1"/>
  <c r="BX81" i="13"/>
  <c r="CT81" i="13"/>
  <c r="DP82" i="13" a="1"/>
  <c r="CB80" i="13"/>
  <c r="CA81" i="13"/>
  <c r="DI82" i="13" a="1"/>
  <c r="B80" i="13"/>
  <c r="CC80" i="13"/>
  <c r="CT82" i="13" a="1"/>
  <c r="EA85" i="13"/>
  <c r="E80" i="13"/>
  <c r="CH82" i="13" a="1"/>
  <c r="CH83" i="13" s="1"/>
  <c r="DH85" i="13"/>
  <c r="DZ85" i="13"/>
  <c r="CA82" i="13" a="1"/>
  <c r="CO85" i="13"/>
  <c r="DG85" i="13"/>
  <c r="B82" i="13"/>
  <c r="D81" i="13"/>
  <c r="CX82" i="13" a="1"/>
  <c r="EI85" i="13"/>
  <c r="AB84" i="13"/>
  <c r="CS81" i="13"/>
  <c r="DZ81" i="13"/>
  <c r="EF82" i="13" a="1"/>
  <c r="EF83" i="13" s="1"/>
  <c r="BZ81" i="13"/>
  <c r="CV81" i="13"/>
  <c r="DQ82" i="13" a="1"/>
  <c r="DQ83" i="13" s="1"/>
  <c r="CD80" i="13"/>
  <c r="CC81" i="13"/>
  <c r="CV84" i="13"/>
  <c r="DP84" i="13"/>
  <c r="BZ84" i="13"/>
  <c r="DO84" i="13"/>
  <c r="EM84" i="13"/>
  <c r="CW84" i="13"/>
  <c r="ED84" i="13"/>
  <c r="CA84" i="13"/>
  <c r="CY84" i="13"/>
  <c r="DA84" i="13"/>
  <c r="EH84" i="13"/>
  <c r="CE84" i="13"/>
  <c r="DH84" i="13"/>
  <c r="EB84" i="13"/>
  <c r="CC84" i="13"/>
  <c r="DJ84" i="13"/>
  <c r="EL84" i="13"/>
  <c r="CR84" i="13"/>
  <c r="DL84" i="13"/>
  <c r="EF84" i="13"/>
  <c r="CG84" i="13"/>
  <c r="DN84" i="13"/>
  <c r="BX84" i="13"/>
  <c r="CN84" i="13"/>
  <c r="CT84" i="13"/>
  <c r="EA84" i="13"/>
  <c r="CV85" i="13"/>
  <c r="EE81" i="13"/>
  <c r="E84" i="13"/>
  <c r="CC85" i="13"/>
  <c r="DI81" i="13"/>
  <c r="EH81" i="13"/>
  <c r="EJ82" i="13" a="1"/>
  <c r="EJ83" i="13" s="1"/>
  <c r="CH81" i="13"/>
  <c r="DL81" i="13"/>
  <c r="EC82" i="13" a="1"/>
  <c r="E81" i="13"/>
  <c r="CP81" i="13"/>
  <c r="DN82" i="13" a="1"/>
  <c r="BX80" i="13"/>
  <c r="AB81" i="13"/>
  <c r="DG82" i="13" a="1"/>
  <c r="DG83" i="13" s="1"/>
  <c r="EK85" i="13"/>
  <c r="BY80" i="13"/>
  <c r="CR82" i="13" a="1"/>
  <c r="CR82" i="13" s="1"/>
  <c r="DR85" i="13"/>
  <c r="EJ85" i="13"/>
  <c r="CF82" i="13" a="1"/>
  <c r="CY85" i="13"/>
  <c r="DQ85" i="13"/>
  <c r="BY82" i="13" a="1"/>
  <c r="CF85" i="13"/>
  <c r="CX85" i="13"/>
  <c r="EG81" i="13"/>
  <c r="G84" i="13"/>
  <c r="CE85" i="13"/>
  <c r="DK81" i="13"/>
  <c r="EJ81" i="13"/>
  <c r="CO82" i="13" a="1"/>
  <c r="CO82" i="13" s="1"/>
  <c r="DL85" i="13"/>
  <c r="ED85" i="13"/>
  <c r="CC82" i="13" a="1"/>
  <c r="CC82" i="13" s="1"/>
  <c r="CR81" i="13"/>
  <c r="DO82" i="13" a="1"/>
  <c r="BZ80" i="13"/>
  <c r="BY81" i="13"/>
  <c r="DH82" i="13" a="1"/>
  <c r="DH82" i="13" s="1"/>
  <c r="EM85" i="13"/>
  <c r="BY85" i="13"/>
  <c r="CW81" i="13"/>
  <c r="ED81" i="13"/>
  <c r="EL85" i="13"/>
  <c r="CG82" i="13" a="1"/>
  <c r="DA85" i="13"/>
  <c r="DS85" i="13"/>
  <c r="BZ82" i="13" a="1"/>
  <c r="CH85" i="13"/>
  <c r="CZ85" i="13"/>
  <c r="EI81" i="13"/>
  <c r="B81" i="13"/>
  <c r="CW82" i="13" a="1"/>
  <c r="CW83" i="13" s="1"/>
  <c r="EG85" i="13"/>
  <c r="AB80" i="13"/>
  <c r="CP82" i="13" a="1"/>
  <c r="DN85" i="13"/>
  <c r="EF85" i="13"/>
  <c r="CD82" i="13" a="1"/>
  <c r="CU85" i="13"/>
  <c r="DM85" i="13"/>
  <c r="AB82" i="13"/>
  <c r="CB85" i="13"/>
  <c r="CT85" i="13"/>
  <c r="EC81" i="13"/>
  <c r="AB83" i="13"/>
  <c r="CA85" i="13"/>
  <c r="DG81" i="13"/>
  <c r="EF81" i="13"/>
  <c r="EI82" i="13" a="1"/>
  <c r="EI83" i="13" s="1"/>
  <c r="CF81" i="13"/>
  <c r="DJ81" i="13"/>
  <c r="EB82" i="13" a="1"/>
  <c r="EB83" i="13" s="1"/>
  <c r="C81" i="13"/>
  <c r="CN81" i="13"/>
  <c r="DM82" i="13" a="1"/>
  <c r="J80" i="13"/>
  <c r="M80" i="13" s="1"/>
  <c r="CN85" i="13"/>
  <c r="DO81" i="13"/>
  <c r="E82" i="13"/>
  <c r="AG83" i="13" s="1"/>
  <c r="CQ82" i="13" a="1"/>
  <c r="DP85" i="13"/>
  <c r="EH85" i="13"/>
  <c r="CE82" i="13" a="1"/>
  <c r="CW85" i="13"/>
  <c r="DO85" i="13"/>
  <c r="BX82" i="13" a="1"/>
  <c r="BX82" i="13" s="1"/>
  <c r="CD85" i="13"/>
  <c r="DQ84" i="13"/>
  <c r="EK84" i="13"/>
  <c r="CU84" i="13"/>
  <c r="EJ84" i="13"/>
  <c r="CP84" i="13"/>
  <c r="DR84" i="13"/>
  <c r="CB84" i="13"/>
  <c r="CZ84" i="13"/>
  <c r="DT84" i="13"/>
  <c r="CD84" i="13"/>
  <c r="DG84" i="13"/>
  <c r="DI84" i="13"/>
  <c r="EC84" i="13"/>
  <c r="CH84" i="13"/>
  <c r="CX84" i="13"/>
  <c r="EE84" i="13"/>
  <c r="CO84" i="13"/>
  <c r="DM84" i="13"/>
  <c r="EG84" i="13"/>
  <c r="CQ84" i="13"/>
  <c r="DK84" i="13"/>
  <c r="EI84" i="13"/>
  <c r="CS84" i="13"/>
  <c r="DZ84" i="13"/>
  <c r="DS84" i="13"/>
  <c r="BY84" i="13"/>
  <c r="CF84" i="13"/>
  <c r="N17" i="19"/>
  <c r="R17" i="19"/>
  <c r="K17" i="19"/>
  <c r="O17" i="19"/>
  <c r="S17" i="19"/>
  <c r="L17" i="19"/>
  <c r="P17" i="19"/>
  <c r="T17" i="19"/>
  <c r="M17" i="19"/>
  <c r="Q17" i="19"/>
  <c r="J17" i="19"/>
  <c r="C54" i="14"/>
  <c r="D54" i="14"/>
  <c r="B54" i="14"/>
  <c r="Q10" i="19"/>
  <c r="T10" i="19"/>
  <c r="O10" i="19"/>
  <c r="P10" i="19"/>
  <c r="R10" i="19"/>
  <c r="S10" i="19"/>
  <c r="N10" i="19"/>
  <c r="L10" i="19"/>
  <c r="J10" i="19"/>
  <c r="M10" i="19"/>
  <c r="K10" i="19"/>
  <c r="N8" i="8"/>
  <c r="M8" i="8"/>
  <c r="K8" i="8"/>
  <c r="J8" i="8"/>
  <c r="S8" i="8"/>
  <c r="R8" i="8"/>
  <c r="L8" i="8"/>
  <c r="O8" i="8"/>
  <c r="T8" i="8"/>
  <c r="Q8" i="8"/>
  <c r="P8" i="8"/>
  <c r="D70" i="14"/>
  <c r="B70" i="14"/>
  <c r="C70" i="14"/>
  <c r="J8" i="19"/>
  <c r="S8" i="19"/>
  <c r="Q8" i="19"/>
  <c r="L8" i="19"/>
  <c r="T8" i="19"/>
  <c r="M8" i="19"/>
  <c r="P8" i="19"/>
  <c r="K8" i="19"/>
  <c r="N8" i="19"/>
  <c r="R8" i="19"/>
  <c r="O8" i="19"/>
  <c r="G18" i="13"/>
  <c r="E18" i="13"/>
  <c r="F18" i="13"/>
  <c r="G12" i="13"/>
  <c r="F12" i="13"/>
  <c r="E12" i="13"/>
  <c r="T16" i="19"/>
  <c r="M16" i="19"/>
  <c r="K16" i="19"/>
  <c r="P16" i="19"/>
  <c r="N16" i="19"/>
  <c r="R16" i="19"/>
  <c r="J16" i="19"/>
  <c r="O16" i="19"/>
  <c r="S16" i="19"/>
  <c r="L16" i="19"/>
  <c r="Q16" i="19"/>
  <c r="R10" i="16"/>
  <c r="K10" i="16"/>
  <c r="N10" i="16"/>
  <c r="T10" i="16"/>
  <c r="L10" i="16"/>
  <c r="P10" i="16"/>
  <c r="M10" i="16"/>
  <c r="S10" i="16"/>
  <c r="Q10" i="16"/>
  <c r="O10" i="16"/>
  <c r="J10" i="16"/>
  <c r="D64" i="14"/>
  <c r="B64" i="14"/>
  <c r="C64" i="14"/>
  <c r="L11" i="16"/>
  <c r="P11" i="16"/>
  <c r="T11" i="16"/>
  <c r="M11" i="16"/>
  <c r="Q11" i="16"/>
  <c r="J11" i="16"/>
  <c r="N11" i="16"/>
  <c r="R11" i="16"/>
  <c r="K11" i="16"/>
  <c r="O11" i="16"/>
  <c r="S11" i="16"/>
  <c r="BS86" i="13"/>
  <c r="BS90" i="13"/>
  <c r="BS89" i="13"/>
  <c r="BS88" i="13"/>
  <c r="BS87" i="13"/>
  <c r="BS91" i="13"/>
  <c r="CA87" i="13"/>
  <c r="DJ88" i="13" a="1"/>
  <c r="D86" i="13"/>
  <c r="CC86" i="13"/>
  <c r="CU88" i="13" a="1"/>
  <c r="CU88" i="13" s="1"/>
  <c r="EA91" i="13"/>
  <c r="E86" i="13"/>
  <c r="CN88" i="13" a="1"/>
  <c r="CN88" i="13" s="1"/>
  <c r="DH91" i="13"/>
  <c r="EB91" i="13"/>
  <c r="CB88" i="13" a="1"/>
  <c r="CO91" i="13"/>
  <c r="DI91" i="13"/>
  <c r="D88" i="13"/>
  <c r="BJ88" i="13" s="1"/>
  <c r="D87" i="13"/>
  <c r="DG88" i="13" a="1"/>
  <c r="DG89" i="13" s="1"/>
  <c r="EI91" i="13"/>
  <c r="AB91" i="13"/>
  <c r="EM91" i="13"/>
  <c r="CA91" i="13"/>
  <c r="DG87" i="13"/>
  <c r="ED87" i="13"/>
  <c r="EI88" i="13" a="1"/>
  <c r="CF87" i="13"/>
  <c r="DH87" i="13"/>
  <c r="EB88" i="13" a="1"/>
  <c r="C87" i="13"/>
  <c r="CG87" i="13"/>
  <c r="DM88" i="13" a="1"/>
  <c r="DM89" i="13" s="1"/>
  <c r="J86" i="13"/>
  <c r="CN91" i="13"/>
  <c r="DO87" i="13"/>
  <c r="C88" i="13"/>
  <c r="AB90" i="13"/>
  <c r="CS87" i="13"/>
  <c r="DP87" i="13"/>
  <c r="EF88" i="13" a="1"/>
  <c r="EF88" i="13" s="1"/>
  <c r="CU87" i="13"/>
  <c r="DZ87" i="13"/>
  <c r="EG88" i="13" a="1"/>
  <c r="EG89" i="13" s="1"/>
  <c r="CB87" i="13"/>
  <c r="CB91" i="13"/>
  <c r="CV91" i="13"/>
  <c r="EE87" i="13"/>
  <c r="AB89" i="13"/>
  <c r="CC91" i="13"/>
  <c r="DI87" i="13"/>
  <c r="EF87" i="13"/>
  <c r="EJ88" i="13" a="1"/>
  <c r="EJ89" i="13" s="1"/>
  <c r="CH87" i="13"/>
  <c r="DJ87" i="13"/>
  <c r="EC88" i="13" a="1"/>
  <c r="EC88" i="13" s="1"/>
  <c r="E87" i="13"/>
  <c r="CN87" i="13"/>
  <c r="DN88" i="13" a="1"/>
  <c r="BX86" i="13"/>
  <c r="CP91" i="13"/>
  <c r="DQ87" i="13"/>
  <c r="E88" i="13"/>
  <c r="AI89" i="13" s="1"/>
  <c r="CR88" i="13" a="1"/>
  <c r="CR89" i="13" s="1"/>
  <c r="CA86" i="13"/>
  <c r="CT88" i="13" a="1"/>
  <c r="DT91" i="13"/>
  <c r="C86" i="13"/>
  <c r="CH88" i="13" a="1"/>
  <c r="CH88" i="13" s="1"/>
  <c r="DA91" i="13"/>
  <c r="DZ91" i="13"/>
  <c r="CA88" i="13" a="1"/>
  <c r="CA89" i="13" s="1"/>
  <c r="CH91" i="13"/>
  <c r="DG91" i="13"/>
  <c r="B88" i="13"/>
  <c r="AI86" i="13" s="1"/>
  <c r="B87" i="13"/>
  <c r="CX88" i="13" a="1"/>
  <c r="CX89" i="13" s="1"/>
  <c r="EG91" i="13"/>
  <c r="AB86" i="13"/>
  <c r="CQ88" i="13" a="1"/>
  <c r="CQ88" i="13" s="1"/>
  <c r="DN91" i="13"/>
  <c r="EH91" i="13"/>
  <c r="CE88" i="13" a="1"/>
  <c r="DP91" i="13"/>
  <c r="EJ91" i="13"/>
  <c r="CF88" i="13" a="1"/>
  <c r="BZ87" i="13"/>
  <c r="CU91" i="13"/>
  <c r="DO91" i="13"/>
  <c r="BX88" i="13" a="1"/>
  <c r="DR91" i="13"/>
  <c r="EL91" i="13"/>
  <c r="CG88" i="13" a="1"/>
  <c r="CY91" i="13"/>
  <c r="DS91" i="13"/>
  <c r="BZ88" i="13" a="1"/>
  <c r="BZ89" i="13" s="1"/>
  <c r="CF91" i="13"/>
  <c r="CZ91" i="13"/>
  <c r="EI87" i="13"/>
  <c r="G90" i="13"/>
  <c r="CG91" i="13"/>
  <c r="DM87" i="13"/>
  <c r="EJ87" i="13"/>
  <c r="F90" i="13"/>
  <c r="CQ87" i="13"/>
  <c r="DN87" i="13"/>
  <c r="EE88" i="13" a="1"/>
  <c r="BX87" i="13"/>
  <c r="CR87" i="13"/>
  <c r="DP88" i="13" a="1"/>
  <c r="CW91" i="13"/>
  <c r="DQ91" i="13"/>
  <c r="BY88" i="13" a="1"/>
  <c r="BY88" i="13" s="1"/>
  <c r="CD91" i="13"/>
  <c r="CX91" i="13"/>
  <c r="EG87" i="13"/>
  <c r="E90" i="13"/>
  <c r="CE91" i="13"/>
  <c r="DK87" i="13"/>
  <c r="EH87" i="13"/>
  <c r="CO88" i="13" a="1"/>
  <c r="CO89" i="13" s="1"/>
  <c r="DJ91" i="13"/>
  <c r="ED91" i="13"/>
  <c r="CC88" i="13" a="1"/>
  <c r="CC88" i="13" s="1"/>
  <c r="CP87" i="13"/>
  <c r="DO88" i="13" a="1"/>
  <c r="BZ86" i="13"/>
  <c r="AB87" i="13"/>
  <c r="DH88" i="13" a="1"/>
  <c r="DH88" i="13" s="1"/>
  <c r="CB86" i="13"/>
  <c r="BY87" i="13"/>
  <c r="DI88" i="13" a="1"/>
  <c r="DI89" i="13" s="1"/>
  <c r="B86" i="13"/>
  <c r="G88" i="13"/>
  <c r="AI91" i="13" s="1"/>
  <c r="BY91" i="13"/>
  <c r="CW87" i="13"/>
  <c r="DH90" i="13"/>
  <c r="EF90" i="13"/>
  <c r="DN90" i="13"/>
  <c r="BX90" i="13"/>
  <c r="CT90" i="13"/>
  <c r="EG90" i="13"/>
  <c r="CQ90" i="13"/>
  <c r="DO90" i="13"/>
  <c r="ED90" i="13"/>
  <c r="CZ90" i="13"/>
  <c r="CE90" i="13"/>
  <c r="DP90" i="13"/>
  <c r="BZ90" i="13"/>
  <c r="EA90" i="13"/>
  <c r="CF90" i="13"/>
  <c r="DK90" i="13"/>
  <c r="DT90" i="13"/>
  <c r="CD90" i="13"/>
  <c r="EE90" i="13"/>
  <c r="CO90" i="13"/>
  <c r="DM90" i="13"/>
  <c r="CR90" i="13"/>
  <c r="DG90" i="13"/>
  <c r="CN90" i="13"/>
  <c r="DR90" i="13"/>
  <c r="CX90" i="13"/>
  <c r="CT87" i="13"/>
  <c r="DQ88" i="13" a="1"/>
  <c r="DQ89" i="13" s="1"/>
  <c r="CD86" i="13"/>
  <c r="EB87" i="13"/>
  <c r="EH88" i="13" a="1"/>
  <c r="CD87" i="13"/>
  <c r="CX87" i="13"/>
  <c r="EA88" i="13" a="1"/>
  <c r="EA89" i="13" s="1"/>
  <c r="CH86" i="13"/>
  <c r="CE87" i="13"/>
  <c r="DL88" i="13" a="1"/>
  <c r="DL89" i="13" s="1"/>
  <c r="H86" i="13"/>
  <c r="CG86" i="13"/>
  <c r="CW88" i="13" a="1"/>
  <c r="CW89" i="13" s="1"/>
  <c r="EE91" i="13"/>
  <c r="I86" i="13"/>
  <c r="CP88" i="13" a="1"/>
  <c r="DL91" i="13"/>
  <c r="EF91" i="13"/>
  <c r="CD88" i="13" a="1"/>
  <c r="CS91" i="13"/>
  <c r="DM91" i="13"/>
  <c r="AB88" i="13"/>
  <c r="CV87" i="13"/>
  <c r="DZ88" i="13" a="1"/>
  <c r="CF86" i="13"/>
  <c r="CC87" i="13"/>
  <c r="DK88" i="13" a="1"/>
  <c r="F86" i="13"/>
  <c r="CE86" i="13"/>
  <c r="CV88" i="13" a="1"/>
  <c r="CV89" i="13" s="1"/>
  <c r="EC91" i="13"/>
  <c r="G86" i="13"/>
  <c r="CO87" i="13"/>
  <c r="DL87" i="13"/>
  <c r="ED88" i="13" a="1"/>
  <c r="ED88" i="13" s="1"/>
  <c r="CQ91" i="13"/>
  <c r="DK91" i="13"/>
  <c r="F88" i="13"/>
  <c r="BX91" i="13"/>
  <c r="CR91" i="13"/>
  <c r="EA87" i="13"/>
  <c r="BZ91" i="13"/>
  <c r="CT91" i="13"/>
  <c r="EC87" i="13"/>
  <c r="EK91" i="13"/>
  <c r="BY86" i="13"/>
  <c r="CS88" i="13" a="1"/>
  <c r="EC90" i="13"/>
  <c r="CH90" i="13"/>
  <c r="EI90" i="13"/>
  <c r="CS90" i="13"/>
  <c r="DQ90" i="13"/>
  <c r="BY90" i="13"/>
  <c r="DL90" i="13"/>
  <c r="EJ90" i="13"/>
  <c r="CW90" i="13"/>
  <c r="CC90" i="13"/>
  <c r="DI90" i="13"/>
  <c r="EK90" i="13"/>
  <c r="CU90" i="13"/>
  <c r="DS90" i="13"/>
  <c r="DA90" i="13"/>
  <c r="EH90" i="13"/>
  <c r="CG90" i="13"/>
  <c r="CY90" i="13"/>
  <c r="EB90" i="13"/>
  <c r="DJ90" i="13"/>
  <c r="EL90" i="13"/>
  <c r="CP90" i="13"/>
  <c r="CV90" i="13"/>
  <c r="DZ90" i="13"/>
  <c r="EM90" i="13"/>
  <c r="CB90" i="13"/>
  <c r="CA90" i="13"/>
  <c r="M17" i="8"/>
  <c r="Q17" i="8"/>
  <c r="J17" i="8"/>
  <c r="N17" i="8"/>
  <c r="R17" i="8"/>
  <c r="K17" i="8"/>
  <c r="O17" i="8"/>
  <c r="S17" i="8"/>
  <c r="L17" i="8"/>
  <c r="P17" i="8"/>
  <c r="T17" i="8"/>
  <c r="BS38" i="13"/>
  <c r="BS42" i="13"/>
  <c r="BS41" i="13"/>
  <c r="BS40" i="13"/>
  <c r="BS39" i="13"/>
  <c r="BS43" i="13"/>
  <c r="DG40" i="13" a="1"/>
  <c r="EK43" i="13"/>
  <c r="BY38" i="13"/>
  <c r="CT40" i="13" a="1"/>
  <c r="CT40" i="13" s="1"/>
  <c r="EA43" i="13"/>
  <c r="E38" i="13"/>
  <c r="AC38" i="13" s="1"/>
  <c r="CO39" i="13"/>
  <c r="DN39" i="13"/>
  <c r="EF40" i="13" a="1"/>
  <c r="BZ39" i="13"/>
  <c r="CV39" i="13"/>
  <c r="DK40" i="13" a="1"/>
  <c r="DK40" i="13" s="1"/>
  <c r="F38" i="13"/>
  <c r="CG38" i="13"/>
  <c r="CX40" i="13" a="1"/>
  <c r="EI43" i="13"/>
  <c r="BY43" i="13"/>
  <c r="CW39" i="13"/>
  <c r="ED39" i="13"/>
  <c r="EJ40" i="13" a="1"/>
  <c r="EJ40" i="13" s="1"/>
  <c r="CH39" i="13"/>
  <c r="DL39" i="13"/>
  <c r="DO40" i="13" a="1"/>
  <c r="DO40" i="13" s="1"/>
  <c r="BZ38" i="13"/>
  <c r="BY39" i="13"/>
  <c r="DJ40" i="13" a="1"/>
  <c r="DJ41" i="13" s="1"/>
  <c r="D38" i="13"/>
  <c r="CE38" i="13"/>
  <c r="CW40" i="13" a="1"/>
  <c r="EG43" i="13"/>
  <c r="AB38" i="13"/>
  <c r="CR40" i="13" a="1"/>
  <c r="DR43" i="13"/>
  <c r="DS43" i="13"/>
  <c r="BZ40" i="13" a="1"/>
  <c r="CH43" i="13"/>
  <c r="DI43" i="13"/>
  <c r="D40" i="13"/>
  <c r="AN40" i="13" s="1"/>
  <c r="BX43" i="13"/>
  <c r="CT43" i="13"/>
  <c r="EC39" i="13"/>
  <c r="AB41" i="13"/>
  <c r="CE43" i="13"/>
  <c r="DK39" i="13"/>
  <c r="EJ39" i="13"/>
  <c r="EF43" i="13"/>
  <c r="CD40" i="13" a="1"/>
  <c r="CU43" i="13"/>
  <c r="DQ43" i="13"/>
  <c r="BY40" i="13" a="1"/>
  <c r="BY41" i="13" s="1"/>
  <c r="CF43" i="13"/>
  <c r="DG43" i="13"/>
  <c r="B40" i="13"/>
  <c r="D39" i="13"/>
  <c r="DH40" i="13" a="1"/>
  <c r="DH41" i="13" s="1"/>
  <c r="EM43" i="13"/>
  <c r="EI40" i="13" a="1"/>
  <c r="CF39" i="13"/>
  <c r="DJ39" i="13"/>
  <c r="ED40" i="13" a="1"/>
  <c r="CS43" i="13"/>
  <c r="DO43" i="13"/>
  <c r="BX40" i="13" a="1"/>
  <c r="BX40" i="13" s="1"/>
  <c r="CD43" i="13"/>
  <c r="CZ43" i="13"/>
  <c r="EI39" i="13"/>
  <c r="B39" i="13"/>
  <c r="CQ40" i="13" a="1"/>
  <c r="DP43" i="13"/>
  <c r="EL43" i="13"/>
  <c r="CG40" i="13" a="1"/>
  <c r="CG41" i="13" s="1"/>
  <c r="DA43" i="13"/>
  <c r="EB43" i="13"/>
  <c r="CB40" i="13" a="1"/>
  <c r="CB40" i="13" s="1"/>
  <c r="CQ43" i="13"/>
  <c r="DM43" i="13"/>
  <c r="AB40" i="13"/>
  <c r="CB43" i="13"/>
  <c r="CC43" i="13"/>
  <c r="DI39" i="13"/>
  <c r="EH39" i="13"/>
  <c r="F42" i="13"/>
  <c r="CQ39" i="13"/>
  <c r="DP39" i="13"/>
  <c r="EG40" i="13" a="1"/>
  <c r="CB39" i="13"/>
  <c r="CX39" i="13"/>
  <c r="EB40" i="13" a="1"/>
  <c r="EB41" i="13" s="1"/>
  <c r="C39" i="13"/>
  <c r="CN39" i="13"/>
  <c r="CV42" i="13"/>
  <c r="DP42" i="13"/>
  <c r="BZ42" i="13"/>
  <c r="DM42" i="13"/>
  <c r="EG42" i="13"/>
  <c r="CQ42" i="13"/>
  <c r="DO42" i="13"/>
  <c r="EM42" i="13"/>
  <c r="CW42" i="13"/>
  <c r="DS42" i="13"/>
  <c r="BY42" i="13"/>
  <c r="DA42" i="13"/>
  <c r="DZ42" i="13"/>
  <c r="EH42" i="13"/>
  <c r="CE42" i="13"/>
  <c r="DH42" i="13"/>
  <c r="ED42" i="13"/>
  <c r="CA42" i="13"/>
  <c r="CY42" i="13"/>
  <c r="EB42" i="13"/>
  <c r="CC42" i="13"/>
  <c r="DJ42" i="13"/>
  <c r="EF42" i="13"/>
  <c r="CG42" i="13"/>
  <c r="DN42" i="13"/>
  <c r="BX42" i="13"/>
  <c r="CP43" i="13"/>
  <c r="DQ39" i="13"/>
  <c r="G40" i="13"/>
  <c r="CA43" i="13"/>
  <c r="DG39" i="13"/>
  <c r="EF39" i="13"/>
  <c r="CO40" i="13" a="1"/>
  <c r="CO40" i="13" s="1"/>
  <c r="DL43" i="13"/>
  <c r="EH43" i="13"/>
  <c r="CE40" i="13" a="1"/>
  <c r="CE41" i="13" s="1"/>
  <c r="CW43" i="13"/>
  <c r="CX43" i="13"/>
  <c r="EG39" i="13"/>
  <c r="G42" i="13"/>
  <c r="CN43" i="13"/>
  <c r="DO39" i="13"/>
  <c r="E40" i="13"/>
  <c r="AH41" i="13" s="1"/>
  <c r="CS40" i="13" a="1"/>
  <c r="CS41" i="13" s="1"/>
  <c r="DT43" i="13"/>
  <c r="C38" i="13"/>
  <c r="CN40" i="13" a="1"/>
  <c r="DJ43" i="13"/>
  <c r="DK43" i="13"/>
  <c r="F40" i="13"/>
  <c r="AX42" i="13" s="1"/>
  <c r="BZ43" i="13"/>
  <c r="CV43" i="13"/>
  <c r="EE39" i="13"/>
  <c r="E42" i="13"/>
  <c r="CG43" i="13"/>
  <c r="DM39" i="13"/>
  <c r="C40" i="13"/>
  <c r="AB43" i="13"/>
  <c r="CU39" i="13"/>
  <c r="EB39" i="13"/>
  <c r="EA40" i="13" a="1"/>
  <c r="EA41" i="13" s="1"/>
  <c r="CH38" i="13"/>
  <c r="CG39" i="13"/>
  <c r="DN40" i="13" a="1"/>
  <c r="DN40" i="13" s="1"/>
  <c r="BX38" i="13"/>
  <c r="AB39" i="13"/>
  <c r="DI40" i="13" a="1"/>
  <c r="B38" i="13"/>
  <c r="CC38" i="13"/>
  <c r="CV40" i="13" a="1"/>
  <c r="EE43" i="13"/>
  <c r="I38" i="13"/>
  <c r="S41" i="13" s="1"/>
  <c r="EE40" i="13" a="1"/>
  <c r="BX39" i="13"/>
  <c r="CT39" i="13"/>
  <c r="DZ40" i="13" a="1"/>
  <c r="DZ41" i="13" s="1"/>
  <c r="CF38" i="13"/>
  <c r="CE39" i="13"/>
  <c r="DM40" i="13" a="1"/>
  <c r="J38" i="13"/>
  <c r="M41" i="13" s="1"/>
  <c r="CR43" i="13"/>
  <c r="EA39" i="13"/>
  <c r="CA38" i="13"/>
  <c r="CH40" i="13" a="1"/>
  <c r="CH41" i="13" s="1"/>
  <c r="DH43" i="13"/>
  <c r="ED43" i="13"/>
  <c r="CC40" i="13" a="1"/>
  <c r="CR39" i="13"/>
  <c r="DQ40" i="13" a="1"/>
  <c r="DQ40" i="13" s="1"/>
  <c r="CD38" i="13"/>
  <c r="CC39" i="13"/>
  <c r="DL40" i="13" a="1"/>
  <c r="DL40" i="13" s="1"/>
  <c r="H38" i="13"/>
  <c r="AB42" i="13"/>
  <c r="CS39" i="13"/>
  <c r="DZ39" i="13"/>
  <c r="EH40" i="13" a="1"/>
  <c r="CD39" i="13"/>
  <c r="DH39" i="13"/>
  <c r="EC40" i="13" a="1"/>
  <c r="EC41" i="13" s="1"/>
  <c r="E39" i="13"/>
  <c r="CP39" i="13"/>
  <c r="DP40" i="13" a="1"/>
  <c r="CB38" i="13"/>
  <c r="CA39" i="13"/>
  <c r="CU40" i="13" a="1"/>
  <c r="EC43" i="13"/>
  <c r="G38" i="13"/>
  <c r="L40" i="13" s="1"/>
  <c r="CP40" i="13" a="1"/>
  <c r="CP40" i="13" s="1"/>
  <c r="DN43" i="13"/>
  <c r="EJ43" i="13"/>
  <c r="CF40" i="13" a="1"/>
  <c r="CF41" i="13" s="1"/>
  <c r="CY43" i="13"/>
  <c r="DZ43" i="13"/>
  <c r="CA40" i="13" a="1"/>
  <c r="CO43" i="13"/>
  <c r="DQ42" i="13"/>
  <c r="EK42" i="13"/>
  <c r="CU42" i="13"/>
  <c r="EL42" i="13"/>
  <c r="CR42" i="13"/>
  <c r="DL42" i="13"/>
  <c r="EJ42" i="13"/>
  <c r="CP42" i="13"/>
  <c r="DR42" i="13"/>
  <c r="CB42" i="13"/>
  <c r="CT42" i="13"/>
  <c r="EA42" i="13"/>
  <c r="CF42" i="13"/>
  <c r="CN42" i="13"/>
  <c r="DI42" i="13"/>
  <c r="EC42" i="13"/>
  <c r="CH42" i="13"/>
  <c r="CZ42" i="13"/>
  <c r="DT42" i="13"/>
  <c r="CD42" i="13"/>
  <c r="CX42" i="13"/>
  <c r="EE42" i="13"/>
  <c r="CO42" i="13"/>
  <c r="DK42" i="13"/>
  <c r="EI42" i="13"/>
  <c r="CS42" i="13"/>
  <c r="DG42" i="13"/>
  <c r="C60" i="14"/>
  <c r="D60" i="14"/>
  <c r="B60" i="14"/>
  <c r="P17" i="16"/>
  <c r="T17" i="16"/>
  <c r="M17" i="16"/>
  <c r="Q17" i="16"/>
  <c r="J17" i="16"/>
  <c r="N17" i="16"/>
  <c r="R17" i="16"/>
  <c r="K17" i="16"/>
  <c r="O17" i="16"/>
  <c r="S17" i="16"/>
  <c r="L17" i="16"/>
  <c r="Q8" i="16"/>
  <c r="K8" i="16"/>
  <c r="N8" i="16"/>
  <c r="R8" i="16"/>
  <c r="P8" i="16"/>
  <c r="J8" i="16"/>
  <c r="S8" i="16"/>
  <c r="L8" i="16"/>
  <c r="O8" i="16"/>
  <c r="T8" i="16"/>
  <c r="M8" i="16"/>
  <c r="B62" i="14"/>
  <c r="C62" i="14"/>
  <c r="D62" i="14"/>
  <c r="J20" i="16"/>
  <c r="N20" i="16"/>
  <c r="S20" i="16"/>
  <c r="K20" i="16"/>
  <c r="O20" i="16"/>
  <c r="M20" i="16"/>
  <c r="R20" i="16"/>
  <c r="P20" i="16"/>
  <c r="T20" i="16"/>
  <c r="L20" i="16"/>
  <c r="Q20" i="16"/>
  <c r="M22" i="16"/>
  <c r="R22" i="16"/>
  <c r="J22" i="16"/>
  <c r="N22" i="16"/>
  <c r="L22" i="16"/>
  <c r="Q22" i="16"/>
  <c r="O22" i="16"/>
  <c r="S22" i="16"/>
  <c r="K22" i="16"/>
  <c r="P22" i="16"/>
  <c r="T22" i="16"/>
  <c r="N11" i="19"/>
  <c r="R11" i="19"/>
  <c r="K11" i="19"/>
  <c r="O11" i="19"/>
  <c r="S11" i="19"/>
  <c r="L11" i="19"/>
  <c r="P11" i="19"/>
  <c r="T11" i="19"/>
  <c r="M11" i="19"/>
  <c r="Q11" i="19"/>
  <c r="J11" i="19"/>
  <c r="P10" i="8"/>
  <c r="M10" i="8"/>
  <c r="Q10" i="8"/>
  <c r="T10" i="8"/>
  <c r="O10" i="8"/>
  <c r="R10" i="8"/>
  <c r="K10" i="8"/>
  <c r="S10" i="8"/>
  <c r="N10" i="8"/>
  <c r="L10" i="8"/>
  <c r="J10" i="8"/>
  <c r="P21" i="19"/>
  <c r="T21" i="19"/>
  <c r="M21" i="19"/>
  <c r="Q21" i="19"/>
  <c r="J21" i="19"/>
  <c r="N21" i="19"/>
  <c r="R21" i="19"/>
  <c r="K21" i="19"/>
  <c r="O21" i="19"/>
  <c r="S21" i="19"/>
  <c r="L21" i="19"/>
  <c r="J9" i="16"/>
  <c r="N9" i="16"/>
  <c r="R9" i="16"/>
  <c r="K9" i="16"/>
  <c r="O9" i="16"/>
  <c r="S9" i="16"/>
  <c r="L9" i="16"/>
  <c r="P9" i="16"/>
  <c r="T9" i="16"/>
  <c r="M9" i="16"/>
  <c r="Q9" i="16"/>
  <c r="K13" i="16"/>
  <c r="L13" i="16"/>
  <c r="P13" i="16"/>
  <c r="T13" i="16"/>
  <c r="M13" i="16"/>
  <c r="Q13" i="16"/>
  <c r="O13" i="16"/>
  <c r="S13" i="16"/>
  <c r="J13" i="16"/>
  <c r="R13" i="16"/>
  <c r="N13" i="16"/>
  <c r="Q14" i="8"/>
  <c r="O14" i="8"/>
  <c r="S14" i="8"/>
  <c r="K14" i="8"/>
  <c r="P14" i="8"/>
  <c r="T14" i="8"/>
  <c r="M14" i="8"/>
  <c r="R14" i="8"/>
  <c r="J14" i="8"/>
  <c r="N14" i="8"/>
  <c r="L14" i="8"/>
  <c r="N20" i="8"/>
  <c r="Q20" i="8"/>
  <c r="J20" i="8"/>
  <c r="S20" i="8"/>
  <c r="M20" i="8"/>
  <c r="K20" i="8"/>
  <c r="O20" i="8"/>
  <c r="R20" i="8"/>
  <c r="L20" i="8"/>
  <c r="P20" i="8"/>
  <c r="T20" i="8"/>
  <c r="K13" i="19"/>
  <c r="O13" i="19"/>
  <c r="S13" i="19"/>
  <c r="L13" i="19"/>
  <c r="P13" i="19"/>
  <c r="T13" i="19"/>
  <c r="M13" i="19"/>
  <c r="Q13" i="19"/>
  <c r="J13" i="19"/>
  <c r="N13" i="19"/>
  <c r="R13" i="19"/>
  <c r="D59" i="14"/>
  <c r="B59" i="14"/>
  <c r="C59" i="14"/>
  <c r="BS50" i="13"/>
  <c r="BS54" i="13"/>
  <c r="BS53" i="13"/>
  <c r="BS52" i="13"/>
  <c r="BS51" i="13"/>
  <c r="BS55" i="13"/>
  <c r="CT55" i="13"/>
  <c r="EC51" i="13"/>
  <c r="AB55" i="13"/>
  <c r="CU51" i="13"/>
  <c r="ED51" i="13"/>
  <c r="EJ51" i="13"/>
  <c r="EI52" i="13" a="1"/>
  <c r="EI53" i="13" s="1"/>
  <c r="CF51" i="13"/>
  <c r="DZ52" i="13" a="1"/>
  <c r="CF50" i="13"/>
  <c r="EJ55" i="13"/>
  <c r="CF52" i="13" a="1"/>
  <c r="DM55" i="13"/>
  <c r="AB52" i="13"/>
  <c r="CD55" i="13"/>
  <c r="CO55" i="13"/>
  <c r="CX55" i="13"/>
  <c r="EG51" i="13"/>
  <c r="CA55" i="13"/>
  <c r="DG51" i="13"/>
  <c r="EH51" i="13"/>
  <c r="E52" i="13"/>
  <c r="AL53" i="13" s="1"/>
  <c r="CO51" i="13"/>
  <c r="EB52" i="13" a="1"/>
  <c r="EB52" i="13" s="1"/>
  <c r="C51" i="13"/>
  <c r="CP51" i="13"/>
  <c r="CV51" i="13"/>
  <c r="DO52" i="13" a="1"/>
  <c r="BZ50" i="13"/>
  <c r="CX52" i="13" a="1"/>
  <c r="CX52" i="13" s="1"/>
  <c r="EI55" i="13"/>
  <c r="BY50" i="13"/>
  <c r="CE50" i="13"/>
  <c r="CS52" i="13" a="1"/>
  <c r="CS53" i="13" s="1"/>
  <c r="EH55" i="13"/>
  <c r="CE52" i="13" a="1"/>
  <c r="CY55" i="13"/>
  <c r="DJ55" i="13"/>
  <c r="DS55" i="13"/>
  <c r="BZ52" i="13" a="1"/>
  <c r="CV55" i="13"/>
  <c r="EE51" i="13"/>
  <c r="G54" i="13"/>
  <c r="BX55" i="13"/>
  <c r="CG55" i="13"/>
  <c r="DM51" i="13"/>
  <c r="EJ52" i="13" a="1"/>
  <c r="EJ53" i="13" s="1"/>
  <c r="CH51" i="13"/>
  <c r="DN51" i="13"/>
  <c r="EB51" i="13"/>
  <c r="EE52" i="13" a="1"/>
  <c r="BX51" i="13"/>
  <c r="DN52" i="13" a="1"/>
  <c r="BX50" i="13"/>
  <c r="BY51" i="13"/>
  <c r="CE51" i="13"/>
  <c r="CS55" i="13"/>
  <c r="DG55" i="13"/>
  <c r="B52" i="13"/>
  <c r="CE55" i="13"/>
  <c r="DK51" i="13"/>
  <c r="C52" i="13"/>
  <c r="AN51" i="13" s="1"/>
  <c r="CA50" i="13"/>
  <c r="CQ52" i="13" a="1"/>
  <c r="CQ52" i="13" s="1"/>
  <c r="ED55" i="13"/>
  <c r="CC52" i="13" a="1"/>
  <c r="CC53" i="13" s="1"/>
  <c r="CT51" i="13"/>
  <c r="DH51" i="13"/>
  <c r="DQ52" i="13" a="1"/>
  <c r="CD50" i="13"/>
  <c r="DH52" i="13" a="1"/>
  <c r="EM55" i="13"/>
  <c r="CC50" i="13"/>
  <c r="CC55" i="13"/>
  <c r="DI51" i="13"/>
  <c r="EH52" i="13" a="1"/>
  <c r="CD51" i="13"/>
  <c r="DJ51" i="13"/>
  <c r="DP51" i="13"/>
  <c r="EC52" i="13" a="1"/>
  <c r="EC52" i="13" s="1"/>
  <c r="E51" i="13"/>
  <c r="DL52" i="13" a="1"/>
  <c r="DL53" i="13" s="1"/>
  <c r="H50" i="13"/>
  <c r="CB55" i="13"/>
  <c r="CP55" i="13"/>
  <c r="DQ51" i="13"/>
  <c r="F54" i="13"/>
  <c r="CQ51" i="13"/>
  <c r="DZ51" i="13"/>
  <c r="EF51" i="13"/>
  <c r="DS54" i="13"/>
  <c r="BY54" i="13"/>
  <c r="DA54" i="13"/>
  <c r="EJ54" i="13"/>
  <c r="CP54" i="13"/>
  <c r="DR54" i="13"/>
  <c r="CB54" i="13"/>
  <c r="CZ54" i="13"/>
  <c r="DT54" i="13"/>
  <c r="CD54" i="13"/>
  <c r="DI54" i="13"/>
  <c r="EC54" i="13"/>
  <c r="CH54" i="13"/>
  <c r="EF54" i="13"/>
  <c r="CG54" i="13"/>
  <c r="DN54" i="13"/>
  <c r="BX54" i="13"/>
  <c r="CX54" i="13"/>
  <c r="EE54" i="13"/>
  <c r="CO54" i="13"/>
  <c r="DM54" i="13"/>
  <c r="EG54" i="13"/>
  <c r="CQ54" i="13"/>
  <c r="CV54" i="13"/>
  <c r="DP54" i="13"/>
  <c r="BZ54" i="13"/>
  <c r="DZ54" i="13"/>
  <c r="DI52" i="13" a="1"/>
  <c r="DI52" i="13" s="1"/>
  <c r="B50" i="13"/>
  <c r="CR52" i="13" a="1"/>
  <c r="CR53" i="13" s="1"/>
  <c r="DT55" i="13"/>
  <c r="C50" i="13"/>
  <c r="I50" i="13"/>
  <c r="T54" i="13" s="1"/>
  <c r="CH52" i="13" a="1"/>
  <c r="CH53" i="13" s="1"/>
  <c r="DQ55" i="13"/>
  <c r="BY52" i="13" a="1"/>
  <c r="BY53" i="13" s="1"/>
  <c r="CH55" i="13"/>
  <c r="EG52" i="13" a="1"/>
  <c r="EG52" i="13" s="1"/>
  <c r="CB51" i="13"/>
  <c r="DP52" i="13" a="1"/>
  <c r="DP53" i="13" s="1"/>
  <c r="CB50" i="13"/>
  <c r="CC51" i="13"/>
  <c r="CN51" i="13"/>
  <c r="DK52" i="13" a="1"/>
  <c r="DK52" i="13" s="1"/>
  <c r="F50" i="13"/>
  <c r="CT52" i="13" a="1"/>
  <c r="EC55" i="13"/>
  <c r="G50" i="13"/>
  <c r="AC52" i="13" s="1"/>
  <c r="CO52" i="13" a="1"/>
  <c r="CO52" i="13" s="1"/>
  <c r="DZ55" i="13"/>
  <c r="CA52" i="13" a="1"/>
  <c r="CQ55" i="13"/>
  <c r="CW55" i="13"/>
  <c r="DK55" i="13"/>
  <c r="F52" i="13"/>
  <c r="AJ54" i="13" s="1"/>
  <c r="CN55" i="13"/>
  <c r="DO51" i="13"/>
  <c r="G52" i="13"/>
  <c r="AO55" i="13" s="1"/>
  <c r="E54" i="13"/>
  <c r="BY55" i="13"/>
  <c r="CW51" i="13"/>
  <c r="EF52" i="13" a="1"/>
  <c r="BZ51" i="13"/>
  <c r="CX51" i="13"/>
  <c r="DL51" i="13"/>
  <c r="EA52" i="13" a="1"/>
  <c r="EA52" i="13" s="1"/>
  <c r="CH50" i="13"/>
  <c r="DJ52" i="13" a="1"/>
  <c r="DJ52" i="13" s="1"/>
  <c r="D50" i="13"/>
  <c r="CG50" i="13"/>
  <c r="AB51" i="13"/>
  <c r="CW52" i="13" a="1"/>
  <c r="CW52" i="13" s="1"/>
  <c r="EG55" i="13"/>
  <c r="CN52" i="13" a="1"/>
  <c r="CN52" i="13" s="1"/>
  <c r="DL55" i="13"/>
  <c r="DR55" i="13"/>
  <c r="EF55" i="13"/>
  <c r="CD52" i="13" a="1"/>
  <c r="DI55" i="13"/>
  <c r="D52" i="13"/>
  <c r="AL52" i="13" s="1"/>
  <c r="BZ55" i="13"/>
  <c r="CF55" i="13"/>
  <c r="CG51" i="13"/>
  <c r="CR51" i="13"/>
  <c r="DM52" i="13" a="1"/>
  <c r="DM52" i="13" s="1"/>
  <c r="J50" i="13"/>
  <c r="CV52" i="13" a="1"/>
  <c r="EE55" i="13"/>
  <c r="AB50" i="13"/>
  <c r="AB54" i="13"/>
  <c r="CS51" i="13"/>
  <c r="ED52" i="13" a="1"/>
  <c r="ED52" i="13" s="1"/>
  <c r="CU55" i="13"/>
  <c r="DA55" i="13"/>
  <c r="DO55" i="13"/>
  <c r="BX52" i="13" a="1"/>
  <c r="BX52" i="13" s="1"/>
  <c r="CR55" i="13"/>
  <c r="EA51" i="13"/>
  <c r="AB53" i="13"/>
  <c r="B51" i="13"/>
  <c r="CU52" i="13" a="1"/>
  <c r="EL55" i="13"/>
  <c r="CG52" i="13" a="1"/>
  <c r="DH55" i="13"/>
  <c r="DN55" i="13"/>
  <c r="EB55" i="13"/>
  <c r="CB52" i="13" a="1"/>
  <c r="CZ55" i="13"/>
  <c r="EI51" i="13"/>
  <c r="D51" i="13"/>
  <c r="CA51" i="13"/>
  <c r="DG52" i="13" a="1"/>
  <c r="DG53" i="13" s="1"/>
  <c r="EK55" i="13"/>
  <c r="CP52" i="13" a="1"/>
  <c r="CP52" i="13" s="1"/>
  <c r="DP55" i="13"/>
  <c r="EA55" i="13"/>
  <c r="E50" i="13"/>
  <c r="AC50" i="13" s="1"/>
  <c r="CT54" i="13"/>
  <c r="EA54" i="13"/>
  <c r="CF54" i="13"/>
  <c r="DO54" i="13"/>
  <c r="EM54" i="13"/>
  <c r="CW54" i="13"/>
  <c r="ED54" i="13"/>
  <c r="CA54" i="13"/>
  <c r="CY54" i="13"/>
  <c r="EH54" i="13"/>
  <c r="CE54" i="13"/>
  <c r="DH54" i="13"/>
  <c r="CN54" i="13"/>
  <c r="DK54" i="13"/>
  <c r="EI54" i="13"/>
  <c r="CS54" i="13"/>
  <c r="EB54" i="13"/>
  <c r="CC54" i="13"/>
  <c r="DJ54" i="13"/>
  <c r="EL54" i="13"/>
  <c r="CR54" i="13"/>
  <c r="DL54" i="13"/>
  <c r="DQ54" i="13"/>
  <c r="EK54" i="13"/>
  <c r="CU54" i="13"/>
  <c r="DG54" i="13"/>
  <c r="O2" i="2"/>
  <c r="R2" i="2" s="1"/>
  <c r="BS20" i="13"/>
  <c r="BS24" i="13"/>
  <c r="BS23" i="13"/>
  <c r="BS22" i="13"/>
  <c r="BS21" i="13"/>
  <c r="BS25" i="13"/>
  <c r="AB23" i="13"/>
  <c r="CC25" i="13"/>
  <c r="DI21" i="13"/>
  <c r="EJ21" i="13"/>
  <c r="F24" i="13"/>
  <c r="DP25" i="13"/>
  <c r="EJ25" i="13"/>
  <c r="CF22" i="13" a="1"/>
  <c r="DA25" i="13"/>
  <c r="DZ25" i="13"/>
  <c r="CA22" i="13" a="1"/>
  <c r="CQ25" i="13"/>
  <c r="F22" i="13"/>
  <c r="AE24" i="13" s="1"/>
  <c r="CV25" i="13"/>
  <c r="CG20" i="13"/>
  <c r="EI25" i="13"/>
  <c r="EE22" i="13" a="1"/>
  <c r="CV21" i="13"/>
  <c r="CH25" i="13"/>
  <c r="B22" i="13"/>
  <c r="BR20" i="13" s="1"/>
  <c r="CR25" i="13"/>
  <c r="DM25" i="13"/>
  <c r="AB25" i="13"/>
  <c r="DT25" i="13"/>
  <c r="C20" i="13"/>
  <c r="CH22" i="13" a="1"/>
  <c r="CH23" i="13" s="1"/>
  <c r="DJ25" i="13"/>
  <c r="ED25" i="13"/>
  <c r="CC22" i="13" a="1"/>
  <c r="CT21" i="13"/>
  <c r="DQ22" i="13" a="1"/>
  <c r="DQ23" i="13" s="1"/>
  <c r="CD20" i="13"/>
  <c r="CE21" i="13"/>
  <c r="DL22" i="13" a="1"/>
  <c r="DL23" i="13" s="1"/>
  <c r="CB20" i="13"/>
  <c r="AB24" i="13"/>
  <c r="EB21" i="13"/>
  <c r="DH25" i="13"/>
  <c r="CB22" i="13" a="1"/>
  <c r="CB22" i="13" s="1"/>
  <c r="D21" i="13"/>
  <c r="EM25" i="13"/>
  <c r="CT22" i="13" a="1"/>
  <c r="CT23" i="13" s="1"/>
  <c r="CO21" i="13"/>
  <c r="EF22" i="13" a="1"/>
  <c r="DP22" i="13" a="1"/>
  <c r="DP22" i="13" s="1"/>
  <c r="CU21" i="13"/>
  <c r="CY25" i="13"/>
  <c r="DS25" i="13"/>
  <c r="BZ22" i="13" a="1"/>
  <c r="BZ22" i="13" s="1"/>
  <c r="CO25" i="13"/>
  <c r="DI25" i="13"/>
  <c r="D22" i="13"/>
  <c r="AK22" i="13" s="1"/>
  <c r="BY21" i="13"/>
  <c r="DI22" i="13" a="1"/>
  <c r="DI23" i="13" s="1"/>
  <c r="B20" i="13"/>
  <c r="CE20" i="13"/>
  <c r="CV22" i="13" a="1"/>
  <c r="CV23" i="13" s="1"/>
  <c r="DO21" i="13"/>
  <c r="DO22" i="13" a="1"/>
  <c r="DO22" i="13" s="1"/>
  <c r="CA21" i="13"/>
  <c r="G24" i="13"/>
  <c r="DM21" i="13"/>
  <c r="EF25" i="13"/>
  <c r="CW25" i="13"/>
  <c r="BY22" i="13" a="1"/>
  <c r="DM22" i="13" a="1"/>
  <c r="DM22" i="13" s="1"/>
  <c r="AB21" i="13"/>
  <c r="H20" i="13"/>
  <c r="S24" i="13" s="1"/>
  <c r="D20" i="13"/>
  <c r="CD25" i="13"/>
  <c r="CX25" i="13"/>
  <c r="EG21" i="13"/>
  <c r="B21" i="13"/>
  <c r="CC20" i="13"/>
  <c r="CU22" i="13" a="1"/>
  <c r="EE25" i="13"/>
  <c r="I20" i="13"/>
  <c r="P20" i="13" s="1"/>
  <c r="CP22" i="13" a="1"/>
  <c r="CP23" i="13" s="1"/>
  <c r="DZ21" i="13"/>
  <c r="EG22" i="13" a="1"/>
  <c r="CB21" i="13"/>
  <c r="DH21" i="13"/>
  <c r="EB22" i="13" a="1"/>
  <c r="EB23" i="13" s="1"/>
  <c r="BZ21" i="13"/>
  <c r="DK25" i="13"/>
  <c r="CB25" i="13"/>
  <c r="EE21" i="13"/>
  <c r="CW22" i="13" a="1"/>
  <c r="DN21" i="13"/>
  <c r="BX21" i="13"/>
  <c r="DZ22" i="13" a="1"/>
  <c r="DG25" i="13"/>
  <c r="BX25" i="13"/>
  <c r="EA21" i="13"/>
  <c r="CD21" i="13"/>
  <c r="CR22" i="13" a="1"/>
  <c r="ED21" i="13"/>
  <c r="EI22" i="13" a="1"/>
  <c r="EI23" i="13" s="1"/>
  <c r="CF21" i="13"/>
  <c r="DL21" i="13"/>
  <c r="ED22" i="13" a="1"/>
  <c r="CU25" i="13"/>
  <c r="DO25" i="13"/>
  <c r="BX22" i="13" a="1"/>
  <c r="BX23" i="13" s="1"/>
  <c r="CF25" i="13"/>
  <c r="CZ25" i="13"/>
  <c r="EI21" i="13"/>
  <c r="C22" i="13"/>
  <c r="AN21" i="13" s="1"/>
  <c r="CS21" i="13"/>
  <c r="EH22" i="13" a="1"/>
  <c r="EH22" i="13" s="1"/>
  <c r="EB25" i="13"/>
  <c r="CS25" i="13"/>
  <c r="DG22" i="13" a="1"/>
  <c r="DG23" i="13" s="1"/>
  <c r="CA20" i="13"/>
  <c r="EH21" i="13"/>
  <c r="DP21" i="13"/>
  <c r="CH21" i="13"/>
  <c r="CF20" i="13"/>
  <c r="CQ21" i="13"/>
  <c r="CX21" i="13"/>
  <c r="EA22" i="13" a="1"/>
  <c r="CH20" i="13"/>
  <c r="CN21" i="13"/>
  <c r="DN22" i="13" a="1"/>
  <c r="DN22" i="13" s="1"/>
  <c r="BZ25" i="13"/>
  <c r="CT25" i="13"/>
  <c r="EC21" i="13"/>
  <c r="E24" i="13"/>
  <c r="CE25" i="13"/>
  <c r="DK21" i="13"/>
  <c r="CP21" i="13"/>
  <c r="BZ20" i="13"/>
  <c r="DJ22" i="13" a="1"/>
  <c r="CG25" i="13"/>
  <c r="DL25" i="13"/>
  <c r="CD22" i="13" a="1"/>
  <c r="CD23" i="13" s="1"/>
  <c r="DQ25" i="13"/>
  <c r="CG21" i="13"/>
  <c r="J20" i="13"/>
  <c r="J23" i="13" s="1"/>
  <c r="DH22" i="13" a="1"/>
  <c r="DH22" i="13" s="1"/>
  <c r="AB22" i="13"/>
  <c r="BX20" i="13"/>
  <c r="CC21" i="13"/>
  <c r="DK22" i="13" a="1"/>
  <c r="F20" i="13"/>
  <c r="CN25" i="13"/>
  <c r="EK25" i="13"/>
  <c r="BY20" i="13"/>
  <c r="CS22" i="13" a="1"/>
  <c r="EA25" i="13"/>
  <c r="E20" i="13"/>
  <c r="AC20" i="13" s="1"/>
  <c r="CN22" i="13" a="1"/>
  <c r="EG25" i="13"/>
  <c r="CQ22" i="13" a="1"/>
  <c r="CQ22" i="13" s="1"/>
  <c r="EL25" i="13"/>
  <c r="DJ21" i="13"/>
  <c r="E21" i="13"/>
  <c r="DQ21" i="13"/>
  <c r="EC25" i="13"/>
  <c r="CO22" i="13" a="1"/>
  <c r="EH25" i="13"/>
  <c r="CR21" i="13"/>
  <c r="E22" i="13"/>
  <c r="DR24" i="13"/>
  <c r="CB24" i="13"/>
  <c r="CZ24" i="13"/>
  <c r="EI24" i="13"/>
  <c r="CS24" i="13"/>
  <c r="DQ24" i="13"/>
  <c r="EG24" i="13"/>
  <c r="CQ24" i="13"/>
  <c r="DO24" i="13"/>
  <c r="EK24" i="13"/>
  <c r="CU24" i="13"/>
  <c r="DS24" i="13"/>
  <c r="BY24" i="13"/>
  <c r="EE24" i="13"/>
  <c r="CO24" i="13"/>
  <c r="DM24" i="13"/>
  <c r="EA24" i="13"/>
  <c r="CF24" i="13"/>
  <c r="DI24" i="13"/>
  <c r="DT24" i="13"/>
  <c r="CD24" i="13"/>
  <c r="CX24" i="13"/>
  <c r="EC24" i="13"/>
  <c r="CH24" i="13"/>
  <c r="DK24" i="13"/>
  <c r="DZ24" i="13"/>
  <c r="CX22" i="13" a="1"/>
  <c r="CX22" i="13" s="1"/>
  <c r="G22" i="13"/>
  <c r="BY25" i="13"/>
  <c r="CW21" i="13"/>
  <c r="EF21" i="13"/>
  <c r="EJ22" i="13" a="1"/>
  <c r="DG21" i="13"/>
  <c r="AB20" i="13"/>
  <c r="DR25" i="13"/>
  <c r="CG22" i="13" a="1"/>
  <c r="EC22" i="13" a="1"/>
  <c r="CP25" i="13"/>
  <c r="CA25" i="13"/>
  <c r="G20" i="13"/>
  <c r="DN25" i="13"/>
  <c r="CE22" i="13" a="1"/>
  <c r="CE23" i="13" s="1"/>
  <c r="C21" i="13"/>
  <c r="EM24" i="13"/>
  <c r="CW24" i="13"/>
  <c r="ED24" i="13"/>
  <c r="CA24" i="13"/>
  <c r="DN24" i="13"/>
  <c r="BX24" i="13"/>
  <c r="CV24" i="13"/>
  <c r="DL24" i="13"/>
  <c r="EJ24" i="13"/>
  <c r="CP24" i="13"/>
  <c r="DP24" i="13"/>
  <c r="BZ24" i="13"/>
  <c r="CT24" i="13"/>
  <c r="DG24" i="13"/>
  <c r="DJ24" i="13"/>
  <c r="EL24" i="13"/>
  <c r="CR24" i="13"/>
  <c r="DA24" i="13"/>
  <c r="EH24" i="13"/>
  <c r="CE24" i="13"/>
  <c r="CY24" i="13"/>
  <c r="EB24" i="13"/>
  <c r="CC24" i="13"/>
  <c r="DH24" i="13"/>
  <c r="EF24" i="13"/>
  <c r="CG24" i="13"/>
  <c r="CN24" i="13"/>
  <c r="Q23" i="19"/>
  <c r="R23" i="19"/>
  <c r="J23" i="19"/>
  <c r="N23" i="19"/>
  <c r="K23" i="19"/>
  <c r="O23" i="19"/>
  <c r="P23" i="19"/>
  <c r="S23" i="19"/>
  <c r="L23" i="19"/>
  <c r="T23" i="19"/>
  <c r="M23" i="19"/>
  <c r="P12" i="16"/>
  <c r="T12" i="16"/>
  <c r="Q12" i="16"/>
  <c r="L12" i="16"/>
  <c r="J12" i="16"/>
  <c r="S12" i="16"/>
  <c r="N12" i="16"/>
  <c r="K12" i="16"/>
  <c r="O12" i="16"/>
  <c r="R12" i="16"/>
  <c r="M12" i="16"/>
  <c r="Q20" i="19"/>
  <c r="J20" i="19"/>
  <c r="M20" i="19"/>
  <c r="R20" i="19"/>
  <c r="K20" i="19"/>
  <c r="O20" i="19"/>
  <c r="T20" i="19"/>
  <c r="L20" i="19"/>
  <c r="P20" i="19"/>
  <c r="N20" i="19"/>
  <c r="S20" i="19"/>
  <c r="T18" i="19"/>
  <c r="R18" i="19"/>
  <c r="K18" i="19"/>
  <c r="N18" i="19"/>
  <c r="S18" i="19"/>
  <c r="L18" i="19"/>
  <c r="P18" i="19"/>
  <c r="J18" i="19"/>
  <c r="M18" i="19"/>
  <c r="Q18" i="19"/>
  <c r="O18" i="19"/>
  <c r="N16" i="16"/>
  <c r="L16" i="16"/>
  <c r="M16" i="16"/>
  <c r="O16" i="16"/>
  <c r="S16" i="16"/>
  <c r="K16" i="16"/>
  <c r="T16" i="16"/>
  <c r="Q16" i="16"/>
  <c r="P16" i="16"/>
  <c r="R16" i="16"/>
  <c r="J16" i="16"/>
  <c r="B61" i="14"/>
  <c r="C61" i="14"/>
  <c r="D61" i="14"/>
  <c r="O22" i="8"/>
  <c r="S22" i="8"/>
  <c r="M22" i="8"/>
  <c r="Q22" i="8"/>
  <c r="P22" i="8"/>
  <c r="R22" i="8"/>
  <c r="L22" i="8"/>
  <c r="J22" i="8"/>
  <c r="N22" i="8"/>
  <c r="K22" i="8"/>
  <c r="T22" i="8"/>
  <c r="BS32" i="13"/>
  <c r="BS36" i="13"/>
  <c r="BS35" i="13"/>
  <c r="BS34" i="13"/>
  <c r="BS33" i="13"/>
  <c r="BS37" i="13"/>
  <c r="EC37" i="13"/>
  <c r="G32" i="13"/>
  <c r="K37" i="13" s="1"/>
  <c r="CO33" i="13"/>
  <c r="DP33" i="13"/>
  <c r="EF34" i="13" a="1"/>
  <c r="BZ33" i="13"/>
  <c r="CP33" i="13"/>
  <c r="DO34" i="13" a="1"/>
  <c r="BZ32" i="13"/>
  <c r="CA33" i="13"/>
  <c r="DJ34" i="13" a="1"/>
  <c r="DJ35" i="13" s="1"/>
  <c r="D32" i="13"/>
  <c r="DQ34" i="13" a="1"/>
  <c r="CE33" i="13"/>
  <c r="H32" i="13"/>
  <c r="T35" i="13" s="1"/>
  <c r="CU34" i="13" a="1"/>
  <c r="I32" i="13"/>
  <c r="DP37" i="13"/>
  <c r="CF34" i="13" a="1"/>
  <c r="DZ37" i="13"/>
  <c r="CD37" i="13"/>
  <c r="DH37" i="13"/>
  <c r="EB37" i="13"/>
  <c r="CB34" i="13" a="1"/>
  <c r="CS37" i="13"/>
  <c r="DM37" i="13"/>
  <c r="AB34" i="13"/>
  <c r="D33" i="13"/>
  <c r="DG34" i="13" a="1"/>
  <c r="EM37" i="13"/>
  <c r="CA37" i="13"/>
  <c r="DG33" i="13"/>
  <c r="BY32" i="13"/>
  <c r="EA37" i="13"/>
  <c r="CN34" i="13" a="1"/>
  <c r="CN35" i="13" s="1"/>
  <c r="DS37" i="13"/>
  <c r="CO37" i="13"/>
  <c r="D34" i="13"/>
  <c r="AM34" i="13" s="1"/>
  <c r="CT37" i="13"/>
  <c r="E36" i="13"/>
  <c r="DK33" i="13"/>
  <c r="EI34" i="13" a="1"/>
  <c r="EI35" i="13" s="1"/>
  <c r="DL33" i="13"/>
  <c r="B33" i="13"/>
  <c r="CH37" i="13"/>
  <c r="DG37" i="13"/>
  <c r="B34" i="13"/>
  <c r="BX37" i="13"/>
  <c r="CR37" i="13"/>
  <c r="EA33" i="13"/>
  <c r="C34" i="13"/>
  <c r="AB36" i="13"/>
  <c r="CS33" i="13"/>
  <c r="EB33" i="13"/>
  <c r="EH34" i="13" a="1"/>
  <c r="CD33" i="13"/>
  <c r="DO37" i="13"/>
  <c r="CF37" i="13"/>
  <c r="EI33" i="13"/>
  <c r="CC37" i="13"/>
  <c r="EJ33" i="13"/>
  <c r="CQ33" i="13"/>
  <c r="EG34" i="13" a="1"/>
  <c r="DH33" i="13"/>
  <c r="C33" i="13"/>
  <c r="DK34" i="13" a="1"/>
  <c r="DK34" i="13" s="1"/>
  <c r="CG32" i="13"/>
  <c r="CW34" i="13" a="1"/>
  <c r="EI37" i="13"/>
  <c r="AB37" i="13"/>
  <c r="CU33" i="13"/>
  <c r="DN33" i="13"/>
  <c r="EE34" i="13" a="1"/>
  <c r="EE34" i="13" s="1"/>
  <c r="BX33" i="13"/>
  <c r="CV33" i="13"/>
  <c r="DZ34" i="13" a="1"/>
  <c r="CF32" i="13"/>
  <c r="BY37" i="13"/>
  <c r="EF33" i="13"/>
  <c r="CH33" i="13"/>
  <c r="EA34" i="13" a="1"/>
  <c r="CN33" i="13"/>
  <c r="BX32" i="13"/>
  <c r="DI34" i="13" a="1"/>
  <c r="CE32" i="13"/>
  <c r="DT37" i="13"/>
  <c r="CH34" i="13" a="1"/>
  <c r="EG33" i="13"/>
  <c r="CC34" i="13" a="1"/>
  <c r="CC35" i="13" s="1"/>
  <c r="CN37" i="13"/>
  <c r="EM36" i="13"/>
  <c r="EI36" i="13"/>
  <c r="CS36" i="13"/>
  <c r="DQ36" i="13"/>
  <c r="DJ36" i="13"/>
  <c r="CR36" i="13"/>
  <c r="DL36" i="13"/>
  <c r="EJ36" i="13"/>
  <c r="CP36" i="13"/>
  <c r="CZ36" i="13"/>
  <c r="DP36" i="13"/>
  <c r="BZ36" i="13"/>
  <c r="CT36" i="13"/>
  <c r="DZ36" i="13"/>
  <c r="EA36" i="13"/>
  <c r="CF36" i="13"/>
  <c r="DI36" i="13"/>
  <c r="CO36" i="13"/>
  <c r="DT36" i="13"/>
  <c r="CD36" i="13"/>
  <c r="CX36" i="13"/>
  <c r="CW36" i="13"/>
  <c r="CA36" i="13"/>
  <c r="DH36" i="13"/>
  <c r="EF36" i="13"/>
  <c r="CG36" i="13"/>
  <c r="DG36" i="13"/>
  <c r="EH33" i="13"/>
  <c r="CO34" i="13" a="1"/>
  <c r="DN37" i="13"/>
  <c r="EH37" i="13"/>
  <c r="CE34" i="13" a="1"/>
  <c r="CE35" i="13" s="1"/>
  <c r="CQ37" i="13"/>
  <c r="DK37" i="13"/>
  <c r="F34" i="13"/>
  <c r="CB37" i="13"/>
  <c r="CV37" i="13"/>
  <c r="EE33" i="13"/>
  <c r="CT33" i="13"/>
  <c r="CD32" i="13"/>
  <c r="DL34" i="13" a="1"/>
  <c r="DL35" i="13" s="1"/>
  <c r="CC32" i="13"/>
  <c r="EE37" i="13"/>
  <c r="CP34" i="13" a="1"/>
  <c r="CP34" i="13" s="1"/>
  <c r="EJ37" i="13"/>
  <c r="DA37" i="13"/>
  <c r="CA34" i="13" a="1"/>
  <c r="CX37" i="13"/>
  <c r="DJ33" i="13"/>
  <c r="EC34" i="13" a="1"/>
  <c r="E33" i="13"/>
  <c r="CR33" i="13"/>
  <c r="DP34" i="13" a="1"/>
  <c r="DP35" i="13" s="1"/>
  <c r="CB32" i="13"/>
  <c r="CP37" i="13"/>
  <c r="DQ33" i="13"/>
  <c r="CA32" i="13"/>
  <c r="CT34" i="13" a="1"/>
  <c r="EK37" i="13"/>
  <c r="CS34" i="13" a="1"/>
  <c r="CS34" i="13" s="1"/>
  <c r="E32" i="13"/>
  <c r="AC35" i="13" s="1"/>
  <c r="CY37" i="13"/>
  <c r="BZ34" i="13" a="1"/>
  <c r="DI37" i="13"/>
  <c r="BZ37" i="13"/>
  <c r="EC33" i="13"/>
  <c r="CE37" i="13"/>
  <c r="ED33" i="13"/>
  <c r="CF33" i="13"/>
  <c r="ED34" i="13" a="1"/>
  <c r="CX34" i="13" a="1"/>
  <c r="CG33" i="13"/>
  <c r="DM34" i="13" a="1"/>
  <c r="J32" i="13"/>
  <c r="AB33" i="13"/>
  <c r="DH34" i="13" a="1"/>
  <c r="DH35" i="13" s="1"/>
  <c r="EG37" i="13"/>
  <c r="AB32" i="13"/>
  <c r="CQ34" i="13" a="1"/>
  <c r="DR37" i="13"/>
  <c r="EL37" i="13"/>
  <c r="CG34" i="13" a="1"/>
  <c r="CG35" i="13" s="1"/>
  <c r="CU37" i="13"/>
  <c r="BX34" i="13" a="1"/>
  <c r="BX35" i="13" s="1"/>
  <c r="CZ37" i="13"/>
  <c r="AB35" i="13"/>
  <c r="DI33" i="13"/>
  <c r="F36" i="13"/>
  <c r="DZ33" i="13"/>
  <c r="CB33" i="13"/>
  <c r="EB34" i="13" a="1"/>
  <c r="CC33" i="13"/>
  <c r="G36" i="13"/>
  <c r="CG37" i="13"/>
  <c r="DM33" i="13"/>
  <c r="E34" i="13"/>
  <c r="AO35" i="13" s="1"/>
  <c r="CR34" i="13" a="1"/>
  <c r="CR34" i="13" s="1"/>
  <c r="DL37" i="13"/>
  <c r="EF37" i="13"/>
  <c r="CD34" i="13" a="1"/>
  <c r="CD35" i="13" s="1"/>
  <c r="CW37" i="13"/>
  <c r="DQ37" i="13"/>
  <c r="BY34" i="13" a="1"/>
  <c r="BY35" i="13" s="1"/>
  <c r="G34" i="13"/>
  <c r="AK37" i="13" s="1"/>
  <c r="CW33" i="13"/>
  <c r="EJ34" i="13" a="1"/>
  <c r="CX33" i="13"/>
  <c r="CH32" i="13"/>
  <c r="DN34" i="13" a="1"/>
  <c r="BY33" i="13"/>
  <c r="B32" i="13"/>
  <c r="CV34" i="13" a="1"/>
  <c r="CV34" i="13" s="1"/>
  <c r="C32" i="13"/>
  <c r="DJ37" i="13"/>
  <c r="ED37" i="13"/>
  <c r="F32" i="13"/>
  <c r="DO33" i="13"/>
  <c r="DR36" i="13"/>
  <c r="DN36" i="13"/>
  <c r="BX36" i="13"/>
  <c r="CV36" i="13"/>
  <c r="EL36" i="13"/>
  <c r="EG36" i="13"/>
  <c r="CQ36" i="13"/>
  <c r="DO36" i="13"/>
  <c r="CB36" i="13"/>
  <c r="EK36" i="13"/>
  <c r="CU36" i="13"/>
  <c r="DS36" i="13"/>
  <c r="BY36" i="13"/>
  <c r="EE36" i="13"/>
  <c r="DA36" i="13"/>
  <c r="EH36" i="13"/>
  <c r="CE36" i="13"/>
  <c r="DM36" i="13"/>
  <c r="CY36" i="13"/>
  <c r="EB36" i="13"/>
  <c r="CC36" i="13"/>
  <c r="ED36" i="13"/>
  <c r="EC36" i="13"/>
  <c r="CH36" i="13"/>
  <c r="DK36" i="13"/>
  <c r="CN36" i="13"/>
  <c r="BS44" i="13"/>
  <c r="BS48" i="13"/>
  <c r="BS47" i="13"/>
  <c r="BS46" i="13"/>
  <c r="BS45" i="13"/>
  <c r="BS49" i="13"/>
  <c r="CQ49" i="13"/>
  <c r="DK49" i="13"/>
  <c r="F46" i="13"/>
  <c r="AF48" i="13" s="1"/>
  <c r="CB49" i="13"/>
  <c r="CV49" i="13"/>
  <c r="EE45" i="13"/>
  <c r="G48" i="13"/>
  <c r="CG49" i="13"/>
  <c r="DM45" i="13"/>
  <c r="E46" i="13"/>
  <c r="CR46" i="13" a="1"/>
  <c r="CR47" i="13" s="1"/>
  <c r="CY49" i="13"/>
  <c r="DS49" i="13"/>
  <c r="BZ46" i="13" a="1"/>
  <c r="CO49" i="13"/>
  <c r="DI49" i="13"/>
  <c r="D46" i="13"/>
  <c r="BQ46" i="13" s="1"/>
  <c r="BZ49" i="13"/>
  <c r="CT49" i="13"/>
  <c r="EC45" i="13"/>
  <c r="E48" i="13"/>
  <c r="CE49" i="13"/>
  <c r="DK45" i="13"/>
  <c r="DN45" i="13"/>
  <c r="EE46" i="13" a="1"/>
  <c r="BX45" i="13"/>
  <c r="CV45" i="13"/>
  <c r="DZ46" i="13" a="1"/>
  <c r="DZ46" i="13" s="1"/>
  <c r="CF44" i="13"/>
  <c r="CG45" i="13"/>
  <c r="DM46" i="13" a="1"/>
  <c r="DM47" i="13" s="1"/>
  <c r="J44" i="13"/>
  <c r="AB45" i="13"/>
  <c r="DH46" i="13" a="1"/>
  <c r="DH47" i="13" s="1"/>
  <c r="DT49" i="13"/>
  <c r="C44" i="13"/>
  <c r="CH46" i="13" a="1"/>
  <c r="DJ49" i="13"/>
  <c r="ED49" i="13"/>
  <c r="CC46" i="13" a="1"/>
  <c r="CT45" i="13"/>
  <c r="DQ46" i="13" a="1"/>
  <c r="CD44" i="13"/>
  <c r="CE45" i="13"/>
  <c r="DL46" i="13" a="1"/>
  <c r="H44" i="13"/>
  <c r="C46" i="13"/>
  <c r="AE45" i="13" s="1"/>
  <c r="AB48" i="13"/>
  <c r="CS45" i="13"/>
  <c r="EB45" i="13"/>
  <c r="EH46" i="13" a="1"/>
  <c r="EH47" i="13" s="1"/>
  <c r="CD45" i="13"/>
  <c r="DJ45" i="13"/>
  <c r="EC46" i="13" a="1"/>
  <c r="E45" i="13"/>
  <c r="CR45" i="13"/>
  <c r="DP46" i="13" a="1"/>
  <c r="CB44" i="13"/>
  <c r="CC44" i="13"/>
  <c r="CU46" i="13" a="1"/>
  <c r="CU46" i="13" s="1"/>
  <c r="EE49" i="13"/>
  <c r="I44" i="13"/>
  <c r="CP46" i="13" a="1"/>
  <c r="CP47" i="13" s="1"/>
  <c r="DP49" i="13"/>
  <c r="EJ49" i="13"/>
  <c r="CF46" i="13" a="1"/>
  <c r="DA49" i="13"/>
  <c r="DZ49" i="13"/>
  <c r="CA46" i="13" a="1"/>
  <c r="D45" i="13"/>
  <c r="DG46" i="13" a="1"/>
  <c r="DG47" i="13" s="1"/>
  <c r="EM49" i="13"/>
  <c r="CA49" i="13"/>
  <c r="DG45" i="13"/>
  <c r="EH45" i="13"/>
  <c r="CO46" i="13" a="1"/>
  <c r="CO47" i="13" s="1"/>
  <c r="DN49" i="13"/>
  <c r="EH49" i="13"/>
  <c r="CE46" i="13" a="1"/>
  <c r="CE46" i="13" s="1"/>
  <c r="CD49" i="13"/>
  <c r="CX49" i="13"/>
  <c r="EG45" i="13"/>
  <c r="B45" i="13"/>
  <c r="CX46" i="13" a="1"/>
  <c r="CX46" i="13" s="1"/>
  <c r="EK49" i="13"/>
  <c r="BY44" i="13"/>
  <c r="CS46" i="13" a="1"/>
  <c r="CS46" i="13" s="1"/>
  <c r="EA49" i="13"/>
  <c r="E44" i="13"/>
  <c r="AC47" i="13" s="1"/>
  <c r="CN46" i="13" a="1"/>
  <c r="EK48" i="13"/>
  <c r="DL48" i="13"/>
  <c r="DR48" i="13"/>
  <c r="EA48" i="13"/>
  <c r="CH48" i="13"/>
  <c r="DK48" i="13"/>
  <c r="CQ48" i="13"/>
  <c r="CU48" i="13"/>
  <c r="DQ48" i="13"/>
  <c r="CW48" i="13"/>
  <c r="CC48" i="13"/>
  <c r="ED48" i="13"/>
  <c r="CA48" i="13"/>
  <c r="EC48" i="13"/>
  <c r="EG48" i="13"/>
  <c r="CY48" i="13"/>
  <c r="DN48" i="13"/>
  <c r="BZ48" i="13"/>
  <c r="CT48" i="13"/>
  <c r="DJ48" i="13"/>
  <c r="CP48" i="13"/>
  <c r="EH48" i="13"/>
  <c r="CE48" i="13"/>
  <c r="CX48" i="13"/>
  <c r="EL48" i="13"/>
  <c r="CR48" i="13"/>
  <c r="DZ48" i="13"/>
  <c r="CP45" i="13"/>
  <c r="DO46" i="13" a="1"/>
  <c r="DO46" i="13" s="1"/>
  <c r="BZ44" i="13"/>
  <c r="CA45" i="13"/>
  <c r="DJ46" i="13" a="1"/>
  <c r="DJ46" i="13" s="1"/>
  <c r="D44" i="13"/>
  <c r="CG44" i="13"/>
  <c r="CW46" i="13" a="1"/>
  <c r="EI49" i="13"/>
  <c r="AB49" i="13"/>
  <c r="CU45" i="13"/>
  <c r="CX45" i="13"/>
  <c r="EA46" i="13" a="1"/>
  <c r="CH44" i="13"/>
  <c r="CN45" i="13"/>
  <c r="DN46" i="13" a="1"/>
  <c r="BX44" i="13"/>
  <c r="BY45" i="13"/>
  <c r="DI46" i="13" a="1"/>
  <c r="DI46" i="13" s="1"/>
  <c r="B44" i="13"/>
  <c r="CE44" i="13"/>
  <c r="CV46" i="13" a="1"/>
  <c r="CV47" i="13" s="1"/>
  <c r="DL49" i="13"/>
  <c r="EF49" i="13"/>
  <c r="CD46" i="13" a="1"/>
  <c r="CW49" i="13"/>
  <c r="DQ49" i="13"/>
  <c r="BY46" i="13" a="1"/>
  <c r="CH49" i="13"/>
  <c r="DG49" i="13"/>
  <c r="B46" i="13"/>
  <c r="BX49" i="13"/>
  <c r="CR49" i="13"/>
  <c r="EA45" i="13"/>
  <c r="ED45" i="13"/>
  <c r="EI46" i="13" a="1"/>
  <c r="EI46" i="13" s="1"/>
  <c r="CF45" i="13"/>
  <c r="DL45" i="13"/>
  <c r="ED46" i="13" a="1"/>
  <c r="ED46" i="13" s="1"/>
  <c r="CU49" i="13"/>
  <c r="DO49" i="13"/>
  <c r="BX46" i="13" a="1"/>
  <c r="BX47" i="13" s="1"/>
  <c r="CF49" i="13"/>
  <c r="CZ49" i="13"/>
  <c r="EI45" i="13"/>
  <c r="EG49" i="13"/>
  <c r="AB44" i="13"/>
  <c r="CQ46" i="13" a="1"/>
  <c r="DR49" i="13"/>
  <c r="EL49" i="13"/>
  <c r="CG46" i="13" a="1"/>
  <c r="CG47" i="13" s="1"/>
  <c r="DH49" i="13"/>
  <c r="EB49" i="13"/>
  <c r="CB46" i="13" a="1"/>
  <c r="CB47" i="13" s="1"/>
  <c r="CS49" i="13"/>
  <c r="DM49" i="13"/>
  <c r="AB46" i="13"/>
  <c r="AB47" i="13"/>
  <c r="CC49" i="13"/>
  <c r="DI45" i="13"/>
  <c r="EJ45" i="13"/>
  <c r="F48" i="13"/>
  <c r="CQ45" i="13"/>
  <c r="DZ45" i="13"/>
  <c r="EG46" i="13" a="1"/>
  <c r="EG46" i="13" s="1"/>
  <c r="CB45" i="13"/>
  <c r="DH45" i="13"/>
  <c r="EB46" i="13" a="1"/>
  <c r="C45" i="13"/>
  <c r="CP49" i="13"/>
  <c r="DQ45" i="13"/>
  <c r="CA44" i="13"/>
  <c r="CT46" i="13" a="1"/>
  <c r="EC49" i="13"/>
  <c r="G44" i="13"/>
  <c r="CO45" i="13"/>
  <c r="DP45" i="13"/>
  <c r="EF46" i="13" a="1"/>
  <c r="EF47" i="13" s="1"/>
  <c r="BZ45" i="13"/>
  <c r="CC45" i="13"/>
  <c r="DK46" i="13" a="1"/>
  <c r="F44" i="13"/>
  <c r="CN49" i="13"/>
  <c r="DO45" i="13"/>
  <c r="G46" i="13"/>
  <c r="AF49" i="13" s="1"/>
  <c r="BY49" i="13"/>
  <c r="CW45" i="13"/>
  <c r="EF45" i="13"/>
  <c r="EJ46" i="13" a="1"/>
  <c r="CH45" i="13"/>
  <c r="DP48" i="13"/>
  <c r="EM48" i="13"/>
  <c r="DT48" i="13"/>
  <c r="DA48" i="13"/>
  <c r="EF48" i="13"/>
  <c r="CG48" i="13"/>
  <c r="DO48" i="13"/>
  <c r="BX48" i="13"/>
  <c r="CV48" i="13"/>
  <c r="EB48" i="13"/>
  <c r="CB48" i="13"/>
  <c r="CZ48" i="13"/>
  <c r="CN48" i="13"/>
  <c r="DH48" i="13"/>
  <c r="EE48" i="13"/>
  <c r="EI48" i="13"/>
  <c r="CS48" i="13"/>
  <c r="DS48" i="13"/>
  <c r="BY48" i="13"/>
  <c r="EJ48" i="13"/>
  <c r="CF48" i="13"/>
  <c r="DI48" i="13"/>
  <c r="CD48" i="13"/>
  <c r="CO48" i="13"/>
  <c r="DM48" i="13"/>
  <c r="DG48" i="13"/>
  <c r="Q14" i="19"/>
  <c r="O14" i="19"/>
  <c r="T14" i="19"/>
  <c r="M14" i="19"/>
  <c r="R14" i="19"/>
  <c r="J14" i="19"/>
  <c r="L14" i="19"/>
  <c r="K14" i="19"/>
  <c r="N14" i="19"/>
  <c r="S14" i="19"/>
  <c r="P14" i="19"/>
  <c r="J13" i="8"/>
  <c r="N13" i="8"/>
  <c r="R13" i="8"/>
  <c r="K13" i="8"/>
  <c r="O13" i="8"/>
  <c r="S13" i="8"/>
  <c r="L13" i="8"/>
  <c r="P13" i="8"/>
  <c r="T13" i="8"/>
  <c r="M13" i="8"/>
  <c r="Q13" i="8"/>
  <c r="P11" i="8"/>
  <c r="T11" i="8"/>
  <c r="M11" i="8"/>
  <c r="Q11" i="8"/>
  <c r="J11" i="8"/>
  <c r="N11" i="8"/>
  <c r="R11" i="8"/>
  <c r="K11" i="8"/>
  <c r="O11" i="8"/>
  <c r="S11" i="8"/>
  <c r="L11" i="8"/>
  <c r="L38" i="15"/>
  <c r="L30" i="15"/>
  <c r="L39" i="15"/>
  <c r="L33" i="15"/>
  <c r="L36" i="15"/>
  <c r="L18" i="15"/>
  <c r="L26" i="15"/>
  <c r="L23" i="15"/>
  <c r="L17" i="15"/>
  <c r="L28" i="15"/>
  <c r="L25" i="15"/>
  <c r="L22" i="15"/>
  <c r="L19" i="15"/>
  <c r="L27" i="15"/>
  <c r="L24" i="15"/>
  <c r="L21" i="15"/>
  <c r="L12" i="15"/>
  <c r="L16" i="15"/>
  <c r="L10" i="15"/>
  <c r="L3" i="15"/>
  <c r="L11" i="15"/>
  <c r="L9" i="15"/>
  <c r="L8" i="15"/>
  <c r="L6" i="15"/>
  <c r="L20" i="15"/>
  <c r="L14" i="15"/>
  <c r="L7" i="15"/>
  <c r="L5" i="15"/>
  <c r="L4" i="15"/>
  <c r="L15" i="15"/>
  <c r="L13" i="15"/>
  <c r="AE83" i="13"/>
  <c r="AK83" i="13"/>
  <c r="AM83" i="13"/>
  <c r="AS83" i="13"/>
  <c r="AU83" i="13"/>
  <c r="BA83" i="13"/>
  <c r="BC83" i="13"/>
  <c r="BI83" i="13"/>
  <c r="BK83" i="13"/>
  <c r="BQ83" i="13"/>
  <c r="AF83" i="13"/>
  <c r="AL83" i="13"/>
  <c r="AN83" i="13"/>
  <c r="AT83" i="13"/>
  <c r="AV83" i="13"/>
  <c r="BB83" i="13"/>
  <c r="BD83" i="13"/>
  <c r="BJ83" i="13"/>
  <c r="BL83" i="13"/>
  <c r="BR83" i="13"/>
  <c r="AL113" i="13"/>
  <c r="AN113" i="13"/>
  <c r="AE110" i="13"/>
  <c r="AM110" i="13"/>
  <c r="AO110" i="13"/>
  <c r="BA110" i="13"/>
  <c r="BE110" i="13"/>
  <c r="BI110" i="13"/>
  <c r="AF110" i="13"/>
  <c r="AH110" i="13"/>
  <c r="AP110" i="13"/>
  <c r="AX110" i="13"/>
  <c r="BD110" i="13"/>
  <c r="BJ110" i="13"/>
  <c r="AE111" i="13"/>
  <c r="AG111" i="13"/>
  <c r="AI111" i="13"/>
  <c r="AK111" i="13"/>
  <c r="AM111" i="13"/>
  <c r="AO111" i="13"/>
  <c r="AQ111" i="13"/>
  <c r="AS111" i="13"/>
  <c r="AU111" i="13"/>
  <c r="AW111" i="13"/>
  <c r="AY111" i="13"/>
  <c r="BA111" i="13"/>
  <c r="BC111" i="13"/>
  <c r="BE111" i="13"/>
  <c r="BG111" i="13"/>
  <c r="BI111" i="13"/>
  <c r="BK111" i="13"/>
  <c r="BM111" i="13"/>
  <c r="BO111" i="13"/>
  <c r="BQ111" i="13"/>
  <c r="AF111" i="13"/>
  <c r="AH111" i="13"/>
  <c r="AJ111" i="13"/>
  <c r="AL111" i="13"/>
  <c r="AN111" i="13"/>
  <c r="AP111" i="13"/>
  <c r="AR111" i="13"/>
  <c r="AT111" i="13"/>
  <c r="AV111" i="13"/>
  <c r="AX111" i="13"/>
  <c r="AZ111" i="13"/>
  <c r="BB111" i="13"/>
  <c r="BD111" i="13"/>
  <c r="BF111" i="13"/>
  <c r="BH111" i="13"/>
  <c r="BJ111" i="13"/>
  <c r="BL111" i="13"/>
  <c r="BN111" i="13"/>
  <c r="BP111" i="13"/>
  <c r="BR111" i="13"/>
  <c r="AE114" i="13"/>
  <c r="AG114" i="13"/>
  <c r="AK114" i="13"/>
  <c r="AU114" i="13"/>
  <c r="BA114" i="13"/>
  <c r="BE114" i="13"/>
  <c r="BM114" i="13"/>
  <c r="AH114" i="13"/>
  <c r="AL114" i="13"/>
  <c r="AV114" i="13"/>
  <c r="AX114" i="13"/>
  <c r="BD114" i="13"/>
  <c r="BN114" i="13"/>
  <c r="BR114" i="13"/>
  <c r="AL78" i="13"/>
  <c r="AP78" i="13"/>
  <c r="AX78" i="13"/>
  <c r="BB78" i="13"/>
  <c r="BL78" i="13"/>
  <c r="BR78" i="13"/>
  <c r="AE78" i="13"/>
  <c r="AO78" i="13"/>
  <c r="AS78" i="13"/>
  <c r="BA78" i="13"/>
  <c r="BI78" i="13"/>
  <c r="BM78" i="13"/>
  <c r="AF79" i="13"/>
  <c r="AP79" i="13"/>
  <c r="AT79" i="13"/>
  <c r="AE79" i="13"/>
  <c r="AQ79" i="13"/>
  <c r="AY79" i="13"/>
  <c r="BE79" i="13"/>
  <c r="BM79" i="13"/>
  <c r="AS79" i="13"/>
  <c r="AV79" i="13"/>
  <c r="BF79" i="13"/>
  <c r="BJ79" i="13"/>
  <c r="BN79" i="13"/>
  <c r="AF76" i="13"/>
  <c r="AH76" i="13"/>
  <c r="AJ76" i="13"/>
  <c r="AL76" i="13"/>
  <c r="AN76" i="13"/>
  <c r="AP76" i="13"/>
  <c r="AR76" i="13"/>
  <c r="AT76" i="13"/>
  <c r="AV76" i="13"/>
  <c r="AX76" i="13"/>
  <c r="AZ76" i="13"/>
  <c r="BB76" i="13"/>
  <c r="BD76" i="13"/>
  <c r="BF76" i="13"/>
  <c r="BH76" i="13"/>
  <c r="BJ76" i="13"/>
  <c r="BL76" i="13"/>
  <c r="BN76" i="13"/>
  <c r="BP76" i="13"/>
  <c r="BR76" i="13"/>
  <c r="AE76" i="13"/>
  <c r="AG76" i="13"/>
  <c r="AI76" i="13"/>
  <c r="AK76" i="13"/>
  <c r="AM76" i="13"/>
  <c r="AO76" i="13"/>
  <c r="AQ76" i="13"/>
  <c r="AS76" i="13"/>
  <c r="AU76" i="13"/>
  <c r="AW76" i="13"/>
  <c r="AY76" i="13"/>
  <c r="BA76" i="13"/>
  <c r="BC76" i="13"/>
  <c r="BE76" i="13"/>
  <c r="BG76" i="13"/>
  <c r="BI76" i="13"/>
  <c r="BK76" i="13"/>
  <c r="BM76" i="13"/>
  <c r="BO76" i="13"/>
  <c r="BQ76" i="13"/>
  <c r="AF74" i="13"/>
  <c r="AG74" i="13"/>
  <c r="AM74" i="13"/>
  <c r="AV75" i="13"/>
  <c r="AX75" i="13"/>
  <c r="BA75" i="13"/>
  <c r="BK75" i="13"/>
  <c r="BM99" i="13"/>
  <c r="BO99" i="13"/>
  <c r="BN99" i="13"/>
  <c r="BP99" i="13"/>
  <c r="AE106" i="13"/>
  <c r="AG106" i="13"/>
  <c r="AI106" i="13"/>
  <c r="AK106" i="13"/>
  <c r="AM106" i="13"/>
  <c r="AO106" i="13"/>
  <c r="AQ106" i="13"/>
  <c r="AS106" i="13"/>
  <c r="AU106" i="13"/>
  <c r="AW106" i="13"/>
  <c r="AY106" i="13"/>
  <c r="BA106" i="13"/>
  <c r="BC106" i="13"/>
  <c r="BE106" i="13"/>
  <c r="BG106" i="13"/>
  <c r="BI106" i="13"/>
  <c r="BK106" i="13"/>
  <c r="BM106" i="13"/>
  <c r="BO106" i="13"/>
  <c r="BQ106" i="13"/>
  <c r="AF106" i="13"/>
  <c r="AH106" i="13"/>
  <c r="AJ106" i="13"/>
  <c r="AL106" i="13"/>
  <c r="AN106" i="13"/>
  <c r="AP106" i="13"/>
  <c r="AR106" i="13"/>
  <c r="AT106" i="13"/>
  <c r="AV106" i="13"/>
  <c r="AX106" i="13"/>
  <c r="AZ106" i="13"/>
  <c r="BB106" i="13"/>
  <c r="BD106" i="13"/>
  <c r="BF106" i="13"/>
  <c r="BH106" i="13"/>
  <c r="BJ106" i="13"/>
  <c r="BL106" i="13"/>
  <c r="BN106" i="13"/>
  <c r="BP106" i="13"/>
  <c r="BR106" i="13"/>
  <c r="AE105" i="13"/>
  <c r="AG105" i="13"/>
  <c r="AI105" i="13"/>
  <c r="AK105" i="13"/>
  <c r="AM105" i="13"/>
  <c r="AO105" i="13"/>
  <c r="AQ105" i="13"/>
  <c r="AS105" i="13"/>
  <c r="AU105" i="13"/>
  <c r="AW105" i="13"/>
  <c r="AY105" i="13"/>
  <c r="BA105" i="13"/>
  <c r="BC105" i="13"/>
  <c r="BE105" i="13"/>
  <c r="BG105" i="13"/>
  <c r="BI105" i="13"/>
  <c r="BK105" i="13"/>
  <c r="BM105" i="13"/>
  <c r="BO105" i="13"/>
  <c r="BQ105" i="13"/>
  <c r="AF105" i="13"/>
  <c r="AH105" i="13"/>
  <c r="AJ105" i="13"/>
  <c r="AL105" i="13"/>
  <c r="AN105" i="13"/>
  <c r="AP105" i="13"/>
  <c r="AR105" i="13"/>
  <c r="AT105" i="13"/>
  <c r="AV105" i="13"/>
  <c r="AX105" i="13"/>
  <c r="AZ105" i="13"/>
  <c r="BB105" i="13"/>
  <c r="BD105" i="13"/>
  <c r="BF105" i="13"/>
  <c r="BH105" i="13"/>
  <c r="BJ105" i="13"/>
  <c r="BL105" i="13"/>
  <c r="BN105" i="13"/>
  <c r="BP105" i="13"/>
  <c r="BR105" i="13"/>
  <c r="AE109" i="13"/>
  <c r="AI109" i="13"/>
  <c r="AM109" i="13"/>
  <c r="AO109" i="13"/>
  <c r="AU109" i="13"/>
  <c r="AW109" i="13"/>
  <c r="AY109" i="13"/>
  <c r="BE109" i="13"/>
  <c r="BG109" i="13"/>
  <c r="BK109" i="13"/>
  <c r="BO109" i="13"/>
  <c r="AF109" i="13"/>
  <c r="AH109" i="13"/>
  <c r="AN109" i="13"/>
  <c r="AP109" i="13"/>
  <c r="AR109" i="13"/>
  <c r="AX109" i="13"/>
  <c r="AZ109" i="13"/>
  <c r="BD109" i="13"/>
  <c r="BH109" i="13"/>
  <c r="BL109" i="13"/>
  <c r="BN109" i="13"/>
  <c r="AP104" i="13"/>
  <c r="AR104" i="13"/>
  <c r="BK104" i="13"/>
  <c r="AG104" i="13"/>
  <c r="AI90" i="13"/>
  <c r="AE86" i="13"/>
  <c r="AG86" i="13"/>
  <c r="AM86" i="13"/>
  <c r="AO86" i="13"/>
  <c r="AU86" i="13"/>
  <c r="AW86" i="13"/>
  <c r="BC86" i="13"/>
  <c r="BE86" i="13"/>
  <c r="BK86" i="13"/>
  <c r="BM86" i="13"/>
  <c r="AF86" i="13"/>
  <c r="AH86" i="13"/>
  <c r="AN86" i="13"/>
  <c r="AP86" i="13"/>
  <c r="AV86" i="13"/>
  <c r="AX86" i="13"/>
  <c r="BD86" i="13"/>
  <c r="BF86" i="13"/>
  <c r="BL86" i="13"/>
  <c r="BN86" i="13"/>
  <c r="AE89" i="13"/>
  <c r="AG89" i="13"/>
  <c r="AM89" i="13"/>
  <c r="AO89" i="13"/>
  <c r="AU89" i="13"/>
  <c r="AW89" i="13"/>
  <c r="BC89" i="13"/>
  <c r="BE89" i="13"/>
  <c r="BK89" i="13"/>
  <c r="BM89" i="13"/>
  <c r="AF89" i="13"/>
  <c r="AH89" i="13"/>
  <c r="AN89" i="13"/>
  <c r="AP89" i="13"/>
  <c r="AV89" i="13"/>
  <c r="AX89" i="13"/>
  <c r="BD89" i="13"/>
  <c r="BF89" i="13"/>
  <c r="BL89" i="13"/>
  <c r="BN89" i="13"/>
  <c r="AE93" i="13"/>
  <c r="AG93" i="13"/>
  <c r="AI93" i="13"/>
  <c r="AK93" i="13"/>
  <c r="AM93" i="13"/>
  <c r="AO93" i="13"/>
  <c r="AQ93" i="13"/>
  <c r="AS93" i="13"/>
  <c r="AU93" i="13"/>
  <c r="AW93" i="13"/>
  <c r="AY93" i="13"/>
  <c r="BA93" i="13"/>
  <c r="BC93" i="13"/>
  <c r="BE93" i="13"/>
  <c r="BG93" i="13"/>
  <c r="BI93" i="13"/>
  <c r="BK93" i="13"/>
  <c r="BM93" i="13"/>
  <c r="BO93" i="13"/>
  <c r="BQ93" i="13"/>
  <c r="AF93" i="13"/>
  <c r="AH93" i="13"/>
  <c r="AJ93" i="13"/>
  <c r="AL93" i="13"/>
  <c r="AN93" i="13"/>
  <c r="AP93" i="13"/>
  <c r="AR93" i="13"/>
  <c r="AT93" i="13"/>
  <c r="AV93" i="13"/>
  <c r="AX93" i="13"/>
  <c r="AZ93" i="13"/>
  <c r="BB93" i="13"/>
  <c r="BD93" i="13"/>
  <c r="BF93" i="13"/>
  <c r="BH93" i="13"/>
  <c r="BJ93" i="13"/>
  <c r="BL93" i="13"/>
  <c r="BN93" i="13"/>
  <c r="BP93" i="13"/>
  <c r="BR93" i="13"/>
  <c r="AE96" i="13"/>
  <c r="AI96" i="13"/>
  <c r="BO96" i="13"/>
  <c r="AH96" i="13"/>
  <c r="BP96" i="13"/>
  <c r="AE62" i="13"/>
  <c r="AG62" i="13"/>
  <c r="AI62" i="13"/>
  <c r="AK62" i="13"/>
  <c r="AM62" i="13"/>
  <c r="AO62" i="13"/>
  <c r="AQ62" i="13"/>
  <c r="AS62" i="13"/>
  <c r="AU62" i="13"/>
  <c r="AW62" i="13"/>
  <c r="AY62" i="13"/>
  <c r="BA62" i="13"/>
  <c r="BC62" i="13"/>
  <c r="BE62" i="13"/>
  <c r="BG62" i="13"/>
  <c r="BI62" i="13"/>
  <c r="BK62" i="13"/>
  <c r="BM62" i="13"/>
  <c r="BO62" i="13"/>
  <c r="BQ62" i="13"/>
  <c r="AF62" i="13"/>
  <c r="AH62" i="13"/>
  <c r="AJ62" i="13"/>
  <c r="AL62" i="13"/>
  <c r="AN62" i="13"/>
  <c r="AP62" i="13"/>
  <c r="AR62" i="13"/>
  <c r="AT62" i="13"/>
  <c r="AV62" i="13"/>
  <c r="AX62" i="13"/>
  <c r="AZ62" i="13"/>
  <c r="BB62" i="13"/>
  <c r="BD62" i="13"/>
  <c r="BF62" i="13"/>
  <c r="BH62" i="13"/>
  <c r="BJ62" i="13"/>
  <c r="BL62" i="13"/>
  <c r="BN62" i="13"/>
  <c r="BP62" i="13"/>
  <c r="BR62" i="13"/>
  <c r="AE64" i="13"/>
  <c r="AG64" i="13"/>
  <c r="AI64" i="13"/>
  <c r="AK64" i="13"/>
  <c r="AM64" i="13"/>
  <c r="AO64" i="13"/>
  <c r="AQ64" i="13"/>
  <c r="AS64" i="13"/>
  <c r="AU64" i="13"/>
  <c r="AW64" i="13"/>
  <c r="AY64" i="13"/>
  <c r="BA64" i="13"/>
  <c r="BC64" i="13"/>
  <c r="AF64" i="13"/>
  <c r="AH64" i="13"/>
  <c r="AJ64" i="13"/>
  <c r="AL64" i="13"/>
  <c r="AN64" i="13"/>
  <c r="AP64" i="13"/>
  <c r="AR64" i="13"/>
  <c r="AT64" i="13"/>
  <c r="AV64" i="13"/>
  <c r="AX64" i="13"/>
  <c r="AZ64" i="13"/>
  <c r="BB64" i="13"/>
  <c r="BD64" i="13"/>
  <c r="BF64" i="13"/>
  <c r="BH64" i="13"/>
  <c r="BJ64" i="13"/>
  <c r="BL64" i="13"/>
  <c r="BN64" i="13"/>
  <c r="BP64" i="13"/>
  <c r="BR64" i="13"/>
  <c r="BE64" i="13"/>
  <c r="BI64" i="13"/>
  <c r="BM64" i="13"/>
  <c r="BQ64" i="13"/>
  <c r="BG64" i="13"/>
  <c r="BK64" i="13"/>
  <c r="BO64" i="13"/>
  <c r="AF71" i="13"/>
  <c r="AH71" i="13"/>
  <c r="AJ71" i="13"/>
  <c r="AL71" i="13"/>
  <c r="AN71" i="13"/>
  <c r="AP71" i="13"/>
  <c r="AR71" i="13"/>
  <c r="AT71" i="13"/>
  <c r="AV71" i="13"/>
  <c r="AX71" i="13"/>
  <c r="AZ71" i="13"/>
  <c r="BB71" i="13"/>
  <c r="BD71" i="13"/>
  <c r="BF71" i="13"/>
  <c r="BH71" i="13"/>
  <c r="BJ71" i="13"/>
  <c r="BL71" i="13"/>
  <c r="BN71" i="13"/>
  <c r="BP71" i="13"/>
  <c r="BR71" i="13"/>
  <c r="AE71" i="13"/>
  <c r="AI71" i="13"/>
  <c r="AM71" i="13"/>
  <c r="AQ71" i="13"/>
  <c r="AU71" i="13"/>
  <c r="AY71" i="13"/>
  <c r="BC71" i="13"/>
  <c r="BG71" i="13"/>
  <c r="BK71" i="13"/>
  <c r="BO71" i="13"/>
  <c r="AG71" i="13"/>
  <c r="AK71" i="13"/>
  <c r="AO71" i="13"/>
  <c r="AS71" i="13"/>
  <c r="AW71" i="13"/>
  <c r="BA71" i="13"/>
  <c r="BE71" i="13"/>
  <c r="BI71" i="13"/>
  <c r="BM71" i="13"/>
  <c r="BQ71" i="13"/>
  <c r="AE69" i="13"/>
  <c r="AG69" i="13"/>
  <c r="AI69" i="13"/>
  <c r="AK69" i="13"/>
  <c r="AM69" i="13"/>
  <c r="AO69" i="13"/>
  <c r="AQ69" i="13"/>
  <c r="AS69" i="13"/>
  <c r="AU69" i="13"/>
  <c r="AW69" i="13"/>
  <c r="AY69" i="13"/>
  <c r="BA69" i="13"/>
  <c r="BC69" i="13"/>
  <c r="BE69" i="13"/>
  <c r="AF69" i="13"/>
  <c r="AH69" i="13"/>
  <c r="AJ69" i="13"/>
  <c r="AL69" i="13"/>
  <c r="AN69" i="13"/>
  <c r="AP69" i="13"/>
  <c r="AR69" i="13"/>
  <c r="AT69" i="13"/>
  <c r="AV69" i="13"/>
  <c r="AX69" i="13"/>
  <c r="AZ69" i="13"/>
  <c r="BB69" i="13"/>
  <c r="BD69" i="13"/>
  <c r="BF69" i="13"/>
  <c r="BH69" i="13"/>
  <c r="BJ69" i="13"/>
  <c r="BL69" i="13"/>
  <c r="BN69" i="13"/>
  <c r="BP69" i="13"/>
  <c r="BR69" i="13"/>
  <c r="BG69" i="13"/>
  <c r="BK69" i="13"/>
  <c r="BO69" i="13"/>
  <c r="BI69" i="13"/>
  <c r="BM69" i="13"/>
  <c r="BQ69" i="13"/>
  <c r="AF70" i="13"/>
  <c r="AH70" i="13"/>
  <c r="AJ70" i="13"/>
  <c r="AP70" i="13"/>
  <c r="AR70" i="13"/>
  <c r="AV70" i="13"/>
  <c r="AZ70" i="13"/>
  <c r="BD70" i="13"/>
  <c r="BF70" i="13"/>
  <c r="BL70" i="13"/>
  <c r="BN70" i="13"/>
  <c r="BP70" i="13"/>
  <c r="AI70" i="13"/>
  <c r="AM70" i="13"/>
  <c r="AU70" i="13"/>
  <c r="BC70" i="13"/>
  <c r="BK70" i="13"/>
  <c r="BO70" i="13"/>
  <c r="AO70" i="13"/>
  <c r="AS70" i="13"/>
  <c r="AW70" i="13"/>
  <c r="BI70" i="13"/>
  <c r="BM70" i="13"/>
  <c r="AE117" i="13"/>
  <c r="BO117" i="13"/>
  <c r="AF117" i="13"/>
  <c r="BL117" i="13"/>
  <c r="AE116" i="13"/>
  <c r="BK116" i="13"/>
  <c r="BM116" i="13"/>
  <c r="BH116" i="13"/>
  <c r="BN116" i="13"/>
  <c r="AE80" i="13"/>
  <c r="AG80" i="13"/>
  <c r="AI80" i="13"/>
  <c r="AK80" i="13"/>
  <c r="AM80" i="13"/>
  <c r="AO80" i="13"/>
  <c r="AQ80" i="13"/>
  <c r="AS80" i="13"/>
  <c r="AU80" i="13"/>
  <c r="AW80" i="13"/>
  <c r="AY80" i="13"/>
  <c r="BA80" i="13"/>
  <c r="BC80" i="13"/>
  <c r="BE80" i="13"/>
  <c r="BG80" i="13"/>
  <c r="BI80" i="13"/>
  <c r="BK80" i="13"/>
  <c r="BM80" i="13"/>
  <c r="BO80" i="13"/>
  <c r="BQ80" i="13"/>
  <c r="AF80" i="13"/>
  <c r="AH80" i="13"/>
  <c r="AJ80" i="13"/>
  <c r="AL80" i="13"/>
  <c r="AN80" i="13"/>
  <c r="AP80" i="13"/>
  <c r="AR80" i="13"/>
  <c r="AT80" i="13"/>
  <c r="AV80" i="13"/>
  <c r="AX80" i="13"/>
  <c r="AZ80" i="13"/>
  <c r="BB80" i="13"/>
  <c r="BD80" i="13"/>
  <c r="BF80" i="13"/>
  <c r="BH80" i="13"/>
  <c r="BJ80" i="13"/>
  <c r="BL80" i="13"/>
  <c r="BN80" i="13"/>
  <c r="BP80" i="13"/>
  <c r="BR80" i="13"/>
  <c r="AY81" i="13"/>
  <c r="BC81" i="13"/>
  <c r="AN81" i="13"/>
  <c r="AR81" i="13"/>
  <c r="BR81" i="13"/>
  <c r="AE84" i="13"/>
  <c r="AG84" i="13"/>
  <c r="AI84" i="13"/>
  <c r="AK84" i="13"/>
  <c r="AM84" i="13"/>
  <c r="AO84" i="13"/>
  <c r="AQ84" i="13"/>
  <c r="AS84" i="13"/>
  <c r="AU84" i="13"/>
  <c r="AW84" i="13"/>
  <c r="AY84" i="13"/>
  <c r="BA84" i="13"/>
  <c r="BC84" i="13"/>
  <c r="BE84" i="13"/>
  <c r="BG84" i="13"/>
  <c r="BI84" i="13"/>
  <c r="BK84" i="13"/>
  <c r="BM84" i="13"/>
  <c r="BO84" i="13"/>
  <c r="BQ84" i="13"/>
  <c r="AF84" i="13"/>
  <c r="AH84" i="13"/>
  <c r="AJ84" i="13"/>
  <c r="AL84" i="13"/>
  <c r="AN84" i="13"/>
  <c r="AP84" i="13"/>
  <c r="AR84" i="13"/>
  <c r="AT84" i="13"/>
  <c r="AV84" i="13"/>
  <c r="AX84" i="13"/>
  <c r="AZ84" i="13"/>
  <c r="BB84" i="13"/>
  <c r="BD84" i="13"/>
  <c r="BF84" i="13"/>
  <c r="BH84" i="13"/>
  <c r="BJ84" i="13"/>
  <c r="BL84" i="13"/>
  <c r="BN84" i="13"/>
  <c r="BP84" i="13"/>
  <c r="BR84" i="13"/>
  <c r="AM112" i="13"/>
  <c r="AQ112" i="13"/>
  <c r="BO112" i="13"/>
  <c r="AF112" i="13"/>
  <c r="BD112" i="13"/>
  <c r="BH112" i="13"/>
  <c r="AE115" i="13"/>
  <c r="AG115" i="13"/>
  <c r="AI115" i="13"/>
  <c r="AK115" i="13"/>
  <c r="AM115" i="13"/>
  <c r="AO115" i="13"/>
  <c r="AQ115" i="13"/>
  <c r="AS115" i="13"/>
  <c r="AU115" i="13"/>
  <c r="AW115" i="13"/>
  <c r="AY115" i="13"/>
  <c r="BA115" i="13"/>
  <c r="BC115" i="13"/>
  <c r="BE115" i="13"/>
  <c r="BG115" i="13"/>
  <c r="BI115" i="13"/>
  <c r="BK115" i="13"/>
  <c r="BM115" i="13"/>
  <c r="BO115" i="13"/>
  <c r="BQ115" i="13"/>
  <c r="AF115" i="13"/>
  <c r="AH115" i="13"/>
  <c r="AJ115" i="13"/>
  <c r="AL115" i="13"/>
  <c r="AN115" i="13"/>
  <c r="AP115" i="13"/>
  <c r="AR115" i="13"/>
  <c r="AT115" i="13"/>
  <c r="AV115" i="13"/>
  <c r="AX115" i="13"/>
  <c r="AZ115" i="13"/>
  <c r="BB115" i="13"/>
  <c r="BD115" i="13"/>
  <c r="BF115" i="13"/>
  <c r="BH115" i="13"/>
  <c r="BJ115" i="13"/>
  <c r="BL115" i="13"/>
  <c r="BN115" i="13"/>
  <c r="BP115" i="13"/>
  <c r="BR115" i="13"/>
  <c r="AS101" i="13"/>
  <c r="AU101" i="13"/>
  <c r="AV101" i="13"/>
  <c r="BB101" i="13"/>
  <c r="BO101" i="13"/>
  <c r="BE101" i="13"/>
  <c r="AN103" i="13"/>
  <c r="AT103" i="13"/>
  <c r="BJ103" i="13"/>
  <c r="BL103" i="13"/>
  <c r="AQ103" i="13"/>
  <c r="BC103" i="13"/>
  <c r="AO103" i="13"/>
  <c r="BE103" i="13"/>
  <c r="AK100" i="13"/>
  <c r="AM100" i="13"/>
  <c r="BC100" i="13"/>
  <c r="BG100" i="13"/>
  <c r="AF100" i="13"/>
  <c r="AN100" i="13"/>
  <c r="BB100" i="13"/>
  <c r="BH100" i="13"/>
  <c r="AE107" i="13"/>
  <c r="AG107" i="13"/>
  <c r="AI107" i="13"/>
  <c r="AK107" i="13"/>
  <c r="AM107" i="13"/>
  <c r="AO107" i="13"/>
  <c r="AQ107" i="13"/>
  <c r="AS107" i="13"/>
  <c r="AU107" i="13"/>
  <c r="AW107" i="13"/>
  <c r="AY107" i="13"/>
  <c r="BA107" i="13"/>
  <c r="BC107" i="13"/>
  <c r="BE107" i="13"/>
  <c r="BG107" i="13"/>
  <c r="BI107" i="13"/>
  <c r="BK107" i="13"/>
  <c r="BM107" i="13"/>
  <c r="BO107" i="13"/>
  <c r="BQ107" i="13"/>
  <c r="AF107" i="13"/>
  <c r="AH107" i="13"/>
  <c r="AJ107" i="13"/>
  <c r="AL107" i="13"/>
  <c r="AN107" i="13"/>
  <c r="AP107" i="13"/>
  <c r="AR107" i="13"/>
  <c r="AT107" i="13"/>
  <c r="AV107" i="13"/>
  <c r="AX107" i="13"/>
  <c r="AZ107" i="13"/>
  <c r="BB107" i="13"/>
  <c r="BD107" i="13"/>
  <c r="BF107" i="13"/>
  <c r="BH107" i="13"/>
  <c r="BJ107" i="13"/>
  <c r="BL107" i="13"/>
  <c r="BN107" i="13"/>
  <c r="BP107" i="13"/>
  <c r="BR107" i="13"/>
  <c r="AE108" i="13"/>
  <c r="AI108" i="13"/>
  <c r="AY108" i="13"/>
  <c r="BC108" i="13"/>
  <c r="AF108" i="13"/>
  <c r="AJ108" i="13"/>
  <c r="AV108" i="13"/>
  <c r="BB108" i="13"/>
  <c r="BP108" i="13"/>
  <c r="AE92" i="13"/>
  <c r="AI92" i="13"/>
  <c r="AM92" i="13"/>
  <c r="AQ92" i="13"/>
  <c r="AS92" i="13"/>
  <c r="AY92" i="13"/>
  <c r="BA92" i="13"/>
  <c r="BC92" i="13"/>
  <c r="BI92" i="13"/>
  <c r="BK92" i="13"/>
  <c r="BO92" i="13"/>
  <c r="AF92" i="13"/>
  <c r="AJ92" i="13"/>
  <c r="AL92" i="13"/>
  <c r="AR92" i="13"/>
  <c r="AT92" i="13"/>
  <c r="AV92" i="13"/>
  <c r="BB92" i="13"/>
  <c r="BD92" i="13"/>
  <c r="BH92" i="13"/>
  <c r="BL92" i="13"/>
  <c r="BP92" i="13"/>
  <c r="BR92" i="13"/>
  <c r="AM95" i="13"/>
  <c r="AS95" i="13"/>
  <c r="BG95" i="13"/>
  <c r="BI95" i="13"/>
  <c r="AL95" i="13"/>
  <c r="AR95" i="13"/>
  <c r="BH95" i="13"/>
  <c r="BJ95" i="13"/>
  <c r="AE94" i="13"/>
  <c r="AG94" i="13"/>
  <c r="AI94" i="13"/>
  <c r="AK94" i="13"/>
  <c r="AM94" i="13"/>
  <c r="AO94" i="13"/>
  <c r="AQ94" i="13"/>
  <c r="AS94" i="13"/>
  <c r="AU94" i="13"/>
  <c r="AW94" i="13"/>
  <c r="AY94" i="13"/>
  <c r="BA94" i="13"/>
  <c r="BC94" i="13"/>
  <c r="BE94" i="13"/>
  <c r="BG94" i="13"/>
  <c r="BI94" i="13"/>
  <c r="BK94" i="13"/>
  <c r="BM94" i="13"/>
  <c r="BO94" i="13"/>
  <c r="BQ94" i="13"/>
  <c r="AF94" i="13"/>
  <c r="AH94" i="13"/>
  <c r="AJ94" i="13"/>
  <c r="AL94" i="13"/>
  <c r="AN94" i="13"/>
  <c r="AP94" i="13"/>
  <c r="AR94" i="13"/>
  <c r="AT94" i="13"/>
  <c r="AV94" i="13"/>
  <c r="AX94" i="13"/>
  <c r="AZ94" i="13"/>
  <c r="BB94" i="13"/>
  <c r="BD94" i="13"/>
  <c r="BF94" i="13"/>
  <c r="BH94" i="13"/>
  <c r="BJ94" i="13"/>
  <c r="BL94" i="13"/>
  <c r="BN94" i="13"/>
  <c r="BP94" i="13"/>
  <c r="BR94" i="13"/>
  <c r="AE97" i="13"/>
  <c r="AI97" i="13"/>
  <c r="AM97" i="13"/>
  <c r="AQ97" i="13"/>
  <c r="AS97" i="13"/>
  <c r="AY97" i="13"/>
  <c r="BA97" i="13"/>
  <c r="BC97" i="13"/>
  <c r="BI97" i="13"/>
  <c r="BK97" i="13"/>
  <c r="BO97" i="13"/>
  <c r="AF97" i="13"/>
  <c r="AJ97" i="13"/>
  <c r="AL97" i="13"/>
  <c r="AR97" i="13"/>
  <c r="AT97" i="13"/>
  <c r="AV97" i="13"/>
  <c r="BB97" i="13"/>
  <c r="BD97" i="13"/>
  <c r="BH97" i="13"/>
  <c r="BL97" i="13"/>
  <c r="BP97" i="13"/>
  <c r="BR97" i="13"/>
  <c r="AE63" i="13"/>
  <c r="AI63" i="13"/>
  <c r="AK63" i="13"/>
  <c r="AM63" i="13"/>
  <c r="AQ63" i="13"/>
  <c r="AS63" i="13"/>
  <c r="AU63" i="13"/>
  <c r="AY63" i="13"/>
  <c r="BA63" i="13"/>
  <c r="BC63" i="13"/>
  <c r="BG63" i="13"/>
  <c r="BI63" i="13"/>
  <c r="BK63" i="13"/>
  <c r="BO63" i="13"/>
  <c r="BQ63" i="13"/>
  <c r="AF63" i="13"/>
  <c r="AJ63" i="13"/>
  <c r="AL63" i="13"/>
  <c r="AN63" i="13"/>
  <c r="AR63" i="13"/>
  <c r="AT63" i="13"/>
  <c r="AV63" i="13"/>
  <c r="AZ63" i="13"/>
  <c r="BB63" i="13"/>
  <c r="BD63" i="13"/>
  <c r="BH63" i="13"/>
  <c r="BJ63" i="13"/>
  <c r="BL63" i="13"/>
  <c r="BP63" i="13"/>
  <c r="BR63" i="13"/>
  <c r="AF65" i="13"/>
  <c r="AH65" i="13"/>
  <c r="AJ65" i="13"/>
  <c r="AL65" i="13"/>
  <c r="AN65" i="13"/>
  <c r="AP65" i="13"/>
  <c r="AR65" i="13"/>
  <c r="AT65" i="13"/>
  <c r="AV65" i="13"/>
  <c r="AX65" i="13"/>
  <c r="AZ65" i="13"/>
  <c r="BB65" i="13"/>
  <c r="BD65" i="13"/>
  <c r="BF65" i="13"/>
  <c r="BH65" i="13"/>
  <c r="BJ65" i="13"/>
  <c r="BL65" i="13"/>
  <c r="BN65" i="13"/>
  <c r="BP65" i="13"/>
  <c r="BR65" i="13"/>
  <c r="AG65" i="13"/>
  <c r="AK65" i="13"/>
  <c r="AO65" i="13"/>
  <c r="AS65" i="13"/>
  <c r="AW65" i="13"/>
  <c r="BA65" i="13"/>
  <c r="BE65" i="13"/>
  <c r="BI65" i="13"/>
  <c r="BM65" i="13"/>
  <c r="BQ65" i="13"/>
  <c r="AE65" i="13"/>
  <c r="AI65" i="13"/>
  <c r="AM65" i="13"/>
  <c r="AQ65" i="13"/>
  <c r="AU65" i="13"/>
  <c r="AY65" i="13"/>
  <c r="BC65" i="13"/>
  <c r="BG65" i="13"/>
  <c r="BK65" i="13"/>
  <c r="BO65" i="13"/>
  <c r="AE68" i="13"/>
  <c r="AG68" i="13"/>
  <c r="AI68" i="13"/>
  <c r="AK68" i="13"/>
  <c r="AM68" i="13"/>
  <c r="AO68" i="13"/>
  <c r="AQ68" i="13"/>
  <c r="AS68" i="13"/>
  <c r="AU68" i="13"/>
  <c r="AW68" i="13"/>
  <c r="AY68" i="13"/>
  <c r="BA68" i="13"/>
  <c r="BC68" i="13"/>
  <c r="BE68" i="13"/>
  <c r="BG68" i="13"/>
  <c r="BI68" i="13"/>
  <c r="BK68" i="13"/>
  <c r="BM68" i="13"/>
  <c r="BO68" i="13"/>
  <c r="BQ68" i="13"/>
  <c r="AF68" i="13"/>
  <c r="AH68" i="13"/>
  <c r="AJ68" i="13"/>
  <c r="AL68" i="13"/>
  <c r="AN68" i="13"/>
  <c r="AP68" i="13"/>
  <c r="AR68" i="13"/>
  <c r="AT68" i="13"/>
  <c r="AV68" i="13"/>
  <c r="AX68" i="13"/>
  <c r="AZ68" i="13"/>
  <c r="BB68" i="13"/>
  <c r="BD68" i="13"/>
  <c r="BF68" i="13"/>
  <c r="BH68" i="13"/>
  <c r="BJ68" i="13"/>
  <c r="BL68" i="13"/>
  <c r="BN68" i="13"/>
  <c r="BP68" i="13"/>
  <c r="BR68" i="13"/>
  <c r="AF72" i="13"/>
  <c r="AJ72" i="13"/>
  <c r="AE72" i="13"/>
  <c r="AI72" i="13"/>
  <c r="AN72" i="13"/>
  <c r="AP72" i="13"/>
  <c r="AR72" i="13"/>
  <c r="AV72" i="13"/>
  <c r="AX72" i="13"/>
  <c r="AZ72" i="13"/>
  <c r="BD72" i="13"/>
  <c r="BF72" i="13"/>
  <c r="BH72" i="13"/>
  <c r="BL72" i="13"/>
  <c r="BN72" i="13"/>
  <c r="BP72" i="13"/>
  <c r="AG72" i="13"/>
  <c r="AK72" i="13"/>
  <c r="AM72" i="13"/>
  <c r="AQ72" i="13"/>
  <c r="AS72" i="13"/>
  <c r="AU72" i="13"/>
  <c r="AY72" i="13"/>
  <c r="BA72" i="13"/>
  <c r="BC72" i="13"/>
  <c r="BG72" i="13"/>
  <c r="BI72" i="13"/>
  <c r="BK72" i="13"/>
  <c r="BO72" i="13"/>
  <c r="BQ72" i="13"/>
  <c r="AE120" i="13"/>
  <c r="AI120" i="13"/>
  <c r="AM120" i="13"/>
  <c r="AQ120" i="13"/>
  <c r="AU120" i="13"/>
  <c r="AY120" i="13"/>
  <c r="BC120" i="13"/>
  <c r="BG120" i="13"/>
  <c r="BK120" i="13"/>
  <c r="BQ120" i="13"/>
  <c r="AF120" i="13"/>
  <c r="AH120" i="13"/>
  <c r="AJ120" i="13"/>
  <c r="AL120" i="13"/>
  <c r="AN120" i="13"/>
  <c r="AP120" i="13"/>
  <c r="AR120" i="13"/>
  <c r="AT120" i="13"/>
  <c r="AV120" i="13"/>
  <c r="AX120" i="13"/>
  <c r="AZ120" i="13"/>
  <c r="BB120" i="13"/>
  <c r="BD120" i="13"/>
  <c r="BF120" i="13"/>
  <c r="BH120" i="13"/>
  <c r="BJ120" i="13"/>
  <c r="BL120" i="13"/>
  <c r="BN120" i="13"/>
  <c r="BP120" i="13"/>
  <c r="BR120" i="13"/>
  <c r="AG120" i="13"/>
  <c r="AK120" i="13"/>
  <c r="AO120" i="13"/>
  <c r="AS120" i="13"/>
  <c r="AW120" i="13"/>
  <c r="BA120" i="13"/>
  <c r="BE120" i="13"/>
  <c r="BI120" i="13"/>
  <c r="BM120" i="13"/>
  <c r="BO120" i="13"/>
  <c r="AG121" i="13"/>
  <c r="AN121" i="13"/>
  <c r="AV121" i="13"/>
  <c r="BJ121" i="13"/>
  <c r="BN121" i="13"/>
  <c r="AS121" i="13"/>
  <c r="AU121" i="13"/>
  <c r="BI121" i="13"/>
  <c r="BM121" i="13"/>
  <c r="AE119" i="13"/>
  <c r="AK119" i="13"/>
  <c r="AO119" i="13"/>
  <c r="AS119" i="13"/>
  <c r="BA119" i="13"/>
  <c r="BG119" i="13"/>
  <c r="BK119" i="13"/>
  <c r="AF119" i="13"/>
  <c r="AH119" i="13"/>
  <c r="AJ119" i="13"/>
  <c r="AN119" i="13"/>
  <c r="AP119" i="13"/>
  <c r="AR119" i="13"/>
  <c r="AV119" i="13"/>
  <c r="AX119" i="13"/>
  <c r="AZ119" i="13"/>
  <c r="BD119" i="13"/>
  <c r="BF119" i="13"/>
  <c r="BH119" i="13"/>
  <c r="BL119" i="13"/>
  <c r="BN119" i="13"/>
  <c r="BP119" i="13"/>
  <c r="AG119" i="13"/>
  <c r="AM119" i="13"/>
  <c r="AQ119" i="13"/>
  <c r="AY119" i="13"/>
  <c r="BC119" i="13"/>
  <c r="BE119" i="13"/>
  <c r="BM119" i="13"/>
  <c r="BQ119" i="13"/>
  <c r="BE39" i="13"/>
  <c r="AF41" i="13"/>
  <c r="AL41" i="13"/>
  <c r="AN41" i="13"/>
  <c r="AT41" i="13"/>
  <c r="AV41" i="13"/>
  <c r="BB41" i="13"/>
  <c r="BD41" i="13"/>
  <c r="BJ41" i="13"/>
  <c r="BL41" i="13"/>
  <c r="BR41" i="13"/>
  <c r="AE41" i="13"/>
  <c r="AK41" i="13"/>
  <c r="AM41" i="13"/>
  <c r="AS41" i="13"/>
  <c r="AU41" i="13"/>
  <c r="BA41" i="13"/>
  <c r="BC41" i="13"/>
  <c r="BI41" i="13"/>
  <c r="BK41" i="13"/>
  <c r="BQ41" i="13"/>
  <c r="BQ43" i="13"/>
  <c r="AH61" i="13"/>
  <c r="BF61" i="13"/>
  <c r="AE61" i="13"/>
  <c r="AO61" i="13"/>
  <c r="AS61" i="13"/>
  <c r="BC61" i="13"/>
  <c r="BE61" i="13"/>
  <c r="BQ61" i="13"/>
  <c r="AJ61" i="13"/>
  <c r="BD61" i="13"/>
  <c r="BH61" i="13"/>
  <c r="AO37" i="13"/>
  <c r="AJ37" i="13"/>
  <c r="AX37" i="13"/>
  <c r="BN37" i="13"/>
  <c r="BK37" i="13"/>
  <c r="AE35" i="13"/>
  <c r="AU35" i="13"/>
  <c r="BI35" i="13"/>
  <c r="AL35" i="13"/>
  <c r="BR35" i="13"/>
  <c r="BD35" i="13"/>
  <c r="AE36" i="13"/>
  <c r="AG36" i="13"/>
  <c r="AQ36" i="13"/>
  <c r="AS36" i="13"/>
  <c r="BG36" i="13"/>
  <c r="BI36" i="13"/>
  <c r="AN36" i="13"/>
  <c r="AP36" i="13"/>
  <c r="BD36" i="13"/>
  <c r="BF36" i="13"/>
  <c r="AV49" i="13"/>
  <c r="AX49" i="13"/>
  <c r="AM49" i="13"/>
  <c r="AO49" i="13"/>
  <c r="AG44" i="13"/>
  <c r="BG44" i="13"/>
  <c r="BH44" i="13"/>
  <c r="AL51" i="13"/>
  <c r="AP51" i="13"/>
  <c r="AX51" i="13"/>
  <c r="BF51" i="13"/>
  <c r="BL51" i="13"/>
  <c r="AE51" i="13"/>
  <c r="AM51" i="13"/>
  <c r="AS51" i="13"/>
  <c r="BA51" i="13"/>
  <c r="BI51" i="13"/>
  <c r="BM51" i="13"/>
  <c r="AP50" i="13"/>
  <c r="BF50" i="13"/>
  <c r="BE50" i="13"/>
  <c r="AF53" i="13"/>
  <c r="AN53" i="13"/>
  <c r="AV53" i="13"/>
  <c r="BB53" i="13"/>
  <c r="BJ53" i="13"/>
  <c r="BR53" i="13"/>
  <c r="AG53" i="13"/>
  <c r="AO53" i="13"/>
  <c r="AW53" i="13"/>
  <c r="BC53" i="13"/>
  <c r="BK53" i="13"/>
  <c r="AF38" i="13"/>
  <c r="AH38" i="13"/>
  <c r="AJ38" i="13"/>
  <c r="AL38" i="13"/>
  <c r="AN38" i="13"/>
  <c r="AP38" i="13"/>
  <c r="AR38" i="13"/>
  <c r="AT38" i="13"/>
  <c r="AV38" i="13"/>
  <c r="AX38" i="13"/>
  <c r="AZ38" i="13"/>
  <c r="BB38" i="13"/>
  <c r="BD38" i="13"/>
  <c r="BF38" i="13"/>
  <c r="BH38" i="13"/>
  <c r="BJ38" i="13"/>
  <c r="BL38" i="13"/>
  <c r="BN38" i="13"/>
  <c r="BP38" i="13"/>
  <c r="BR38" i="13"/>
  <c r="AE38" i="13"/>
  <c r="AI38" i="13"/>
  <c r="AM38" i="13"/>
  <c r="AQ38" i="13"/>
  <c r="AU38" i="13"/>
  <c r="AY38" i="13"/>
  <c r="BC38" i="13"/>
  <c r="BG38" i="13"/>
  <c r="BK38" i="13"/>
  <c r="BO38" i="13"/>
  <c r="AG38" i="13"/>
  <c r="AK38" i="13"/>
  <c r="AO38" i="13"/>
  <c r="AS38" i="13"/>
  <c r="AW38" i="13"/>
  <c r="BA38" i="13"/>
  <c r="BE38" i="13"/>
  <c r="BI38" i="13"/>
  <c r="BM38" i="13"/>
  <c r="BQ38" i="13"/>
  <c r="AF40" i="13"/>
  <c r="AL40" i="13"/>
  <c r="AP40" i="13"/>
  <c r="AV40" i="13"/>
  <c r="BB40" i="13"/>
  <c r="BF40" i="13"/>
  <c r="BL40" i="13"/>
  <c r="BR40" i="13"/>
  <c r="AG40" i="13"/>
  <c r="AM40" i="13"/>
  <c r="AS40" i="13"/>
  <c r="AW40" i="13"/>
  <c r="BC40" i="13"/>
  <c r="BI40" i="13"/>
  <c r="BM40" i="13"/>
  <c r="AE57" i="13"/>
  <c r="AG57" i="13"/>
  <c r="AI57" i="13"/>
  <c r="AK57" i="13"/>
  <c r="AM57" i="13"/>
  <c r="AO57" i="13"/>
  <c r="AQ57" i="13"/>
  <c r="AS57" i="13"/>
  <c r="AH57" i="13"/>
  <c r="AL57" i="13"/>
  <c r="AP57" i="13"/>
  <c r="AT57" i="13"/>
  <c r="AV57" i="13"/>
  <c r="AX57" i="13"/>
  <c r="AZ57" i="13"/>
  <c r="BB57" i="13"/>
  <c r="BD57" i="13"/>
  <c r="BF57" i="13"/>
  <c r="BH57" i="13"/>
  <c r="BJ57" i="13"/>
  <c r="BL57" i="13"/>
  <c r="BN57" i="13"/>
  <c r="BP57" i="13"/>
  <c r="BR57" i="13"/>
  <c r="AF57" i="13"/>
  <c r="AJ57" i="13"/>
  <c r="AN57" i="13"/>
  <c r="AR57" i="13"/>
  <c r="AU57" i="13"/>
  <c r="AW57" i="13"/>
  <c r="AY57" i="13"/>
  <c r="BA57" i="13"/>
  <c r="BC57" i="13"/>
  <c r="BE57" i="13"/>
  <c r="BG57" i="13"/>
  <c r="BI57" i="13"/>
  <c r="BK57" i="13"/>
  <c r="BM57" i="13"/>
  <c r="BO57" i="13"/>
  <c r="BQ57" i="13"/>
  <c r="AH60" i="13"/>
  <c r="AT60" i="13"/>
  <c r="BR60" i="13"/>
  <c r="AE60" i="13"/>
  <c r="AQ60" i="13"/>
  <c r="AS60" i="13"/>
  <c r="BC60" i="13"/>
  <c r="BI60" i="13"/>
  <c r="AF60" i="13"/>
  <c r="AN60" i="13"/>
  <c r="BF60" i="13"/>
  <c r="BJ60" i="13"/>
  <c r="AL58" i="13"/>
  <c r="AP58" i="13"/>
  <c r="BB58" i="13"/>
  <c r="BD58" i="13"/>
  <c r="BN58" i="13"/>
  <c r="BR58" i="13"/>
  <c r="AM58" i="13"/>
  <c r="AS58" i="13"/>
  <c r="BC58" i="13"/>
  <c r="BE58" i="13"/>
  <c r="BQ58" i="13"/>
  <c r="AE56" i="13"/>
  <c r="AG56" i="13"/>
  <c r="AI56" i="13"/>
  <c r="AK56" i="13"/>
  <c r="AM56" i="13"/>
  <c r="AO56" i="13"/>
  <c r="AQ56" i="13"/>
  <c r="AS56" i="13"/>
  <c r="AU56" i="13"/>
  <c r="AW56" i="13"/>
  <c r="AY56" i="13"/>
  <c r="BA56" i="13"/>
  <c r="BC56" i="13"/>
  <c r="BE56" i="13"/>
  <c r="BG56" i="13"/>
  <c r="BI56" i="13"/>
  <c r="BK56" i="13"/>
  <c r="BM56" i="13"/>
  <c r="BO56" i="13"/>
  <c r="BQ56" i="13"/>
  <c r="AH56" i="13"/>
  <c r="AL56" i="13"/>
  <c r="AP56" i="13"/>
  <c r="AT56" i="13"/>
  <c r="AX56" i="13"/>
  <c r="BB56" i="13"/>
  <c r="BF56" i="13"/>
  <c r="BJ56" i="13"/>
  <c r="BN56" i="13"/>
  <c r="BR56" i="13"/>
  <c r="AF56" i="13"/>
  <c r="AJ56" i="13"/>
  <c r="AN56" i="13"/>
  <c r="AR56" i="13"/>
  <c r="AV56" i="13"/>
  <c r="AZ56" i="13"/>
  <c r="BD56" i="13"/>
  <c r="BH56" i="13"/>
  <c r="BL56" i="13"/>
  <c r="BP56" i="13"/>
  <c r="AF59" i="13"/>
  <c r="AH59" i="13"/>
  <c r="AJ59" i="13"/>
  <c r="AL59" i="13"/>
  <c r="AN59" i="13"/>
  <c r="AP59" i="13"/>
  <c r="AT59" i="13"/>
  <c r="AV59" i="13"/>
  <c r="AZ59" i="13"/>
  <c r="BD59" i="13"/>
  <c r="BH59" i="13"/>
  <c r="BN59" i="13"/>
  <c r="BR59" i="13"/>
  <c r="AE59" i="13"/>
  <c r="AG59" i="13"/>
  <c r="AI59" i="13"/>
  <c r="AK59" i="13"/>
  <c r="AM59" i="13"/>
  <c r="AO59" i="13"/>
  <c r="AQ59" i="13"/>
  <c r="AS59" i="13"/>
  <c r="AU59" i="13"/>
  <c r="AW59" i="13"/>
  <c r="AY59" i="13"/>
  <c r="BA59" i="13"/>
  <c r="BC59" i="13"/>
  <c r="BE59" i="13"/>
  <c r="BG59" i="13"/>
  <c r="BI59" i="13"/>
  <c r="BK59" i="13"/>
  <c r="BM59" i="13"/>
  <c r="BO59" i="13"/>
  <c r="BQ59" i="13"/>
  <c r="AR59" i="13"/>
  <c r="AX59" i="13"/>
  <c r="BB59" i="13"/>
  <c r="BF59" i="13"/>
  <c r="BJ59" i="13"/>
  <c r="BL59" i="13"/>
  <c r="BP59" i="13"/>
  <c r="AU33" i="13"/>
  <c r="BE33" i="13"/>
  <c r="BL33" i="13"/>
  <c r="AG32" i="13"/>
  <c r="AN32" i="13"/>
  <c r="AX32" i="13"/>
  <c r="AO34" i="13"/>
  <c r="BE34" i="13"/>
  <c r="AF34" i="13"/>
  <c r="AT34" i="13"/>
  <c r="BJ34" i="13"/>
  <c r="AG45" i="13"/>
  <c r="AU45" i="13"/>
  <c r="BK45" i="13"/>
  <c r="AT45" i="13"/>
  <c r="BR45" i="13"/>
  <c r="BH45" i="13"/>
  <c r="AG47" i="13"/>
  <c r="AH47" i="13"/>
  <c r="AT47" i="13"/>
  <c r="AZ47" i="13"/>
  <c r="BJ47" i="13"/>
  <c r="BP47" i="13"/>
  <c r="AO47" i="13"/>
  <c r="AU47" i="13"/>
  <c r="BE47" i="13"/>
  <c r="BK47" i="13"/>
  <c r="AH48" i="13"/>
  <c r="AV48" i="13"/>
  <c r="BL48" i="13"/>
  <c r="AK48" i="13"/>
  <c r="AW48" i="13"/>
  <c r="BM48" i="13"/>
  <c r="AF52" i="13"/>
  <c r="AN52" i="13"/>
  <c r="AV52" i="13"/>
  <c r="BB52" i="13"/>
  <c r="BJ52" i="13"/>
  <c r="BR52" i="13"/>
  <c r="AG52" i="13"/>
  <c r="AO52" i="13"/>
  <c r="AW52" i="13"/>
  <c r="BC52" i="13"/>
  <c r="BK52" i="13"/>
  <c r="AF54" i="13"/>
  <c r="AH54" i="13"/>
  <c r="AN54" i="13"/>
  <c r="AE54" i="13"/>
  <c r="AK54" i="13"/>
  <c r="AM54" i="13"/>
  <c r="AS54" i="13"/>
  <c r="AU54" i="13"/>
  <c r="BA54" i="13"/>
  <c r="BC54" i="13"/>
  <c r="BI54" i="13"/>
  <c r="BK54" i="13"/>
  <c r="BQ54" i="13"/>
  <c r="AP54" i="13"/>
  <c r="BB54" i="13"/>
  <c r="BF54" i="13"/>
  <c r="BR54" i="13"/>
  <c r="AR54" i="13"/>
  <c r="BD54" i="13"/>
  <c r="BH54" i="13"/>
  <c r="AG27" i="13"/>
  <c r="AK27" i="13"/>
  <c r="AU27" i="13"/>
  <c r="BA27" i="13"/>
  <c r="BK27" i="13"/>
  <c r="BM27" i="13"/>
  <c r="AL27" i="13"/>
  <c r="AN27" i="13"/>
  <c r="AX27" i="13"/>
  <c r="BD27" i="13"/>
  <c r="BN27" i="13"/>
  <c r="BR27" i="13"/>
  <c r="AF29" i="13"/>
  <c r="AH29" i="13"/>
  <c r="AJ29" i="13"/>
  <c r="AL29" i="13"/>
  <c r="AN29" i="13"/>
  <c r="AP29" i="13"/>
  <c r="AR29" i="13"/>
  <c r="AT29" i="13"/>
  <c r="AV29" i="13"/>
  <c r="AX29" i="13"/>
  <c r="AZ29" i="13"/>
  <c r="BB29" i="13"/>
  <c r="BD29" i="13"/>
  <c r="BF29" i="13"/>
  <c r="BH29" i="13"/>
  <c r="BJ29" i="13"/>
  <c r="BL29" i="13"/>
  <c r="BN29" i="13"/>
  <c r="BP29" i="13"/>
  <c r="BR29" i="13"/>
  <c r="AE29" i="13"/>
  <c r="AM29" i="13"/>
  <c r="AU29" i="13"/>
  <c r="BC29" i="13"/>
  <c r="BO29" i="13"/>
  <c r="AG29" i="13"/>
  <c r="AK29" i="13"/>
  <c r="AO29" i="13"/>
  <c r="AS29" i="13"/>
  <c r="AW29" i="13"/>
  <c r="BA29" i="13"/>
  <c r="BE29" i="13"/>
  <c r="BI29" i="13"/>
  <c r="BM29" i="13"/>
  <c r="BQ29" i="13"/>
  <c r="AI29" i="13"/>
  <c r="AQ29" i="13"/>
  <c r="AY29" i="13"/>
  <c r="BG29" i="13"/>
  <c r="BK29" i="13"/>
  <c r="AF30" i="13"/>
  <c r="AH30" i="13"/>
  <c r="AJ30" i="13"/>
  <c r="AL30" i="13"/>
  <c r="AN30" i="13"/>
  <c r="AM30" i="13"/>
  <c r="AR30" i="13"/>
  <c r="AV30" i="13"/>
  <c r="BB30" i="13"/>
  <c r="BF30" i="13"/>
  <c r="BJ30" i="13"/>
  <c r="BP30" i="13"/>
  <c r="AG30" i="13"/>
  <c r="AK30" i="13"/>
  <c r="AO30" i="13"/>
  <c r="AQ30" i="13"/>
  <c r="AS30" i="13"/>
  <c r="AU30" i="13"/>
  <c r="AW30" i="13"/>
  <c r="AY30" i="13"/>
  <c r="BA30" i="13"/>
  <c r="BC30" i="13"/>
  <c r="BE30" i="13"/>
  <c r="BG30" i="13"/>
  <c r="BI30" i="13"/>
  <c r="BK30" i="13"/>
  <c r="BM30" i="13"/>
  <c r="BO30" i="13"/>
  <c r="BQ30" i="13"/>
  <c r="AE30" i="13"/>
  <c r="AI30" i="13"/>
  <c r="AP30" i="13"/>
  <c r="AT30" i="13"/>
  <c r="AX30" i="13"/>
  <c r="AZ30" i="13"/>
  <c r="BD30" i="13"/>
  <c r="BH30" i="13"/>
  <c r="BL30" i="13"/>
  <c r="BN30" i="13"/>
  <c r="BR30" i="13"/>
  <c r="AE26" i="13"/>
  <c r="AG26" i="13"/>
  <c r="AI26" i="13"/>
  <c r="AK26" i="13"/>
  <c r="AM26" i="13"/>
  <c r="AO26" i="13"/>
  <c r="AQ26" i="13"/>
  <c r="AS26" i="13"/>
  <c r="AU26" i="13"/>
  <c r="AW26" i="13"/>
  <c r="AY26" i="13"/>
  <c r="BA26" i="13"/>
  <c r="BC26" i="13"/>
  <c r="BE26" i="13"/>
  <c r="BG26" i="13"/>
  <c r="BI26" i="13"/>
  <c r="BK26" i="13"/>
  <c r="BM26" i="13"/>
  <c r="BO26" i="13"/>
  <c r="BQ26" i="13"/>
  <c r="AF26" i="13"/>
  <c r="AH26" i="13"/>
  <c r="AJ26" i="13"/>
  <c r="AL26" i="13"/>
  <c r="AN26" i="13"/>
  <c r="AP26" i="13"/>
  <c r="AR26" i="13"/>
  <c r="AT26" i="13"/>
  <c r="AV26" i="13"/>
  <c r="AX26" i="13"/>
  <c r="AZ26" i="13"/>
  <c r="BB26" i="13"/>
  <c r="BD26" i="13"/>
  <c r="BF26" i="13"/>
  <c r="BH26" i="13"/>
  <c r="BJ26" i="13"/>
  <c r="BL26" i="13"/>
  <c r="BN26" i="13"/>
  <c r="BP26" i="13"/>
  <c r="BR26" i="13"/>
  <c r="AU23" i="13"/>
  <c r="AX23" i="13"/>
  <c r="BB23" i="13"/>
  <c r="BL25" i="13"/>
  <c r="BO25" i="13"/>
  <c r="BD25" i="13"/>
  <c r="AI24" i="13"/>
  <c r="AK24" i="13"/>
  <c r="AP24" i="13"/>
  <c r="AT24" i="13"/>
  <c r="BH24" i="13"/>
  <c r="BL24" i="13"/>
  <c r="AJ24" i="13"/>
  <c r="AN24" i="13"/>
  <c r="AU24" i="13"/>
  <c r="AW24" i="13"/>
  <c r="BC24" i="13"/>
  <c r="BE24" i="13"/>
  <c r="BK24" i="13"/>
  <c r="BM24" i="13"/>
  <c r="AH24" i="13"/>
  <c r="AL24" i="13"/>
  <c r="AZ24" i="13"/>
  <c r="BD24" i="13"/>
  <c r="BN24" i="13"/>
  <c r="BR24" i="13"/>
  <c r="DU121" i="13"/>
  <c r="CE83" i="13"/>
  <c r="CE82" i="13"/>
  <c r="CQ83" i="13"/>
  <c r="CQ82" i="13"/>
  <c r="J83" i="13"/>
  <c r="M83" i="13"/>
  <c r="DM82" i="13"/>
  <c r="DM83" i="13"/>
  <c r="EB82" i="13"/>
  <c r="EI82" i="13"/>
  <c r="CP83" i="13"/>
  <c r="CP82" i="13"/>
  <c r="CW82" i="13"/>
  <c r="EH82" i="13"/>
  <c r="EH83" i="13"/>
  <c r="CS83" i="13"/>
  <c r="DO83" i="13"/>
  <c r="DO82" i="13"/>
  <c r="ED83" i="13"/>
  <c r="ED82" i="13"/>
  <c r="CF82" i="13"/>
  <c r="CF83" i="13"/>
  <c r="CR83" i="13"/>
  <c r="EC83" i="13"/>
  <c r="EC82" i="13"/>
  <c r="EJ82" i="13"/>
  <c r="CN113" i="13"/>
  <c r="CN112" i="13"/>
  <c r="EC113" i="13"/>
  <c r="EC112" i="13"/>
  <c r="CA112" i="13"/>
  <c r="CA113" i="13"/>
  <c r="EB113" i="13"/>
  <c r="EB112" i="13"/>
  <c r="CT112" i="13"/>
  <c r="CT113" i="13"/>
  <c r="DI112" i="13"/>
  <c r="DI113" i="13"/>
  <c r="EA113" i="13"/>
  <c r="CP113" i="13"/>
  <c r="CP112" i="13"/>
  <c r="EH112" i="13"/>
  <c r="CW113" i="13"/>
  <c r="CW112" i="13"/>
  <c r="S113" i="13"/>
  <c r="T114" i="13"/>
  <c r="EF112" i="13"/>
  <c r="EF113" i="13"/>
  <c r="CV113" i="13"/>
  <c r="CV112" i="13"/>
  <c r="DK113" i="13"/>
  <c r="DK112" i="13"/>
  <c r="L114" i="13"/>
  <c r="N112" i="13" s="1"/>
  <c r="K112" i="13"/>
  <c r="L111" i="13" s="1"/>
  <c r="AC111" i="13"/>
  <c r="K115" i="13"/>
  <c r="AC112" i="13"/>
  <c r="AC115" i="13"/>
  <c r="O115" i="13"/>
  <c r="K111" i="13"/>
  <c r="L112" i="13"/>
  <c r="AC114" i="13"/>
  <c r="L115" i="13"/>
  <c r="O112" i="13" s="1"/>
  <c r="CF76" i="13"/>
  <c r="CF77" i="13"/>
  <c r="CR76" i="13"/>
  <c r="CR77" i="13"/>
  <c r="K76" i="13"/>
  <c r="L75" i="13" s="1"/>
  <c r="AC78" i="13"/>
  <c r="L78" i="13"/>
  <c r="N76" i="13" s="1"/>
  <c r="EC77" i="13"/>
  <c r="EC76" i="13"/>
  <c r="EJ76" i="13"/>
  <c r="EJ77" i="13"/>
  <c r="DJ76" i="13"/>
  <c r="DJ77" i="13"/>
  <c r="DQ76" i="13"/>
  <c r="DQ77" i="13"/>
  <c r="EF77" i="13"/>
  <c r="EF76" i="13"/>
  <c r="CQ76" i="13"/>
  <c r="CQ77" i="13"/>
  <c r="CX76" i="13"/>
  <c r="CX77" i="13"/>
  <c r="EI77" i="13"/>
  <c r="EI76" i="13"/>
  <c r="DI76" i="13"/>
  <c r="CD77" i="13"/>
  <c r="CD76" i="13"/>
  <c r="CP77" i="13"/>
  <c r="EA76" i="13"/>
  <c r="EA77" i="13"/>
  <c r="CO100" i="13"/>
  <c r="CO101" i="13"/>
  <c r="EC101" i="13"/>
  <c r="EC100" i="13"/>
  <c r="DQ101" i="13"/>
  <c r="DQ100" i="13"/>
  <c r="EB101" i="13"/>
  <c r="EB100" i="13"/>
  <c r="CR100" i="13"/>
  <c r="CR101" i="13"/>
  <c r="DG101" i="13"/>
  <c r="DG100" i="13"/>
  <c r="BY100" i="13"/>
  <c r="BY101" i="13"/>
  <c r="CN101" i="13"/>
  <c r="CN100" i="13"/>
  <c r="DJ100" i="13"/>
  <c r="CC101" i="13"/>
  <c r="CC100" i="13"/>
  <c r="CH100" i="13"/>
  <c r="CH101" i="13"/>
  <c r="CW101" i="13"/>
  <c r="CW100" i="13"/>
  <c r="T101" i="13"/>
  <c r="Q98" i="13"/>
  <c r="S102" i="13"/>
  <c r="P99" i="13"/>
  <c r="EA100" i="13"/>
  <c r="DI101" i="13"/>
  <c r="EE100" i="13"/>
  <c r="EE101" i="13"/>
  <c r="CN107" i="13"/>
  <c r="BX107" i="13"/>
  <c r="BX106" i="13"/>
  <c r="T107" i="13"/>
  <c r="P105" i="13"/>
  <c r="Q104" i="13"/>
  <c r="S108" i="13"/>
  <c r="DQ107" i="13"/>
  <c r="DQ106" i="13"/>
  <c r="DL106" i="13"/>
  <c r="DL107" i="13"/>
  <c r="CD107" i="13"/>
  <c r="CD106" i="13"/>
  <c r="EE107" i="13"/>
  <c r="EE106" i="13"/>
  <c r="DZ107" i="13"/>
  <c r="DZ106" i="13"/>
  <c r="CO106" i="13"/>
  <c r="CO107" i="13"/>
  <c r="DO106" i="13"/>
  <c r="AC104" i="13"/>
  <c r="AC107" i="13"/>
  <c r="EF107" i="13"/>
  <c r="EF106" i="13"/>
  <c r="BY107" i="13"/>
  <c r="BY106" i="13"/>
  <c r="M107" i="13"/>
  <c r="M104" i="13"/>
  <c r="J107" i="13"/>
  <c r="CU107" i="13"/>
  <c r="CU106" i="13"/>
  <c r="CC89" i="13"/>
  <c r="O91" i="13"/>
  <c r="L88" i="13"/>
  <c r="AC88" i="13"/>
  <c r="L90" i="13"/>
  <c r="N88" i="13" s="1"/>
  <c r="AC91" i="13"/>
  <c r="K88" i="13"/>
  <c r="L87" i="13" s="1"/>
  <c r="AC87" i="13"/>
  <c r="L91" i="13"/>
  <c r="O88" i="13" s="1"/>
  <c r="K91" i="13"/>
  <c r="K87" i="13"/>
  <c r="AC90" i="13"/>
  <c r="DZ88" i="13"/>
  <c r="DZ89" i="13"/>
  <c r="CP88" i="13"/>
  <c r="CP89" i="13"/>
  <c r="CW88" i="13"/>
  <c r="EH89" i="13"/>
  <c r="EH88" i="13"/>
  <c r="DQ88" i="13"/>
  <c r="CE89" i="13"/>
  <c r="CE88" i="13"/>
  <c r="DM88" i="13"/>
  <c r="EI89" i="13"/>
  <c r="EI88" i="13"/>
  <c r="CR88" i="13"/>
  <c r="DN88" i="13"/>
  <c r="DN89" i="13"/>
  <c r="EC89" i="13"/>
  <c r="EJ88" i="13"/>
  <c r="CA40" i="13"/>
  <c r="CA41" i="13"/>
  <c r="CF40" i="13"/>
  <c r="K40" i="13"/>
  <c r="L39" i="13" s="1"/>
  <c r="AC42" i="13"/>
  <c r="AC40" i="13"/>
  <c r="K39" i="13"/>
  <c r="DP41" i="13"/>
  <c r="DP40" i="13"/>
  <c r="EC40" i="13"/>
  <c r="BX41" i="13"/>
  <c r="CC41" i="13"/>
  <c r="CC40" i="13"/>
  <c r="CH40" i="13"/>
  <c r="J41" i="13"/>
  <c r="DM41" i="13"/>
  <c r="DM40" i="13"/>
  <c r="DZ40" i="13"/>
  <c r="Q39" i="13"/>
  <c r="DI40" i="13"/>
  <c r="DI41" i="13"/>
  <c r="DN41" i="13"/>
  <c r="CN41" i="13"/>
  <c r="CN40" i="13"/>
  <c r="CS40" i="13"/>
  <c r="EF41" i="13"/>
  <c r="EF40" i="13"/>
  <c r="EG58" i="13"/>
  <c r="EG59" i="13"/>
  <c r="CE58" i="13"/>
  <c r="CE59" i="13"/>
  <c r="CX59" i="13"/>
  <c r="CX58" i="13"/>
  <c r="CD59" i="13"/>
  <c r="CD58" i="13"/>
  <c r="DH58" i="13"/>
  <c r="DH59" i="13"/>
  <c r="ED58" i="13"/>
  <c r="ED59" i="13"/>
  <c r="CO59" i="13"/>
  <c r="CO58" i="13"/>
  <c r="L61" i="13"/>
  <c r="O58" i="13" s="1"/>
  <c r="AC57" i="13"/>
  <c r="AC58" i="13"/>
  <c r="L60" i="13"/>
  <c r="N58" i="13" s="1"/>
  <c r="K57" i="13"/>
  <c r="AC61" i="13"/>
  <c r="L58" i="13"/>
  <c r="O61" i="13"/>
  <c r="K58" i="13"/>
  <c r="L57" i="13" s="1"/>
  <c r="AC60" i="13"/>
  <c r="K61" i="13"/>
  <c r="CT58" i="13"/>
  <c r="CT59" i="13"/>
  <c r="CB58" i="13"/>
  <c r="CB59" i="13"/>
  <c r="CG58" i="13"/>
  <c r="CG59" i="13"/>
  <c r="J59" i="13"/>
  <c r="M59" i="13"/>
  <c r="M56" i="13"/>
  <c r="DM58" i="13"/>
  <c r="DM59" i="13"/>
  <c r="CV59" i="13"/>
  <c r="CV58" i="13"/>
  <c r="DZ59" i="13"/>
  <c r="DZ58" i="13"/>
  <c r="CN59" i="13"/>
  <c r="CN58" i="13"/>
  <c r="AC59" i="13"/>
  <c r="AC56" i="13"/>
  <c r="EA59" i="13"/>
  <c r="EA58" i="13"/>
  <c r="BY34" i="13"/>
  <c r="EI34" i="13"/>
  <c r="T36" i="13"/>
  <c r="S35" i="13"/>
  <c r="DQ35" i="13"/>
  <c r="DQ34" i="13"/>
  <c r="EJ47" i="13"/>
  <c r="EJ46" i="13"/>
  <c r="K45" i="13"/>
  <c r="L46" i="13"/>
  <c r="CT46" i="13"/>
  <c r="CT47" i="13"/>
  <c r="DG46" i="13"/>
  <c r="EG47" i="13"/>
  <c r="DH46" i="13"/>
  <c r="DJ47" i="13"/>
  <c r="M92" i="13"/>
  <c r="M95" i="13"/>
  <c r="DM95" i="13"/>
  <c r="DM94" i="13"/>
  <c r="EB95" i="13"/>
  <c r="EB94" i="13"/>
  <c r="DH95" i="13"/>
  <c r="DH94" i="13"/>
  <c r="DO95" i="13"/>
  <c r="DO94" i="13"/>
  <c r="CW95" i="13"/>
  <c r="CW94" i="13"/>
  <c r="T95" i="13"/>
  <c r="S96" i="13"/>
  <c r="DL94" i="13"/>
  <c r="DL95" i="13"/>
  <c r="EA95" i="13"/>
  <c r="EA94" i="13"/>
  <c r="CF95" i="13"/>
  <c r="CF94" i="13"/>
  <c r="CR94" i="13"/>
  <c r="DN94" i="13"/>
  <c r="DN95" i="13"/>
  <c r="BY95" i="13"/>
  <c r="BY94" i="13"/>
  <c r="L97" i="13"/>
  <c r="O94" i="13" s="1"/>
  <c r="O97" i="13"/>
  <c r="K94" i="13"/>
  <c r="L93" i="13" s="1"/>
  <c r="AC94" i="13"/>
  <c r="EC95" i="13"/>
  <c r="DP94" i="13"/>
  <c r="DP95" i="13"/>
  <c r="EE94" i="13"/>
  <c r="EE95" i="13"/>
  <c r="AC95" i="13"/>
  <c r="AC92" i="13"/>
  <c r="DL65" i="13"/>
  <c r="EG64" i="13"/>
  <c r="EG65" i="13"/>
  <c r="CO65" i="13"/>
  <c r="CO64" i="13"/>
  <c r="CH64" i="13"/>
  <c r="CH65" i="13"/>
  <c r="BY64" i="13"/>
  <c r="CN64" i="13"/>
  <c r="CN65" i="13"/>
  <c r="CS64" i="13"/>
  <c r="CS65" i="13"/>
  <c r="L66" i="13"/>
  <c r="N64" i="13" s="1"/>
  <c r="AC63" i="13"/>
  <c r="L67" i="13"/>
  <c r="O64" i="13" s="1"/>
  <c r="AC66" i="13"/>
  <c r="K64" i="13"/>
  <c r="L63" i="13" s="1"/>
  <c r="AC67" i="13"/>
  <c r="AC64" i="13"/>
  <c r="K63" i="13"/>
  <c r="K67" i="13"/>
  <c r="L64" i="13"/>
  <c r="O67" i="13"/>
  <c r="CU64" i="13"/>
  <c r="CU65" i="13"/>
  <c r="EB65" i="13"/>
  <c r="EB64" i="13"/>
  <c r="CR65" i="13"/>
  <c r="CR64" i="13"/>
  <c r="CW64" i="13"/>
  <c r="CW65" i="13"/>
  <c r="DK64" i="13"/>
  <c r="CQ65" i="13"/>
  <c r="CQ64" i="13"/>
  <c r="DN64" i="13"/>
  <c r="DN65" i="13"/>
  <c r="DP65" i="13"/>
  <c r="DP64" i="13"/>
  <c r="DJ64" i="13"/>
  <c r="DJ65" i="13"/>
  <c r="DG71" i="13"/>
  <c r="DJ70" i="13"/>
  <c r="DJ71" i="13"/>
  <c r="BZ70" i="13"/>
  <c r="BZ71" i="13"/>
  <c r="AC68" i="13"/>
  <c r="AC71" i="13"/>
  <c r="BX70" i="13"/>
  <c r="BX71" i="13"/>
  <c r="EI70" i="13"/>
  <c r="EI71" i="13"/>
  <c r="CO70" i="13"/>
  <c r="CO71" i="13"/>
  <c r="CF70" i="13"/>
  <c r="CF71" i="13"/>
  <c r="DN71" i="13"/>
  <c r="DN70" i="13"/>
  <c r="CR70" i="13"/>
  <c r="CR71" i="13"/>
  <c r="DK70" i="13"/>
  <c r="DK71" i="13"/>
  <c r="CB52" i="13"/>
  <c r="CB53" i="13"/>
  <c r="CG52" i="13"/>
  <c r="CG53" i="13"/>
  <c r="DQ53" i="13"/>
  <c r="DQ52" i="13"/>
  <c r="ED53" i="13"/>
  <c r="DN53" i="13"/>
  <c r="DN52" i="13"/>
  <c r="CX53" i="13"/>
  <c r="DZ52" i="13"/>
  <c r="DZ53" i="13"/>
  <c r="EI52" i="13"/>
  <c r="CE22" i="13"/>
  <c r="K25" i="13"/>
  <c r="CX23" i="13"/>
  <c r="DM23" i="13"/>
  <c r="BY22" i="13"/>
  <c r="BY23" i="13"/>
  <c r="DI22" i="13"/>
  <c r="BZ23" i="13"/>
  <c r="DP23" i="13"/>
  <c r="DG22" i="13"/>
  <c r="EH23" i="13"/>
  <c r="ED23" i="13"/>
  <c r="ED22" i="13"/>
  <c r="EI22" i="13"/>
  <c r="CP22" i="13"/>
  <c r="S23" i="13"/>
  <c r="T24" i="13"/>
  <c r="BZ119" i="13"/>
  <c r="BZ118" i="13"/>
  <c r="CG118" i="13"/>
  <c r="CG119" i="13"/>
  <c r="DO118" i="13"/>
  <c r="DO119" i="13"/>
  <c r="ED118" i="13"/>
  <c r="ED119" i="13"/>
  <c r="CF118" i="13"/>
  <c r="CF119" i="13"/>
  <c r="CR119" i="13"/>
  <c r="CR118" i="13"/>
  <c r="DG119" i="13"/>
  <c r="EC118" i="13"/>
  <c r="EC119" i="13"/>
  <c r="EJ118" i="13"/>
  <c r="EJ119" i="13"/>
  <c r="CU119" i="13"/>
  <c r="CU118" i="13"/>
  <c r="DQ119" i="13"/>
  <c r="DQ118" i="13"/>
  <c r="AC117" i="13"/>
  <c r="L120" i="13"/>
  <c r="N118" i="13" s="1"/>
  <c r="L118" i="13"/>
  <c r="AC118" i="13"/>
  <c r="EF118" i="13"/>
  <c r="EF119" i="13"/>
  <c r="CH118" i="13"/>
  <c r="CH119" i="13"/>
  <c r="CT119" i="13"/>
  <c r="CT118" i="13"/>
  <c r="DI118" i="13"/>
  <c r="AC116" i="13"/>
  <c r="AC119" i="13"/>
  <c r="EE118" i="13"/>
  <c r="EE119" i="13"/>
  <c r="DI28" i="13"/>
  <c r="DI29" i="13"/>
  <c r="EI29" i="13"/>
  <c r="EI28" i="13"/>
  <c r="BX29" i="13"/>
  <c r="BX28" i="13"/>
  <c r="CC28" i="13"/>
  <c r="CC29" i="13"/>
  <c r="EG28" i="13"/>
  <c r="EG29" i="13"/>
  <c r="DK29" i="13"/>
  <c r="DP28" i="13"/>
  <c r="DP29" i="13"/>
  <c r="DG29" i="13"/>
  <c r="DG28" i="13"/>
  <c r="T29" i="13"/>
  <c r="Q26" i="13"/>
  <c r="S30" i="13"/>
  <c r="P27" i="13"/>
  <c r="CF29" i="13"/>
  <c r="CF28" i="13"/>
  <c r="CH28" i="13"/>
  <c r="CH29" i="13"/>
  <c r="CR28" i="13"/>
  <c r="CR29" i="13"/>
  <c r="EE29" i="13"/>
  <c r="EE28" i="13"/>
  <c r="DZ28" i="13"/>
  <c r="DZ29" i="13"/>
  <c r="CU28" i="13"/>
  <c r="CU29" i="13"/>
  <c r="M26" i="13"/>
  <c r="CA82" i="13"/>
  <c r="CA83" i="13"/>
  <c r="CH82" i="13"/>
  <c r="AC80" i="13"/>
  <c r="AC83" i="13"/>
  <c r="DI82" i="13"/>
  <c r="DI83" i="13"/>
  <c r="DP82" i="13"/>
  <c r="DP83" i="13"/>
  <c r="EE83" i="13"/>
  <c r="BZ83" i="13"/>
  <c r="BZ82" i="13"/>
  <c r="CG83" i="13"/>
  <c r="CG82" i="13"/>
  <c r="P80" i="13"/>
  <c r="CV83" i="13"/>
  <c r="CV82" i="13"/>
  <c r="DK82" i="13"/>
  <c r="DK83" i="13"/>
  <c r="DZ82" i="13"/>
  <c r="CB82" i="13"/>
  <c r="CB83" i="13"/>
  <c r="CN83" i="13"/>
  <c r="CN82" i="13"/>
  <c r="AC84" i="13"/>
  <c r="O85" i="13"/>
  <c r="L85" i="13"/>
  <c r="O82" i="13" s="1"/>
  <c r="AC82" i="13"/>
  <c r="L84" i="13"/>
  <c r="N82" i="13" s="1"/>
  <c r="K82" i="13"/>
  <c r="L81" i="13" s="1"/>
  <c r="AC81" i="13"/>
  <c r="L82" i="13"/>
  <c r="K81" i="13"/>
  <c r="K85" i="13"/>
  <c r="AC85" i="13"/>
  <c r="DG113" i="13"/>
  <c r="DG112" i="13"/>
  <c r="DO113" i="13"/>
  <c r="DO112" i="13"/>
  <c r="BX113" i="13"/>
  <c r="BX112" i="13"/>
  <c r="CE112" i="13"/>
  <c r="CE113" i="13"/>
  <c r="CQ112" i="13"/>
  <c r="EJ112" i="13"/>
  <c r="EJ113" i="13"/>
  <c r="M113" i="13"/>
  <c r="J113" i="13"/>
  <c r="M110" i="13"/>
  <c r="DM113" i="13"/>
  <c r="DM112" i="13"/>
  <c r="EI112" i="13"/>
  <c r="EI113" i="13"/>
  <c r="BZ112" i="13"/>
  <c r="BZ113" i="13"/>
  <c r="CG112" i="13"/>
  <c r="CG113" i="13"/>
  <c r="DQ112" i="13"/>
  <c r="DQ113" i="13"/>
  <c r="CF112" i="13"/>
  <c r="CF113" i="13"/>
  <c r="DP112" i="13"/>
  <c r="CR112" i="13"/>
  <c r="CR113" i="13"/>
  <c r="DO76" i="13"/>
  <c r="DO77" i="13"/>
  <c r="ED77" i="13"/>
  <c r="CV77" i="13"/>
  <c r="CV76" i="13"/>
  <c r="DG77" i="13"/>
  <c r="DG76" i="13"/>
  <c r="CB77" i="13"/>
  <c r="CB76" i="13"/>
  <c r="CN76" i="13"/>
  <c r="CN77" i="13"/>
  <c r="BX76" i="13"/>
  <c r="BX77" i="13"/>
  <c r="CE76" i="13"/>
  <c r="DM77" i="13"/>
  <c r="DM76" i="13"/>
  <c r="AC77" i="13"/>
  <c r="AC74" i="13"/>
  <c r="EB77" i="13"/>
  <c r="EB76" i="13"/>
  <c r="CH77" i="13"/>
  <c r="CH76" i="13"/>
  <c r="CT77" i="13"/>
  <c r="CT76" i="13"/>
  <c r="EE77" i="13"/>
  <c r="EE76" i="13"/>
  <c r="S78" i="13"/>
  <c r="P75" i="13"/>
  <c r="T77" i="13"/>
  <c r="Q74" i="13"/>
  <c r="DL76" i="13"/>
  <c r="DL77" i="13"/>
  <c r="BZ76" i="13"/>
  <c r="P98" i="13"/>
  <c r="S101" i="13"/>
  <c r="Q99" i="13"/>
  <c r="T102" i="13"/>
  <c r="CV101" i="13"/>
  <c r="CV100" i="13"/>
  <c r="DZ100" i="13"/>
  <c r="DZ101" i="13"/>
  <c r="BX101" i="13"/>
  <c r="BX100" i="13"/>
  <c r="CX101" i="13"/>
  <c r="CX100" i="13"/>
  <c r="EI100" i="13"/>
  <c r="EI101" i="13"/>
  <c r="CG100" i="13"/>
  <c r="CG101" i="13"/>
  <c r="EG100" i="13"/>
  <c r="L102" i="13"/>
  <c r="N100" i="13" s="1"/>
  <c r="K99" i="13"/>
  <c r="L103" i="13"/>
  <c r="O100" i="13" s="1"/>
  <c r="AC102" i="13"/>
  <c r="O103" i="13"/>
  <c r="AC103" i="13"/>
  <c r="AC99" i="13"/>
  <c r="K100" i="13"/>
  <c r="L99" i="13" s="1"/>
  <c r="L100" i="13"/>
  <c r="K103" i="13"/>
  <c r="AC100" i="13"/>
  <c r="CU101" i="13"/>
  <c r="CU100" i="13"/>
  <c r="CS101" i="13"/>
  <c r="CS100" i="13"/>
  <c r="DH100" i="13"/>
  <c r="DH101" i="13"/>
  <c r="DO101" i="13"/>
  <c r="ED101" i="13"/>
  <c r="ED100" i="13"/>
  <c r="DV102" i="13"/>
  <c r="CA101" i="13"/>
  <c r="CA100" i="13"/>
  <c r="CT100" i="13"/>
  <c r="CT101" i="13"/>
  <c r="EH100" i="13"/>
  <c r="EH101" i="13"/>
  <c r="CD100" i="13"/>
  <c r="CD101" i="13"/>
  <c r="CP100" i="13"/>
  <c r="CP101" i="13"/>
  <c r="DP106" i="13"/>
  <c r="DP107" i="13"/>
  <c r="CE107" i="13"/>
  <c r="CX106" i="13"/>
  <c r="CX107" i="13"/>
  <c r="DM107" i="13"/>
  <c r="EI106" i="13"/>
  <c r="EI107" i="13"/>
  <c r="L108" i="13"/>
  <c r="N106" i="13" s="1"/>
  <c r="K109" i="13"/>
  <c r="K106" i="13"/>
  <c r="L105" i="13" s="1"/>
  <c r="AC105" i="13"/>
  <c r="AC106" i="13"/>
  <c r="AC109" i="13"/>
  <c r="AC108" i="13"/>
  <c r="L109" i="13"/>
  <c r="O106" i="13" s="1"/>
  <c r="L106" i="13"/>
  <c r="O109" i="13"/>
  <c r="K105" i="13"/>
  <c r="ED107" i="13"/>
  <c r="ED106" i="13"/>
  <c r="BZ106" i="13"/>
  <c r="BZ107" i="13"/>
  <c r="EA106" i="13"/>
  <c r="EA107" i="13"/>
  <c r="DN106" i="13"/>
  <c r="EJ107" i="13"/>
  <c r="EJ106" i="13"/>
  <c r="CC106" i="13"/>
  <c r="CC107" i="13"/>
  <c r="CF106" i="13"/>
  <c r="CF107" i="13"/>
  <c r="EG106" i="13"/>
  <c r="EG107" i="13"/>
  <c r="DI88" i="13"/>
  <c r="EE88" i="13"/>
  <c r="EE89" i="13"/>
  <c r="BZ88" i="13"/>
  <c r="EG88" i="13"/>
  <c r="CA88" i="13"/>
  <c r="CH89" i="13"/>
  <c r="CB89" i="13"/>
  <c r="CB88" i="13"/>
  <c r="CN89" i="13"/>
  <c r="AC86" i="13"/>
  <c r="AC89" i="13"/>
  <c r="EG40" i="13"/>
  <c r="EG41" i="13"/>
  <c r="CB41" i="13"/>
  <c r="DL41" i="13"/>
  <c r="EI41" i="13"/>
  <c r="EI40" i="13"/>
  <c r="BY40" i="13"/>
  <c r="CW41" i="13"/>
  <c r="CW40" i="13"/>
  <c r="DJ40" i="13"/>
  <c r="DO41" i="13"/>
  <c r="CE40" i="13"/>
  <c r="AC41" i="13"/>
  <c r="DG41" i="13"/>
  <c r="DG40" i="13"/>
  <c r="CF58" i="13"/>
  <c r="CF59" i="13"/>
  <c r="DG58" i="13"/>
  <c r="DG59" i="13"/>
  <c r="CP58" i="13"/>
  <c r="T60" i="13"/>
  <c r="Q57" i="13"/>
  <c r="S59" i="13"/>
  <c r="P56" i="13"/>
  <c r="EF58" i="13"/>
  <c r="EF59" i="13"/>
  <c r="DI58" i="13"/>
  <c r="DI59" i="13"/>
  <c r="EE58" i="13"/>
  <c r="EE59" i="13"/>
  <c r="DN59" i="13"/>
  <c r="BX59" i="13"/>
  <c r="BX58" i="13"/>
  <c r="CQ59" i="13"/>
  <c r="CC58" i="13"/>
  <c r="CC59" i="13"/>
  <c r="EC58" i="13"/>
  <c r="EC59" i="13"/>
  <c r="DL59" i="13"/>
  <c r="EH58" i="13"/>
  <c r="EH59" i="13"/>
  <c r="CH59" i="13"/>
  <c r="BY59" i="13"/>
  <c r="BY58" i="13"/>
  <c r="EJ59" i="13"/>
  <c r="EJ58" i="13"/>
  <c r="BZ58" i="13"/>
  <c r="BZ59" i="13"/>
  <c r="CC34" i="13"/>
  <c r="EA34" i="13"/>
  <c r="EA35" i="13"/>
  <c r="EE35" i="13"/>
  <c r="EB34" i="13"/>
  <c r="EB35" i="13"/>
  <c r="BX34" i="13"/>
  <c r="CQ34" i="13"/>
  <c r="CQ35" i="13"/>
  <c r="CX34" i="13"/>
  <c r="CX35" i="13"/>
  <c r="BZ34" i="13"/>
  <c r="BZ35" i="13"/>
  <c r="CS35" i="13"/>
  <c r="DG34" i="13"/>
  <c r="DG35" i="13"/>
  <c r="CA34" i="13"/>
  <c r="CA35" i="13"/>
  <c r="DL34" i="13"/>
  <c r="AC37" i="13"/>
  <c r="AC34" i="13"/>
  <c r="AC33" i="13"/>
  <c r="L36" i="13"/>
  <c r="N34" i="13" s="1"/>
  <c r="K34" i="13"/>
  <c r="L33" i="13" s="1"/>
  <c r="AC36" i="13"/>
  <c r="CN46" i="13"/>
  <c r="CN47" i="13"/>
  <c r="CX47" i="13"/>
  <c r="DK47" i="13"/>
  <c r="DK46" i="13"/>
  <c r="CF46" i="13"/>
  <c r="CF47" i="13"/>
  <c r="CP46" i="13"/>
  <c r="T48" i="13"/>
  <c r="P44" i="13"/>
  <c r="Q45" i="13"/>
  <c r="S47" i="13"/>
  <c r="EC47" i="13"/>
  <c r="EC46" i="13"/>
  <c r="EH46" i="13"/>
  <c r="S48" i="13"/>
  <c r="T47" i="13"/>
  <c r="P45" i="13"/>
  <c r="Q44" i="13"/>
  <c r="DQ46" i="13"/>
  <c r="DQ47" i="13"/>
  <c r="CD47" i="13"/>
  <c r="CD46" i="13"/>
  <c r="DI47" i="13"/>
  <c r="EA46" i="13"/>
  <c r="EA47" i="13"/>
  <c r="CA94" i="13"/>
  <c r="CT94" i="13"/>
  <c r="CT95" i="13"/>
  <c r="BZ94" i="13"/>
  <c r="EG95" i="13"/>
  <c r="EG94" i="13"/>
  <c r="CO95" i="13"/>
  <c r="CO94" i="13"/>
  <c r="CV94" i="13"/>
  <c r="DZ95" i="13"/>
  <c r="DZ94" i="13"/>
  <c r="CQ95" i="13"/>
  <c r="CQ94" i="13"/>
  <c r="CX94" i="13"/>
  <c r="CX95" i="13"/>
  <c r="CB95" i="13"/>
  <c r="CU94" i="13"/>
  <c r="CU95" i="13"/>
  <c r="DJ94" i="13"/>
  <c r="DJ95" i="13"/>
  <c r="CD95" i="13"/>
  <c r="CD94" i="13"/>
  <c r="BX65" i="13"/>
  <c r="BX64" i="13"/>
  <c r="DM64" i="13"/>
  <c r="DM65" i="13"/>
  <c r="EJ64" i="13"/>
  <c r="EJ65" i="13"/>
  <c r="DQ65" i="13"/>
  <c r="DQ64" i="13"/>
  <c r="EI64" i="13"/>
  <c r="EI65" i="13"/>
  <c r="AC62" i="13"/>
  <c r="AC65" i="13"/>
  <c r="DG64" i="13"/>
  <c r="DG65" i="13"/>
  <c r="CA65" i="13"/>
  <c r="CA64" i="13"/>
  <c r="CX65" i="13"/>
  <c r="CX64" i="13"/>
  <c r="EC65" i="13"/>
  <c r="EC64" i="13"/>
  <c r="CV64" i="13"/>
  <c r="EA65" i="13"/>
  <c r="EA64" i="13"/>
  <c r="DP70" i="13"/>
  <c r="DP71" i="13"/>
  <c r="CB71" i="13"/>
  <c r="CB70" i="13"/>
  <c r="EA70" i="13"/>
  <c r="EA71" i="13"/>
  <c r="EJ71" i="13"/>
  <c r="EJ70" i="13"/>
  <c r="P68" i="13"/>
  <c r="S71" i="13"/>
  <c r="Q69" i="13"/>
  <c r="T72" i="13"/>
  <c r="EH71" i="13"/>
  <c r="EH70" i="13"/>
  <c r="CH70" i="13"/>
  <c r="CH71" i="13"/>
  <c r="AC73" i="13"/>
  <c r="K73" i="13"/>
  <c r="K70" i="13"/>
  <c r="L69" i="13" s="1"/>
  <c r="L73" i="13"/>
  <c r="O70" i="13" s="1"/>
  <c r="L72" i="13"/>
  <c r="N70" i="13" s="1"/>
  <c r="AC72" i="13"/>
  <c r="AC70" i="13"/>
  <c r="K69" i="13"/>
  <c r="O73" i="13"/>
  <c r="L70" i="13"/>
  <c r="AC69" i="13"/>
  <c r="DZ71" i="13"/>
  <c r="DZ70" i="13"/>
  <c r="DH71" i="13"/>
  <c r="DH70" i="13"/>
  <c r="EG70" i="13"/>
  <c r="EG71" i="13"/>
  <c r="S72" i="13"/>
  <c r="P69" i="13"/>
  <c r="Q68" i="13"/>
  <c r="T71" i="13"/>
  <c r="DL70" i="13"/>
  <c r="DL71" i="13"/>
  <c r="CD70" i="13"/>
  <c r="CD71" i="13"/>
  <c r="DO71" i="13"/>
  <c r="DO70" i="13"/>
  <c r="CG71" i="13"/>
  <c r="CG70" i="13"/>
  <c r="DG52" i="13"/>
  <c r="DL52" i="13"/>
  <c r="BX53" i="13"/>
  <c r="CC52" i="13"/>
  <c r="CV53" i="13"/>
  <c r="CV52" i="13"/>
  <c r="DM53" i="13"/>
  <c r="CW53" i="13"/>
  <c r="DJ53" i="13"/>
  <c r="CA53" i="13"/>
  <c r="CA52" i="13"/>
  <c r="K55" i="13"/>
  <c r="AC51" i="13"/>
  <c r="K52" i="13"/>
  <c r="L51" i="13" s="1"/>
  <c r="O55" i="13"/>
  <c r="AC54" i="13"/>
  <c r="DK53" i="13"/>
  <c r="DP52" i="13"/>
  <c r="BY52" i="13"/>
  <c r="Q51" i="13"/>
  <c r="DI53" i="13"/>
  <c r="CQ23" i="13"/>
  <c r="CS23" i="13"/>
  <c r="CS22" i="13"/>
  <c r="DJ22" i="13"/>
  <c r="DJ23" i="13"/>
  <c r="EA23" i="13"/>
  <c r="EA22" i="13"/>
  <c r="CT22" i="13"/>
  <c r="DL22" i="13"/>
  <c r="DQ22" i="13"/>
  <c r="CC23" i="13"/>
  <c r="CC22" i="13"/>
  <c r="CH22" i="13"/>
  <c r="EE23" i="13"/>
  <c r="EE22" i="13"/>
  <c r="EH119" i="13"/>
  <c r="EH118" i="13"/>
  <c r="CC119" i="13"/>
  <c r="CC118" i="13"/>
  <c r="CV119" i="13"/>
  <c r="CV118" i="13"/>
  <c r="DK118" i="13"/>
  <c r="DK119" i="13"/>
  <c r="DZ119" i="13"/>
  <c r="P116" i="13"/>
  <c r="S119" i="13"/>
  <c r="Q117" i="13"/>
  <c r="T120" i="13"/>
  <c r="CB118" i="13"/>
  <c r="CB119" i="13"/>
  <c r="CN118" i="13"/>
  <c r="BX119" i="13"/>
  <c r="BX118" i="13"/>
  <c r="S120" i="13"/>
  <c r="P117" i="13"/>
  <c r="Q116" i="13"/>
  <c r="T119" i="13"/>
  <c r="CX119" i="13"/>
  <c r="CX118" i="13"/>
  <c r="DM119" i="13"/>
  <c r="DM118" i="13"/>
  <c r="EI119" i="13"/>
  <c r="EI118" i="13"/>
  <c r="CD119" i="13"/>
  <c r="CD118" i="13"/>
  <c r="CP119" i="13"/>
  <c r="DL118" i="13"/>
  <c r="DL119" i="13"/>
  <c r="BY28" i="13"/>
  <c r="CQ29" i="13"/>
  <c r="CQ28" i="13"/>
  <c r="EC28" i="13"/>
  <c r="EH29" i="13"/>
  <c r="EH28" i="13"/>
  <c r="EF29" i="13"/>
  <c r="EF28" i="13"/>
  <c r="DJ28" i="13"/>
  <c r="DL28" i="13"/>
  <c r="DL29" i="13"/>
  <c r="CE28" i="13"/>
  <c r="CE29" i="13"/>
  <c r="AC29" i="13"/>
  <c r="AC26" i="13"/>
  <c r="CG29" i="13"/>
  <c r="DQ29" i="13"/>
  <c r="DQ28" i="13"/>
  <c r="ED28" i="13"/>
  <c r="ED29" i="13"/>
  <c r="DM28" i="13"/>
  <c r="DM29" i="13"/>
  <c r="CA28" i="13"/>
  <c r="CA29" i="13"/>
  <c r="DH28" i="13"/>
  <c r="DH29" i="13"/>
  <c r="T30" i="13"/>
  <c r="Q27" i="13"/>
  <c r="P26" i="13"/>
  <c r="S29" i="13"/>
  <c r="Q2" i="2"/>
  <c r="D7" i="17"/>
  <c r="R4" i="2"/>
  <c r="Q4" i="2"/>
  <c r="E1" i="12"/>
  <c r="C51" i="12" s="1"/>
  <c r="I7" i="15"/>
  <c r="H7" i="15"/>
  <c r="V48" i="20"/>
  <c r="E1" i="17"/>
  <c r="Q50" i="20"/>
  <c r="O50" i="20"/>
  <c r="T50" i="20"/>
  <c r="J50" i="20"/>
  <c r="G50" i="20"/>
  <c r="F50" i="20"/>
  <c r="D50" i="20"/>
  <c r="R50" i="20"/>
  <c r="P50" i="20"/>
  <c r="N50" i="20"/>
  <c r="M50" i="20"/>
  <c r="H50" i="20"/>
  <c r="E50" i="20"/>
  <c r="C50" i="20"/>
  <c r="I8" i="15"/>
  <c r="E1" i="20"/>
  <c r="H9" i="15"/>
  <c r="I9" i="15"/>
  <c r="H8" i="15"/>
  <c r="E31" i="12"/>
  <c r="H31" i="12"/>
  <c r="H29" i="12"/>
  <c r="D31" i="12"/>
  <c r="H28" i="12"/>
  <c r="I8" i="12"/>
  <c r="D53" i="14"/>
  <c r="C53" i="14"/>
  <c r="G16" i="13"/>
  <c r="D15" i="13"/>
  <c r="AB14" i="13"/>
  <c r="D16" i="13"/>
  <c r="E15" i="13"/>
  <c r="C15" i="13"/>
  <c r="B16" i="13"/>
  <c r="B15" i="13"/>
  <c r="D14" i="13"/>
  <c r="C16" i="13"/>
  <c r="AB19" i="13"/>
  <c r="B53" i="14"/>
  <c r="B14" i="13"/>
  <c r="AB15" i="13"/>
  <c r="AB17" i="13"/>
  <c r="F16" i="13"/>
  <c r="C14" i="13"/>
  <c r="AB18" i="13"/>
  <c r="G14" i="13"/>
  <c r="E16" i="13"/>
  <c r="E14" i="13"/>
  <c r="F14" i="13"/>
  <c r="AB16" i="13"/>
  <c r="H14" i="13"/>
  <c r="I14" i="13"/>
  <c r="C52" i="14"/>
  <c r="AB12" i="13"/>
  <c r="E10" i="13"/>
  <c r="D52" i="14"/>
  <c r="AB11" i="13"/>
  <c r="B9" i="13"/>
  <c r="E8" i="13"/>
  <c r="I8" i="13"/>
  <c r="G8" i="13"/>
  <c r="C9" i="13"/>
  <c r="AB10" i="13"/>
  <c r="F8" i="13"/>
  <c r="F10" i="13"/>
  <c r="D9" i="13"/>
  <c r="B8" i="13"/>
  <c r="B52" i="14"/>
  <c r="D10" i="13"/>
  <c r="E9" i="13"/>
  <c r="AB13" i="13"/>
  <c r="B10" i="13"/>
  <c r="AB9" i="13"/>
  <c r="AB8" i="13"/>
  <c r="C10" i="13"/>
  <c r="C8" i="13"/>
  <c r="G10" i="13"/>
  <c r="D8" i="13"/>
  <c r="D51" i="14"/>
  <c r="B2" i="13"/>
  <c r="G4" i="13"/>
  <c r="G4" i="1"/>
  <c r="J4" i="1"/>
  <c r="E3" i="1"/>
  <c r="E26" i="1"/>
  <c r="D3" i="13"/>
  <c r="L3" i="1"/>
  <c r="C3" i="13"/>
  <c r="F4" i="13"/>
  <c r="C2" i="13"/>
  <c r="F4" i="1"/>
  <c r="L4" i="1"/>
  <c r="C26" i="1"/>
  <c r="J3" i="1"/>
  <c r="H2" i="13"/>
  <c r="AB5" i="13"/>
  <c r="AB4" i="13"/>
  <c r="G2" i="13"/>
  <c r="I33" i="1"/>
  <c r="H4" i="1"/>
  <c r="C46" i="1"/>
  <c r="H3" i="1"/>
  <c r="D2" i="13"/>
  <c r="I30" i="1"/>
  <c r="AB6" i="13"/>
  <c r="F2" i="13"/>
  <c r="D4" i="13"/>
  <c r="E4" i="1"/>
  <c r="I32" i="1"/>
  <c r="C48" i="1"/>
  <c r="I28" i="1"/>
  <c r="C51" i="14"/>
  <c r="AB2" i="13"/>
  <c r="AB7" i="13"/>
  <c r="C50" i="1"/>
  <c r="G26" i="1"/>
  <c r="I31" i="1"/>
  <c r="G3" i="1"/>
  <c r="I29" i="1"/>
  <c r="K4" i="1"/>
  <c r="I2" i="13"/>
  <c r="B51" i="14"/>
  <c r="E4" i="13"/>
  <c r="E2" i="13"/>
  <c r="E3" i="13"/>
  <c r="H26" i="1"/>
  <c r="C51" i="1"/>
  <c r="F3" i="1"/>
  <c r="K3" i="1"/>
  <c r="AB3" i="13"/>
  <c r="B4" i="13"/>
  <c r="B3" i="13"/>
  <c r="I4" i="1"/>
  <c r="F26" i="1"/>
  <c r="D26" i="1"/>
  <c r="I3" i="1"/>
  <c r="C4" i="13"/>
  <c r="C49" i="1"/>
  <c r="C47" i="1"/>
  <c r="BE49" i="13" l="1"/>
  <c r="BN49" i="13"/>
  <c r="AH49" i="13"/>
  <c r="BC49" i="13"/>
  <c r="BL49" i="13"/>
  <c r="AJ49" i="13"/>
  <c r="AN49" i="13"/>
  <c r="BD49" i="13"/>
  <c r="AE49" i="13"/>
  <c r="AU49" i="13"/>
  <c r="BK49" i="13"/>
  <c r="AP49" i="13"/>
  <c r="BF49" i="13"/>
  <c r="AG49" i="13"/>
  <c r="AW49" i="13"/>
  <c r="BM49" i="13"/>
  <c r="BZ46" i="13"/>
  <c r="BZ47" i="13"/>
  <c r="AI47" i="13"/>
  <c r="AL47" i="13"/>
  <c r="BB47" i="13"/>
  <c r="BR47" i="13"/>
  <c r="AW47" i="13"/>
  <c r="BM47" i="13"/>
  <c r="AE47" i="13"/>
  <c r="AR47" i="13"/>
  <c r="BH47" i="13"/>
  <c r="AM47" i="13"/>
  <c r="BC47" i="13"/>
  <c r="AI36" i="13"/>
  <c r="AM36" i="13"/>
  <c r="AY36" i="13"/>
  <c r="BO36" i="13"/>
  <c r="AV36" i="13"/>
  <c r="BL36" i="13"/>
  <c r="AH36" i="13"/>
  <c r="BA36" i="13"/>
  <c r="BQ36" i="13"/>
  <c r="AX36" i="13"/>
  <c r="BN36" i="13"/>
  <c r="P32" i="13"/>
  <c r="Q33" i="13"/>
  <c r="EF34" i="13"/>
  <c r="EF35" i="13"/>
  <c r="Q21" i="13"/>
  <c r="CV22" i="13"/>
  <c r="BJ24" i="13"/>
  <c r="AV24" i="13"/>
  <c r="BQ24" i="13"/>
  <c r="BI24" i="13"/>
  <c r="BA24" i="13"/>
  <c r="AS24" i="13"/>
  <c r="AF24" i="13"/>
  <c r="BB24" i="13"/>
  <c r="AO24" i="13"/>
  <c r="AG24" i="13"/>
  <c r="BP54" i="13"/>
  <c r="AZ54" i="13"/>
  <c r="BN54" i="13"/>
  <c r="AX54" i="13"/>
  <c r="BO54" i="13"/>
  <c r="BG54" i="13"/>
  <c r="AY54" i="13"/>
  <c r="AQ54" i="13"/>
  <c r="AI54" i="13"/>
  <c r="AL54" i="13"/>
  <c r="BO41" i="13"/>
  <c r="BG41" i="13"/>
  <c r="AY41" i="13"/>
  <c r="AQ41" i="13"/>
  <c r="AI41" i="13"/>
  <c r="BP41" i="13"/>
  <c r="BH41" i="13"/>
  <c r="AZ41" i="13"/>
  <c r="AR41" i="13"/>
  <c r="AJ41" i="13"/>
  <c r="BR89" i="13"/>
  <c r="BJ89" i="13"/>
  <c r="BB89" i="13"/>
  <c r="AT89" i="13"/>
  <c r="AL89" i="13"/>
  <c r="BQ89" i="13"/>
  <c r="BI89" i="13"/>
  <c r="BA89" i="13"/>
  <c r="AS89" i="13"/>
  <c r="AK89" i="13"/>
  <c r="BR86" i="13"/>
  <c r="BJ86" i="13"/>
  <c r="BB86" i="13"/>
  <c r="AT86" i="13"/>
  <c r="AL86" i="13"/>
  <c r="BQ86" i="13"/>
  <c r="BI86" i="13"/>
  <c r="BA86" i="13"/>
  <c r="AS86" i="13"/>
  <c r="AK86" i="13"/>
  <c r="BP83" i="13"/>
  <c r="BH83" i="13"/>
  <c r="AZ83" i="13"/>
  <c r="AR83" i="13"/>
  <c r="AJ83" i="13"/>
  <c r="BO83" i="13"/>
  <c r="BG83" i="13"/>
  <c r="AY83" i="13"/>
  <c r="AQ83" i="13"/>
  <c r="AI83" i="13"/>
  <c r="BF24" i="13"/>
  <c r="AR24" i="13"/>
  <c r="BO24" i="13"/>
  <c r="BG24" i="13"/>
  <c r="AY24" i="13"/>
  <c r="AQ24" i="13"/>
  <c r="BP24" i="13"/>
  <c r="AX24" i="13"/>
  <c r="AM24" i="13"/>
  <c r="BL54" i="13"/>
  <c r="AV54" i="13"/>
  <c r="BJ54" i="13"/>
  <c r="AT54" i="13"/>
  <c r="BM54" i="13"/>
  <c r="BE54" i="13"/>
  <c r="AW54" i="13"/>
  <c r="AO54" i="13"/>
  <c r="AG54" i="13"/>
  <c r="BM41" i="13"/>
  <c r="BE41" i="13"/>
  <c r="AW41" i="13"/>
  <c r="AO41" i="13"/>
  <c r="AG41" i="13"/>
  <c r="BN41" i="13"/>
  <c r="BF41" i="13"/>
  <c r="AX41" i="13"/>
  <c r="AP41" i="13"/>
  <c r="BP89" i="13"/>
  <c r="BH89" i="13"/>
  <c r="AZ89" i="13"/>
  <c r="AR89" i="13"/>
  <c r="AJ89" i="13"/>
  <c r="BO89" i="13"/>
  <c r="BG89" i="13"/>
  <c r="AY89" i="13"/>
  <c r="AQ89" i="13"/>
  <c r="BP86" i="13"/>
  <c r="BH86" i="13"/>
  <c r="AZ86" i="13"/>
  <c r="AR86" i="13"/>
  <c r="AJ86" i="13"/>
  <c r="BO86" i="13"/>
  <c r="BG86" i="13"/>
  <c r="AY86" i="13"/>
  <c r="AQ86" i="13"/>
  <c r="BN83" i="13"/>
  <c r="BF83" i="13"/>
  <c r="AX83" i="13"/>
  <c r="AP83" i="13"/>
  <c r="AH83" i="13"/>
  <c r="BM83" i="13"/>
  <c r="BE83" i="13"/>
  <c r="AW83" i="13"/>
  <c r="AO83" i="13"/>
  <c r="D5" i="17"/>
  <c r="AC55" i="13"/>
  <c r="K51" i="13"/>
  <c r="L52" i="13"/>
  <c r="O37" i="13"/>
  <c r="L37" i="13"/>
  <c r="O34" i="13" s="1"/>
  <c r="CE34" i="13"/>
  <c r="DH34" i="13"/>
  <c r="T42" i="13"/>
  <c r="K43" i="13"/>
  <c r="L42" i="13"/>
  <c r="N40" i="13" s="1"/>
  <c r="DG88" i="13"/>
  <c r="BI52" i="13"/>
  <c r="AS52" i="13"/>
  <c r="AE52" i="13"/>
  <c r="BF52" i="13"/>
  <c r="AP52" i="13"/>
  <c r="BQ48" i="13"/>
  <c r="AM48" i="13"/>
  <c r="BB48" i="13"/>
  <c r="BP45" i="13"/>
  <c r="AX45" i="13"/>
  <c r="BA45" i="13"/>
  <c r="BL34" i="13"/>
  <c r="AH34" i="13"/>
  <c r="AU34" i="13"/>
  <c r="BQ40" i="13"/>
  <c r="BE40" i="13"/>
  <c r="AU40" i="13"/>
  <c r="AK40" i="13"/>
  <c r="BN40" i="13"/>
  <c r="BD40" i="13"/>
  <c r="AT40" i="13"/>
  <c r="AH40" i="13"/>
  <c r="BI53" i="13"/>
  <c r="AS53" i="13"/>
  <c r="AE53" i="13"/>
  <c r="BF53" i="13"/>
  <c r="AP53" i="13"/>
  <c r="BK51" i="13"/>
  <c r="AW51" i="13"/>
  <c r="AG51" i="13"/>
  <c r="BJ51" i="13"/>
  <c r="AV51" i="13"/>
  <c r="AF51" i="13"/>
  <c r="BH35" i="13"/>
  <c r="AX35" i="13"/>
  <c r="AW35" i="13"/>
  <c r="BA37" i="13"/>
  <c r="BB37" i="13"/>
  <c r="AS37" i="13"/>
  <c r="L54" i="13"/>
  <c r="N52" i="13" s="1"/>
  <c r="L55" i="13"/>
  <c r="O52" i="13" s="1"/>
  <c r="EF46" i="13"/>
  <c r="CS47" i="13"/>
  <c r="L34" i="13"/>
  <c r="K33" i="13"/>
  <c r="CS52" i="13"/>
  <c r="CB46" i="13"/>
  <c r="DK35" i="13"/>
  <c r="P38" i="13"/>
  <c r="M38" i="13"/>
  <c r="L43" i="13"/>
  <c r="O40" i="13" s="1"/>
  <c r="CQ89" i="13"/>
  <c r="BM52" i="13"/>
  <c r="BA52" i="13"/>
  <c r="AM52" i="13"/>
  <c r="BL52" i="13"/>
  <c r="AX52" i="13"/>
  <c r="BC48" i="13"/>
  <c r="BN48" i="13"/>
  <c r="AL48" i="13"/>
  <c r="AN45" i="13"/>
  <c r="BM45" i="13"/>
  <c r="AK45" i="13"/>
  <c r="AX34" i="13"/>
  <c r="BI34" i="13"/>
  <c r="AE34" i="13"/>
  <c r="BK40" i="13"/>
  <c r="BA40" i="13"/>
  <c r="AO40" i="13"/>
  <c r="AE40" i="13"/>
  <c r="BJ40" i="13"/>
  <c r="AX40" i="13"/>
  <c r="BM53" i="13"/>
  <c r="BA53" i="13"/>
  <c r="AM53" i="13"/>
  <c r="BL53" i="13"/>
  <c r="AX53" i="13"/>
  <c r="BC51" i="13"/>
  <c r="AO51" i="13"/>
  <c r="BR51" i="13"/>
  <c r="BB51" i="13"/>
  <c r="AJ35" i="13"/>
  <c r="BK35" i="13"/>
  <c r="AK35" i="13"/>
  <c r="BP37" i="13"/>
  <c r="AL37" i="13"/>
  <c r="AE37" i="13"/>
  <c r="BQ47" i="13"/>
  <c r="BI47" i="13"/>
  <c r="BA47" i="13"/>
  <c r="AS47" i="13"/>
  <c r="AJ47" i="13"/>
  <c r="BN47" i="13"/>
  <c r="BF47" i="13"/>
  <c r="AX47" i="13"/>
  <c r="AP47" i="13"/>
  <c r="AK47" i="13"/>
  <c r="BQ49" i="13"/>
  <c r="BI49" i="13"/>
  <c r="BA49" i="13"/>
  <c r="AS49" i="13"/>
  <c r="AK49" i="13"/>
  <c r="BR49" i="13"/>
  <c r="BJ49" i="13"/>
  <c r="BB49" i="13"/>
  <c r="AT49" i="13"/>
  <c r="AL49" i="13"/>
  <c r="BR36" i="13"/>
  <c r="BJ36" i="13"/>
  <c r="BB36" i="13"/>
  <c r="AT36" i="13"/>
  <c r="AJ36" i="13"/>
  <c r="BM36" i="13"/>
  <c r="BE36" i="13"/>
  <c r="AW36" i="13"/>
  <c r="AO36" i="13"/>
  <c r="AK36" i="13"/>
  <c r="BO47" i="13"/>
  <c r="BG47" i="13"/>
  <c r="AY47" i="13"/>
  <c r="AQ47" i="13"/>
  <c r="AF47" i="13"/>
  <c r="BL47" i="13"/>
  <c r="BD47" i="13"/>
  <c r="AV47" i="13"/>
  <c r="AN47" i="13"/>
  <c r="BO49" i="13"/>
  <c r="BG49" i="13"/>
  <c r="AY49" i="13"/>
  <c r="AQ49" i="13"/>
  <c r="AI49" i="13"/>
  <c r="BP49" i="13"/>
  <c r="BH49" i="13"/>
  <c r="AZ49" i="13"/>
  <c r="AR49" i="13"/>
  <c r="BP36" i="13"/>
  <c r="BH36" i="13"/>
  <c r="AZ36" i="13"/>
  <c r="AR36" i="13"/>
  <c r="AF36" i="13"/>
  <c r="BK36" i="13"/>
  <c r="BC36" i="13"/>
  <c r="AU36" i="13"/>
  <c r="AL36" i="13"/>
  <c r="DU73" i="13"/>
  <c r="DC67" i="13"/>
  <c r="DV109" i="13"/>
  <c r="DV73" i="13"/>
  <c r="EO73" i="13"/>
  <c r="DC72" i="13"/>
  <c r="L31" i="13"/>
  <c r="O28" i="13" s="1"/>
  <c r="BR91" i="13"/>
  <c r="AM42" i="13"/>
  <c r="CB28" i="13"/>
  <c r="CW29" i="13"/>
  <c r="Q3" i="2"/>
  <c r="P3" i="2" s="1"/>
  <c r="BY119" i="13"/>
  <c r="BY70" i="13"/>
  <c r="BZ100" i="13"/>
  <c r="AR22" i="13"/>
  <c r="D6" i="17"/>
  <c r="CQ119" i="13"/>
  <c r="CE71" i="13"/>
  <c r="CR106" i="13"/>
  <c r="DN29" i="13"/>
  <c r="ED70" i="13"/>
  <c r="BZ65" i="13"/>
  <c r="CP64" i="13"/>
  <c r="CD28" i="13"/>
  <c r="CS71" i="13"/>
  <c r="DI65" i="13"/>
  <c r="CG76" i="13"/>
  <c r="CW76" i="13"/>
  <c r="DJ83" i="13"/>
  <c r="CD64" i="13"/>
  <c r="CG106" i="13"/>
  <c r="AE73" i="13"/>
  <c r="AH44" i="13"/>
  <c r="AW44" i="13"/>
  <c r="BB44" i="13"/>
  <c r="AF44" i="13"/>
  <c r="AQ44" i="13"/>
  <c r="AX44" i="13"/>
  <c r="M44" i="13"/>
  <c r="M47" i="13"/>
  <c r="DM35" i="13"/>
  <c r="DM34" i="13"/>
  <c r="CO34" i="13"/>
  <c r="CO35" i="13"/>
  <c r="EG34" i="13"/>
  <c r="EG35" i="13"/>
  <c r="AO33" i="13"/>
  <c r="AF33" i="13"/>
  <c r="BJ33" i="13"/>
  <c r="AE33" i="13"/>
  <c r="BI33" i="13"/>
  <c r="AX33" i="13"/>
  <c r="CF34" i="13"/>
  <c r="CF35" i="13"/>
  <c r="L24" i="13"/>
  <c r="N22" i="13" s="1"/>
  <c r="L25" i="13"/>
  <c r="O22" i="13" s="1"/>
  <c r="CG23" i="13"/>
  <c r="CG22" i="13"/>
  <c r="BB25" i="13"/>
  <c r="AY25" i="13"/>
  <c r="AV25" i="13"/>
  <c r="AF25" i="13"/>
  <c r="AM25" i="13"/>
  <c r="BQ25" i="13"/>
  <c r="DZ23" i="13"/>
  <c r="DZ22" i="13"/>
  <c r="CU22" i="13"/>
  <c r="CU23" i="13"/>
  <c r="CU53" i="13"/>
  <c r="CU52" i="13"/>
  <c r="T53" i="13"/>
  <c r="Q50" i="13"/>
  <c r="S54" i="13"/>
  <c r="DH53" i="13"/>
  <c r="DH52" i="13"/>
  <c r="BD50" i="13"/>
  <c r="AS50" i="13"/>
  <c r="AT50" i="13"/>
  <c r="AG50" i="13"/>
  <c r="BI50" i="13"/>
  <c r="EE52" i="13"/>
  <c r="EE53" i="13"/>
  <c r="Q38" i="13"/>
  <c r="T41" i="13"/>
  <c r="EE41" i="13"/>
  <c r="EE40" i="13"/>
  <c r="BD39" i="13"/>
  <c r="BR39" i="13"/>
  <c r="AM39" i="13"/>
  <c r="BB39" i="13"/>
  <c r="BP39" i="13"/>
  <c r="AJ39" i="13"/>
  <c r="AW39" i="13"/>
  <c r="AL43" i="13"/>
  <c r="BN43" i="13"/>
  <c r="BC43" i="13"/>
  <c r="AP43" i="13"/>
  <c r="BE43" i="13"/>
  <c r="BD43" i="13"/>
  <c r="AS43" i="13"/>
  <c r="BR43" i="13"/>
  <c r="CD41" i="13"/>
  <c r="CD40" i="13"/>
  <c r="BZ41" i="13"/>
  <c r="BZ40" i="13"/>
  <c r="AH90" i="13"/>
  <c r="AM90" i="13"/>
  <c r="AN90" i="13"/>
  <c r="CG88" i="13"/>
  <c r="CG89" i="13"/>
  <c r="AH87" i="13"/>
  <c r="BK87" i="13"/>
  <c r="BE87" i="13"/>
  <c r="AF87" i="13"/>
  <c r="BG87" i="13"/>
  <c r="AX87" i="13"/>
  <c r="L49" i="13"/>
  <c r="O46" i="13" s="1"/>
  <c r="AC48" i="13"/>
  <c r="CH35" i="13"/>
  <c r="CH34" i="13"/>
  <c r="EH35" i="13"/>
  <c r="EH34" i="13"/>
  <c r="AU32" i="13"/>
  <c r="AL32" i="13"/>
  <c r="BN32" i="13"/>
  <c r="AK32" i="13"/>
  <c r="BM32" i="13"/>
  <c r="BD32" i="13"/>
  <c r="AG23" i="13"/>
  <c r="BK23" i="13"/>
  <c r="AZ23" i="13"/>
  <c r="AE23" i="13"/>
  <c r="BE23" i="13"/>
  <c r="AV23" i="13"/>
  <c r="CA22" i="13"/>
  <c r="CA23" i="13"/>
  <c r="AC23" i="13"/>
  <c r="CU47" i="13"/>
  <c r="EB22" i="13"/>
  <c r="O25" i="13"/>
  <c r="DL88" i="13"/>
  <c r="BC25" i="13"/>
  <c r="AP23" i="13"/>
  <c r="AS23" i="13"/>
  <c r="BK32" i="13"/>
  <c r="AT33" i="13"/>
  <c r="AU50" i="13"/>
  <c r="AF50" i="13"/>
  <c r="AZ44" i="13"/>
  <c r="AE44" i="13"/>
  <c r="AM43" i="13"/>
  <c r="AU39" i="13"/>
  <c r="BL87" i="13"/>
  <c r="CJ37" i="13"/>
  <c r="CR35" i="13"/>
  <c r="AK25" i="13"/>
  <c r="BR23" i="13"/>
  <c r="BR32" i="13"/>
  <c r="BA32" i="13"/>
  <c r="AH33" i="13"/>
  <c r="BR50" i="13"/>
  <c r="BK44" i="13"/>
  <c r="BB43" i="13"/>
  <c r="AN39" i="13"/>
  <c r="BD87" i="13"/>
  <c r="CV46" i="13"/>
  <c r="CP35" i="13"/>
  <c r="DO47" i="13"/>
  <c r="CR46" i="13"/>
  <c r="BX46" i="13"/>
  <c r="CE47" i="13"/>
  <c r="CD34" i="13"/>
  <c r="CV35" i="13"/>
  <c r="BE48" i="13"/>
  <c r="AS48" i="13"/>
  <c r="BR48" i="13"/>
  <c r="BD48" i="13"/>
  <c r="AP48" i="13"/>
  <c r="AR45" i="13"/>
  <c r="BJ45" i="13"/>
  <c r="BQ45" i="13"/>
  <c r="BC45" i="13"/>
  <c r="AO45" i="13"/>
  <c r="BN34" i="13"/>
  <c r="BB34" i="13"/>
  <c r="AN34" i="13"/>
  <c r="BK34" i="13"/>
  <c r="AW34" i="13"/>
  <c r="AK34" i="13"/>
  <c r="AN35" i="13"/>
  <c r="BB35" i="13"/>
  <c r="BQ35" i="13"/>
  <c r="BA35" i="13"/>
  <c r="AM35" i="13"/>
  <c r="BI37" i="13"/>
  <c r="BR37" i="13"/>
  <c r="BF37" i="13"/>
  <c r="AR37" i="13"/>
  <c r="AU37" i="13"/>
  <c r="AG37" i="13"/>
  <c r="EN91" i="13"/>
  <c r="DC91" i="13"/>
  <c r="DB85" i="13"/>
  <c r="DM46" i="13"/>
  <c r="BI48" i="13"/>
  <c r="AU48" i="13"/>
  <c r="AG48" i="13"/>
  <c r="BF48" i="13"/>
  <c r="AT48" i="13"/>
  <c r="AZ45" i="13"/>
  <c r="BN45" i="13"/>
  <c r="AL45" i="13"/>
  <c r="BE45" i="13"/>
  <c r="AS45" i="13"/>
  <c r="BD34" i="13"/>
  <c r="AP34" i="13"/>
  <c r="BQ34" i="13"/>
  <c r="BA34" i="13"/>
  <c r="AZ35" i="13"/>
  <c r="BJ35" i="13"/>
  <c r="AH35" i="13"/>
  <c r="BE35" i="13"/>
  <c r="BQ37" i="13"/>
  <c r="BG37" i="13"/>
  <c r="BH37" i="13"/>
  <c r="AT37" i="13"/>
  <c r="AH37" i="13"/>
  <c r="CJ91" i="13"/>
  <c r="CI78" i="13"/>
  <c r="CJ79" i="13"/>
  <c r="DB61" i="13"/>
  <c r="DU61" i="13"/>
  <c r="CJ120" i="13"/>
  <c r="CJ49" i="13"/>
  <c r="DC36" i="13"/>
  <c r="EN36" i="13"/>
  <c r="DB25" i="13"/>
  <c r="DV55" i="13"/>
  <c r="EO96" i="13"/>
  <c r="CJ97" i="13"/>
  <c r="DU79" i="13"/>
  <c r="EN114" i="13"/>
  <c r="EO114" i="13"/>
  <c r="DV121" i="13"/>
  <c r="DB103" i="13"/>
  <c r="DC66" i="13"/>
  <c r="EN30" i="13"/>
  <c r="DU30" i="13"/>
  <c r="EO30" i="13"/>
  <c r="DV108" i="13"/>
  <c r="DU72" i="13"/>
  <c r="CI73" i="13"/>
  <c r="DB73" i="13"/>
  <c r="DC54" i="13"/>
  <c r="EO121" i="13"/>
  <c r="EO55" i="13"/>
  <c r="DH23" i="13"/>
  <c r="EA53" i="13"/>
  <c r="CW58" i="13"/>
  <c r="CA58" i="13"/>
  <c r="CK58" i="13" s="1"/>
  <c r="DK41" i="13"/>
  <c r="BQ21" i="13"/>
  <c r="AR55" i="13"/>
  <c r="BM73" i="13"/>
  <c r="DC49" i="13"/>
  <c r="DC24" i="13"/>
  <c r="DU42" i="13"/>
  <c r="EO25" i="13"/>
  <c r="DI94" i="13"/>
  <c r="DB24" i="13"/>
  <c r="AK82" i="13"/>
  <c r="DP46" i="13"/>
  <c r="DP47" i="13"/>
  <c r="EJ34" i="13"/>
  <c r="EJ35" i="13"/>
  <c r="ED34" i="13"/>
  <c r="ED35" i="13"/>
  <c r="DB36" i="13"/>
  <c r="DB37" i="13"/>
  <c r="CW34" i="13"/>
  <c r="CW35" i="13"/>
  <c r="CB34" i="13"/>
  <c r="CB35" i="13"/>
  <c r="DU24" i="13"/>
  <c r="DU25" i="13"/>
  <c r="EC22" i="13"/>
  <c r="EC23" i="13"/>
  <c r="CO22" i="13"/>
  <c r="CO23" i="13"/>
  <c r="EG22" i="13"/>
  <c r="EG23" i="13"/>
  <c r="P21" i="13"/>
  <c r="T23" i="13"/>
  <c r="Q20" i="13"/>
  <c r="AI22" i="13"/>
  <c r="AQ22" i="13"/>
  <c r="AY22" i="13"/>
  <c r="BG22" i="13"/>
  <c r="BO22" i="13"/>
  <c r="AP22" i="13"/>
  <c r="BN22" i="13"/>
  <c r="AN22" i="13"/>
  <c r="BD22" i="13"/>
  <c r="BB22" i="13"/>
  <c r="AG22" i="13"/>
  <c r="AS22" i="13"/>
  <c r="BC22" i="13"/>
  <c r="BM22" i="13"/>
  <c r="AT22" i="13"/>
  <c r="AF22" i="13"/>
  <c r="AZ22" i="13"/>
  <c r="BJ22" i="13"/>
  <c r="AM22" i="13"/>
  <c r="BA22" i="13"/>
  <c r="BQ22" i="13"/>
  <c r="BF22" i="13"/>
  <c r="AV22" i="13"/>
  <c r="AO22" i="13"/>
  <c r="BE22" i="13"/>
  <c r="AH22" i="13"/>
  <c r="BR22" i="13"/>
  <c r="BH22" i="13"/>
  <c r="BI22" i="13"/>
  <c r="AE22" i="13"/>
  <c r="AL22" i="13"/>
  <c r="AU22" i="13"/>
  <c r="AJ22" i="13"/>
  <c r="BL22" i="13"/>
  <c r="EN55" i="13"/>
  <c r="EN54" i="13"/>
  <c r="M53" i="13"/>
  <c r="M50" i="13"/>
  <c r="AI55" i="13"/>
  <c r="AQ55" i="13"/>
  <c r="AY55" i="13"/>
  <c r="BG55" i="13"/>
  <c r="BO55" i="13"/>
  <c r="AP55" i="13"/>
  <c r="BF55" i="13"/>
  <c r="AF55" i="13"/>
  <c r="AV55" i="13"/>
  <c r="BL55" i="13"/>
  <c r="AM55" i="13"/>
  <c r="AW55" i="13"/>
  <c r="BI55" i="13"/>
  <c r="AH55" i="13"/>
  <c r="BB55" i="13"/>
  <c r="AJ55" i="13"/>
  <c r="BD55" i="13"/>
  <c r="AE55" i="13"/>
  <c r="AS55" i="13"/>
  <c r="BE55" i="13"/>
  <c r="AL55" i="13"/>
  <c r="BN55" i="13"/>
  <c r="AZ55" i="13"/>
  <c r="AG55" i="13"/>
  <c r="AU55" i="13"/>
  <c r="BK55" i="13"/>
  <c r="AT55" i="13"/>
  <c r="BR55" i="13"/>
  <c r="BH55" i="13"/>
  <c r="BM55" i="13"/>
  <c r="BP55" i="13"/>
  <c r="AK55" i="13"/>
  <c r="AN55" i="13"/>
  <c r="BA55" i="13"/>
  <c r="AX55" i="13"/>
  <c r="CJ54" i="13"/>
  <c r="CJ55" i="13"/>
  <c r="DB43" i="13"/>
  <c r="DB42" i="13"/>
  <c r="DK88" i="13"/>
  <c r="DK89" i="13"/>
  <c r="Q86" i="13"/>
  <c r="T89" i="13"/>
  <c r="P87" i="13"/>
  <c r="S90" i="13"/>
  <c r="AG91" i="13"/>
  <c r="AO91" i="13"/>
  <c r="AW91" i="13"/>
  <c r="BE91" i="13"/>
  <c r="BM91" i="13"/>
  <c r="AH91" i="13"/>
  <c r="AP91" i="13"/>
  <c r="AX91" i="13"/>
  <c r="BF91" i="13"/>
  <c r="BN91" i="13"/>
  <c r="AE91" i="13"/>
  <c r="AQ91" i="13"/>
  <c r="BA91" i="13"/>
  <c r="BK91" i="13"/>
  <c r="AJ91" i="13"/>
  <c r="AT91" i="13"/>
  <c r="BD91" i="13"/>
  <c r="BP91" i="13"/>
  <c r="AS91" i="13"/>
  <c r="BG91" i="13"/>
  <c r="AF91" i="13"/>
  <c r="AV91" i="13"/>
  <c r="BJ91" i="13"/>
  <c r="AK91" i="13"/>
  <c r="BC91" i="13"/>
  <c r="AL91" i="13"/>
  <c r="BB91" i="13"/>
  <c r="AM91" i="13"/>
  <c r="BI91" i="13"/>
  <c r="AN91" i="13"/>
  <c r="BH91" i="13"/>
  <c r="BO91" i="13"/>
  <c r="BL91" i="13"/>
  <c r="AU91" i="13"/>
  <c r="AR91" i="13"/>
  <c r="DV90" i="13"/>
  <c r="M86" i="13"/>
  <c r="J89" i="13"/>
  <c r="M89" i="13"/>
  <c r="AG88" i="13"/>
  <c r="AO88" i="13"/>
  <c r="AW88" i="13"/>
  <c r="BE88" i="13"/>
  <c r="BM88" i="13"/>
  <c r="AH88" i="13"/>
  <c r="AP88" i="13"/>
  <c r="AX88" i="13"/>
  <c r="BF88" i="13"/>
  <c r="BN88" i="13"/>
  <c r="AE88" i="13"/>
  <c r="AQ88" i="13"/>
  <c r="BA88" i="13"/>
  <c r="BK88" i="13"/>
  <c r="AJ88" i="13"/>
  <c r="AT88" i="13"/>
  <c r="BD88" i="13"/>
  <c r="BP88" i="13"/>
  <c r="AM88" i="13"/>
  <c r="BC88" i="13"/>
  <c r="BQ88" i="13"/>
  <c r="AR88" i="13"/>
  <c r="BH88" i="13"/>
  <c r="AU88" i="13"/>
  <c r="BO88" i="13"/>
  <c r="AV88" i="13"/>
  <c r="BL88" i="13"/>
  <c r="AI88" i="13"/>
  <c r="AY88" i="13"/>
  <c r="AF88" i="13"/>
  <c r="AZ88" i="13"/>
  <c r="BR88" i="13"/>
  <c r="AK88" i="13"/>
  <c r="BB88" i="13"/>
  <c r="BG88" i="13"/>
  <c r="AL88" i="13"/>
  <c r="CI85" i="13"/>
  <c r="T83" i="13"/>
  <c r="P81" i="13"/>
  <c r="S84" i="13"/>
  <c r="CS95" i="13"/>
  <c r="CS94" i="13"/>
  <c r="EH95" i="13"/>
  <c r="EH94" i="13"/>
  <c r="EF94" i="13"/>
  <c r="EF95" i="13"/>
  <c r="CJ96" i="13"/>
  <c r="DC78" i="13"/>
  <c r="DC79" i="13"/>
  <c r="DV78" i="13"/>
  <c r="DV79" i="13"/>
  <c r="EH77" i="13"/>
  <c r="EH76" i="13"/>
  <c r="S77" i="13"/>
  <c r="T78" i="13"/>
  <c r="P74" i="13"/>
  <c r="EO79" i="13"/>
  <c r="CD113" i="13"/>
  <c r="CD112" i="13"/>
  <c r="BY112" i="13"/>
  <c r="BY113" i="13"/>
  <c r="CX112" i="13"/>
  <c r="CX113" i="13"/>
  <c r="EG112" i="13"/>
  <c r="EG113" i="13"/>
  <c r="CU59" i="13"/>
  <c r="CU58" i="13"/>
  <c r="CR58" i="13"/>
  <c r="CR59" i="13"/>
  <c r="DK59" i="13"/>
  <c r="DK58" i="13"/>
  <c r="EN121" i="13"/>
  <c r="EN120" i="13"/>
  <c r="M116" i="13"/>
  <c r="J119" i="13"/>
  <c r="M119" i="13"/>
  <c r="CA119" i="13"/>
  <c r="CA118" i="13"/>
  <c r="CI121" i="13"/>
  <c r="DB121" i="13"/>
  <c r="DB120" i="13"/>
  <c r="DC121" i="13"/>
  <c r="AG118" i="13"/>
  <c r="AO118" i="13"/>
  <c r="AW118" i="13"/>
  <c r="BE118" i="13"/>
  <c r="BM118" i="13"/>
  <c r="AH118" i="13"/>
  <c r="AP118" i="13"/>
  <c r="AX118" i="13"/>
  <c r="BF118" i="13"/>
  <c r="BN118" i="13"/>
  <c r="AE118" i="13"/>
  <c r="AQ118" i="13"/>
  <c r="BA118" i="13"/>
  <c r="BK118" i="13"/>
  <c r="AJ118" i="13"/>
  <c r="AT118" i="13"/>
  <c r="BD118" i="13"/>
  <c r="BP118" i="13"/>
  <c r="AS118" i="13"/>
  <c r="BG118" i="13"/>
  <c r="AF118" i="13"/>
  <c r="AV118" i="13"/>
  <c r="BJ118" i="13"/>
  <c r="AM118" i="13"/>
  <c r="BI118" i="13"/>
  <c r="AN118" i="13"/>
  <c r="BH118" i="13"/>
  <c r="AU118" i="13"/>
  <c r="BO118" i="13"/>
  <c r="AR118" i="13"/>
  <c r="BL118" i="13"/>
  <c r="AY118" i="13"/>
  <c r="AZ118" i="13"/>
  <c r="BQ118" i="13"/>
  <c r="AI118" i="13"/>
  <c r="BR118" i="13"/>
  <c r="DJ118" i="13"/>
  <c r="DJ119" i="13"/>
  <c r="DP119" i="13"/>
  <c r="DP118" i="13"/>
  <c r="CI103" i="13"/>
  <c r="CI102" i="13"/>
  <c r="DK100" i="13"/>
  <c r="DK101" i="13"/>
  <c r="DM100" i="13"/>
  <c r="DM101" i="13"/>
  <c r="CF100" i="13"/>
  <c r="CF101" i="13"/>
  <c r="CB101" i="13"/>
  <c r="CB100" i="13"/>
  <c r="AL102" i="13"/>
  <c r="AT102" i="13"/>
  <c r="BB102" i="13"/>
  <c r="BJ102" i="13"/>
  <c r="BR102" i="13"/>
  <c r="AQ102" i="13"/>
  <c r="BG102" i="13"/>
  <c r="AK102" i="13"/>
  <c r="BA102" i="13"/>
  <c r="BQ102" i="13"/>
  <c r="AH102" i="13"/>
  <c r="AR102" i="13"/>
  <c r="BD102" i="13"/>
  <c r="BN102" i="13"/>
  <c r="AM102" i="13"/>
  <c r="BK102" i="13"/>
  <c r="AS102" i="13"/>
  <c r="BM102" i="13"/>
  <c r="AJ102" i="13"/>
  <c r="AX102" i="13"/>
  <c r="BL102" i="13"/>
  <c r="AU102" i="13"/>
  <c r="AG102" i="13"/>
  <c r="BI102" i="13"/>
  <c r="AF102" i="13"/>
  <c r="AZ102" i="13"/>
  <c r="AE102" i="13"/>
  <c r="BO102" i="13"/>
  <c r="AN102" i="13"/>
  <c r="BF102" i="13"/>
  <c r="AI102" i="13"/>
  <c r="AO102" i="13"/>
  <c r="AP102" i="13"/>
  <c r="AY102" i="13"/>
  <c r="AV102" i="13"/>
  <c r="BC102" i="13"/>
  <c r="BH102" i="13"/>
  <c r="AW102" i="13"/>
  <c r="AK98" i="13"/>
  <c r="AS98" i="13"/>
  <c r="BA98" i="13"/>
  <c r="BI98" i="13"/>
  <c r="BQ98" i="13"/>
  <c r="AL98" i="13"/>
  <c r="AT98" i="13"/>
  <c r="BB98" i="13"/>
  <c r="BJ98" i="13"/>
  <c r="BR98" i="13"/>
  <c r="AM98" i="13"/>
  <c r="AW98" i="13"/>
  <c r="BG98" i="13"/>
  <c r="AF98" i="13"/>
  <c r="AP98" i="13"/>
  <c r="AZ98" i="13"/>
  <c r="BL98" i="13"/>
  <c r="AO98" i="13"/>
  <c r="BC98" i="13"/>
  <c r="BO98" i="13"/>
  <c r="AR98" i="13"/>
  <c r="BF98" i="13"/>
  <c r="AE98" i="13"/>
  <c r="AU98" i="13"/>
  <c r="BM98" i="13"/>
  <c r="AV98" i="13"/>
  <c r="BN98" i="13"/>
  <c r="AG98" i="13"/>
  <c r="AY98" i="13"/>
  <c r="AH98" i="13"/>
  <c r="AX98" i="13"/>
  <c r="BP98" i="13"/>
  <c r="AI98" i="13"/>
  <c r="AJ98" i="13"/>
  <c r="AQ98" i="13"/>
  <c r="AN98" i="13"/>
  <c r="BD98" i="13"/>
  <c r="BE98" i="13"/>
  <c r="EO103" i="13"/>
  <c r="EO102" i="13"/>
  <c r="DP100" i="13"/>
  <c r="DP101" i="13"/>
  <c r="DU103" i="13"/>
  <c r="DU102" i="13"/>
  <c r="CQ101" i="13"/>
  <c r="CQ100" i="13"/>
  <c r="M101" i="13"/>
  <c r="M98" i="13"/>
  <c r="CJ103" i="13"/>
  <c r="DC102" i="13"/>
  <c r="AC101" i="13"/>
  <c r="AC98" i="13"/>
  <c r="DL101" i="13"/>
  <c r="DL100" i="13"/>
  <c r="CI67" i="13"/>
  <c r="CI66" i="13"/>
  <c r="DB66" i="13"/>
  <c r="DB67" i="13"/>
  <c r="EN66" i="13"/>
  <c r="EN67" i="13"/>
  <c r="DU66" i="13"/>
  <c r="DU67" i="13"/>
  <c r="CC64" i="13"/>
  <c r="CC65" i="13"/>
  <c r="DH64" i="13"/>
  <c r="DH65" i="13"/>
  <c r="ED64" i="13"/>
  <c r="ED65" i="13"/>
  <c r="S65" i="13"/>
  <c r="T66" i="13"/>
  <c r="P62" i="13"/>
  <c r="EO66" i="13"/>
  <c r="EH64" i="13"/>
  <c r="EH65" i="13"/>
  <c r="DV67" i="13"/>
  <c r="DV66" i="13"/>
  <c r="AG67" i="13"/>
  <c r="AO67" i="13"/>
  <c r="AW67" i="13"/>
  <c r="BE67" i="13"/>
  <c r="BM67" i="13"/>
  <c r="AH67" i="13"/>
  <c r="AP67" i="13"/>
  <c r="AX67" i="13"/>
  <c r="BF67" i="13"/>
  <c r="BN67" i="13"/>
  <c r="AK67" i="13"/>
  <c r="AU67" i="13"/>
  <c r="BG67" i="13"/>
  <c r="BQ67" i="13"/>
  <c r="AN67" i="13"/>
  <c r="AZ67" i="13"/>
  <c r="BJ67" i="13"/>
  <c r="AM67" i="13"/>
  <c r="BA67" i="13"/>
  <c r="BO67" i="13"/>
  <c r="AR67" i="13"/>
  <c r="BD67" i="13"/>
  <c r="BR67" i="13"/>
  <c r="AQ67" i="13"/>
  <c r="BI67" i="13"/>
  <c r="AL67" i="13"/>
  <c r="BH67" i="13"/>
  <c r="AS67" i="13"/>
  <c r="BK67" i="13"/>
  <c r="AT67" i="13"/>
  <c r="BL67" i="13"/>
  <c r="AE67" i="13"/>
  <c r="AV67" i="13"/>
  <c r="AY67" i="13"/>
  <c r="BP67" i="13"/>
  <c r="AF67" i="13"/>
  <c r="CJ67" i="13"/>
  <c r="CJ66" i="13"/>
  <c r="S66" i="13"/>
  <c r="Q62" i="13"/>
  <c r="P63" i="13"/>
  <c r="T65" i="13"/>
  <c r="AH66" i="13"/>
  <c r="AG66" i="13"/>
  <c r="AS66" i="13"/>
  <c r="BA66" i="13"/>
  <c r="BI66" i="13"/>
  <c r="BQ66" i="13"/>
  <c r="AP66" i="13"/>
  <c r="AX66" i="13"/>
  <c r="BF66" i="13"/>
  <c r="BN66" i="13"/>
  <c r="AF66" i="13"/>
  <c r="AK66" i="13"/>
  <c r="AW66" i="13"/>
  <c r="BG66" i="13"/>
  <c r="AE66" i="13"/>
  <c r="AT66" i="13"/>
  <c r="BD66" i="13"/>
  <c r="BP66" i="13"/>
  <c r="AO66" i="13"/>
  <c r="BC66" i="13"/>
  <c r="BO66" i="13"/>
  <c r="AV66" i="13"/>
  <c r="BJ66" i="13"/>
  <c r="AL66" i="13"/>
  <c r="AY66" i="13"/>
  <c r="AI66" i="13"/>
  <c r="BB66" i="13"/>
  <c r="AN66" i="13"/>
  <c r="BE66" i="13"/>
  <c r="AM66" i="13"/>
  <c r="BH66" i="13"/>
  <c r="AQ66" i="13"/>
  <c r="BL66" i="13"/>
  <c r="AR66" i="13"/>
  <c r="BK66" i="13"/>
  <c r="M62" i="13"/>
  <c r="M65" i="13"/>
  <c r="J65" i="13"/>
  <c r="CG64" i="13"/>
  <c r="CG65" i="13"/>
  <c r="CB65" i="13"/>
  <c r="CB64" i="13"/>
  <c r="DB31" i="13"/>
  <c r="DB30" i="13"/>
  <c r="AP31" i="13"/>
  <c r="BH31" i="13"/>
  <c r="AG31" i="13"/>
  <c r="AO31" i="13"/>
  <c r="AW31" i="13"/>
  <c r="BE31" i="13"/>
  <c r="BM31" i="13"/>
  <c r="AJ31" i="13"/>
  <c r="AX31" i="13"/>
  <c r="BN31" i="13"/>
  <c r="AL31" i="13"/>
  <c r="BL31" i="13"/>
  <c r="AK31" i="13"/>
  <c r="AU31" i="13"/>
  <c r="BG31" i="13"/>
  <c r="BQ31" i="13"/>
  <c r="AV31" i="13"/>
  <c r="BR31" i="13"/>
  <c r="AT31" i="13"/>
  <c r="AE31" i="13"/>
  <c r="AS31" i="13"/>
  <c r="BI31" i="13"/>
  <c r="AN31" i="13"/>
  <c r="BJ31" i="13"/>
  <c r="AZ31" i="13"/>
  <c r="AI31" i="13"/>
  <c r="AY31" i="13"/>
  <c r="BK31" i="13"/>
  <c r="AR31" i="13"/>
  <c r="BD31" i="13"/>
  <c r="BO31" i="13"/>
  <c r="AM31" i="13"/>
  <c r="BA31" i="13"/>
  <c r="BB31" i="13"/>
  <c r="CO28" i="13"/>
  <c r="CO29" i="13"/>
  <c r="DC31" i="13"/>
  <c r="DC30" i="13"/>
  <c r="DO29" i="13"/>
  <c r="DO28" i="13"/>
  <c r="DV30" i="13"/>
  <c r="DV31" i="13"/>
  <c r="AC28" i="13"/>
  <c r="AC27" i="13"/>
  <c r="K31" i="13"/>
  <c r="O27" i="13" s="1"/>
  <c r="AC30" i="13"/>
  <c r="L30" i="13"/>
  <c r="N28" i="13" s="1"/>
  <c r="AC31" i="13"/>
  <c r="O31" i="13"/>
  <c r="K28" i="13"/>
  <c r="L27" i="13" s="1"/>
  <c r="L28" i="13"/>
  <c r="AI28" i="13"/>
  <c r="AQ28" i="13"/>
  <c r="AF28" i="13"/>
  <c r="AN28" i="13"/>
  <c r="AV28" i="13"/>
  <c r="BD28" i="13"/>
  <c r="BL28" i="13"/>
  <c r="AY28" i="13"/>
  <c r="BA28" i="13"/>
  <c r="BQ28" i="13"/>
  <c r="AG28" i="13"/>
  <c r="AS28" i="13"/>
  <c r="AJ28" i="13"/>
  <c r="AT28" i="13"/>
  <c r="BF28" i="13"/>
  <c r="BP28" i="13"/>
  <c r="BK28" i="13"/>
  <c r="BO28" i="13"/>
  <c r="AE28" i="13"/>
  <c r="AU28" i="13"/>
  <c r="AP28" i="13"/>
  <c r="BB28" i="13"/>
  <c r="BR28" i="13"/>
  <c r="BI28" i="13"/>
  <c r="AK28" i="13"/>
  <c r="AW28" i="13"/>
  <c r="AR28" i="13"/>
  <c r="BH28" i="13"/>
  <c r="BC28" i="13"/>
  <c r="BM28" i="13"/>
  <c r="AM28" i="13"/>
  <c r="BG28" i="13"/>
  <c r="AX28" i="13"/>
  <c r="AH28" i="13"/>
  <c r="BJ28" i="13"/>
  <c r="CI30" i="13"/>
  <c r="CI31" i="13"/>
  <c r="CV28" i="13"/>
  <c r="CV29" i="13"/>
  <c r="CP28" i="13"/>
  <c r="CP29" i="13"/>
  <c r="CJ31" i="13"/>
  <c r="CJ30" i="13"/>
  <c r="CQ106" i="13"/>
  <c r="CQ107" i="13"/>
  <c r="P104" i="13"/>
  <c r="Q105" i="13"/>
  <c r="S107" i="13"/>
  <c r="T108" i="13"/>
  <c r="EH107" i="13"/>
  <c r="EH106" i="13"/>
  <c r="CJ109" i="13"/>
  <c r="CJ108" i="13"/>
  <c r="DI106" i="13"/>
  <c r="DI107" i="13"/>
  <c r="CW107" i="13"/>
  <c r="CW106" i="13"/>
  <c r="DC108" i="13"/>
  <c r="DC109" i="13"/>
  <c r="EN109" i="13"/>
  <c r="DB108" i="13"/>
  <c r="DB109" i="13"/>
  <c r="CH107" i="13"/>
  <c r="CH106" i="13"/>
  <c r="CA106" i="13"/>
  <c r="CA107" i="13"/>
  <c r="CS106" i="13"/>
  <c r="CS107" i="13"/>
  <c r="DK106" i="13"/>
  <c r="DK107" i="13"/>
  <c r="DG107" i="13"/>
  <c r="DG106" i="13"/>
  <c r="DI71" i="13"/>
  <c r="DI70" i="13"/>
  <c r="CX71" i="13"/>
  <c r="CX70" i="13"/>
  <c r="CU70" i="13"/>
  <c r="CU71" i="13"/>
  <c r="M68" i="13"/>
  <c r="M71" i="13"/>
  <c r="J71" i="13"/>
  <c r="EF71" i="13"/>
  <c r="EF70" i="13"/>
  <c r="EN72" i="13"/>
  <c r="AL73" i="13"/>
  <c r="AT73" i="13"/>
  <c r="BB73" i="13"/>
  <c r="BJ73" i="13"/>
  <c r="BR73" i="13"/>
  <c r="AK73" i="13"/>
  <c r="AS73" i="13"/>
  <c r="BA73" i="13"/>
  <c r="BI73" i="13"/>
  <c r="BQ73" i="13"/>
  <c r="AH73" i="13"/>
  <c r="AR73" i="13"/>
  <c r="BD73" i="13"/>
  <c r="BN73" i="13"/>
  <c r="AI73" i="13"/>
  <c r="AU73" i="13"/>
  <c r="BE73" i="13"/>
  <c r="BO73" i="13"/>
  <c r="AN73" i="13"/>
  <c r="AZ73" i="13"/>
  <c r="BP73" i="13"/>
  <c r="AO73" i="13"/>
  <c r="BC73" i="13"/>
  <c r="AJ73" i="13"/>
  <c r="BF73" i="13"/>
  <c r="AG73" i="13"/>
  <c r="AY73" i="13"/>
  <c r="AP73" i="13"/>
  <c r="BH73" i="13"/>
  <c r="AM73" i="13"/>
  <c r="BG73" i="13"/>
  <c r="AV73" i="13"/>
  <c r="AQ73" i="13"/>
  <c r="AX73" i="13"/>
  <c r="AW73" i="13"/>
  <c r="BK73" i="13"/>
  <c r="BL73" i="13"/>
  <c r="DV72" i="13"/>
  <c r="CT70" i="13"/>
  <c r="CT71" i="13"/>
  <c r="DQ71" i="13"/>
  <c r="DQ70" i="13"/>
  <c r="EO72" i="13"/>
  <c r="EC70" i="13"/>
  <c r="EC71" i="13"/>
  <c r="DC73" i="13"/>
  <c r="CC70" i="13"/>
  <c r="CC71" i="13"/>
  <c r="BY46" i="13"/>
  <c r="BY47" i="13"/>
  <c r="CW46" i="13"/>
  <c r="CW47" i="13"/>
  <c r="EO49" i="13"/>
  <c r="CH47" i="13"/>
  <c r="CH46" i="13"/>
  <c r="AI46" i="13"/>
  <c r="AQ46" i="13"/>
  <c r="AY46" i="13"/>
  <c r="BG46" i="13"/>
  <c r="BO46" i="13"/>
  <c r="AP46" i="13"/>
  <c r="BF46" i="13"/>
  <c r="AF46" i="13"/>
  <c r="AV46" i="13"/>
  <c r="BL46" i="13"/>
  <c r="AG46" i="13"/>
  <c r="AS46" i="13"/>
  <c r="BC46" i="13"/>
  <c r="BM46" i="13"/>
  <c r="AT46" i="13"/>
  <c r="BN46" i="13"/>
  <c r="AR46" i="13"/>
  <c r="BP46" i="13"/>
  <c r="AO46" i="13"/>
  <c r="BE46" i="13"/>
  <c r="AH46" i="13"/>
  <c r="BJ46" i="13"/>
  <c r="AZ46" i="13"/>
  <c r="AE46" i="13"/>
  <c r="AU46" i="13"/>
  <c r="BI46" i="13"/>
  <c r="AL46" i="13"/>
  <c r="BR46" i="13"/>
  <c r="BD46" i="13"/>
  <c r="AK46" i="13"/>
  <c r="AX46" i="13"/>
  <c r="BK46" i="13"/>
  <c r="AW46" i="13"/>
  <c r="AJ46" i="13"/>
  <c r="BH46" i="13"/>
  <c r="CI36" i="13"/>
  <c r="CI37" i="13"/>
  <c r="DV36" i="13"/>
  <c r="DV37" i="13"/>
  <c r="J35" i="13"/>
  <c r="M35" i="13"/>
  <c r="M32" i="13"/>
  <c r="DI34" i="13"/>
  <c r="DI35" i="13"/>
  <c r="EO36" i="13"/>
  <c r="EO37" i="13"/>
  <c r="CJ25" i="13"/>
  <c r="CJ24" i="13"/>
  <c r="AJ21" i="13"/>
  <c r="AR21" i="13"/>
  <c r="AZ21" i="13"/>
  <c r="AG21" i="13"/>
  <c r="AO21" i="13"/>
  <c r="AW21" i="13"/>
  <c r="BE21" i="13"/>
  <c r="BM21" i="13"/>
  <c r="BJ21" i="13"/>
  <c r="BL21" i="13"/>
  <c r="AH21" i="13"/>
  <c r="AT21" i="13"/>
  <c r="BD21" i="13"/>
  <c r="AM21" i="13"/>
  <c r="AY21" i="13"/>
  <c r="BI21" i="13"/>
  <c r="BF21" i="13"/>
  <c r="BP21" i="13"/>
  <c r="AP21" i="13"/>
  <c r="AE21" i="13"/>
  <c r="AS21" i="13"/>
  <c r="BG21" i="13"/>
  <c r="BN21" i="13"/>
  <c r="AF21" i="13"/>
  <c r="AV21" i="13"/>
  <c r="AI21" i="13"/>
  <c r="AU21" i="13"/>
  <c r="BK21" i="13"/>
  <c r="BR21" i="13"/>
  <c r="AL21" i="13"/>
  <c r="BO21" i="13"/>
  <c r="BA21" i="13"/>
  <c r="AX21" i="13"/>
  <c r="AK21" i="13"/>
  <c r="BH21" i="13"/>
  <c r="CW22" i="13"/>
  <c r="CW23" i="13"/>
  <c r="AJ20" i="13"/>
  <c r="AR20" i="13"/>
  <c r="AZ20" i="13"/>
  <c r="BH20" i="13"/>
  <c r="BP20" i="13"/>
  <c r="AI20" i="13"/>
  <c r="AQ20" i="13"/>
  <c r="AY20" i="13"/>
  <c r="BG20" i="13"/>
  <c r="BO20" i="13"/>
  <c r="AN20" i="13"/>
  <c r="AX20" i="13"/>
  <c r="BJ20" i="13"/>
  <c r="AE20" i="13"/>
  <c r="AO20" i="13"/>
  <c r="BA20" i="13"/>
  <c r="BK20" i="13"/>
  <c r="AF20" i="13"/>
  <c r="AT20" i="13"/>
  <c r="BF20" i="13"/>
  <c r="AG20" i="13"/>
  <c r="AU20" i="13"/>
  <c r="BI20" i="13"/>
  <c r="AH20" i="13"/>
  <c r="AV20" i="13"/>
  <c r="BL20" i="13"/>
  <c r="AK20" i="13"/>
  <c r="AW20" i="13"/>
  <c r="BM20" i="13"/>
  <c r="AL20" i="13"/>
  <c r="BQ20" i="13"/>
  <c r="BB20" i="13"/>
  <c r="BC20" i="13"/>
  <c r="BN20" i="13"/>
  <c r="AM20" i="13"/>
  <c r="BZ53" i="13"/>
  <c r="BZ52" i="13"/>
  <c r="EO42" i="13"/>
  <c r="EO43" i="13"/>
  <c r="CV41" i="13"/>
  <c r="CV40" i="13"/>
  <c r="CI42" i="13"/>
  <c r="DB91" i="13"/>
  <c r="DO88" i="13"/>
  <c r="DO89" i="13"/>
  <c r="DP88" i="13"/>
  <c r="DP89" i="13"/>
  <c r="BX88" i="13"/>
  <c r="BX89" i="13"/>
  <c r="EO90" i="13"/>
  <c r="EO91" i="13"/>
  <c r="DU84" i="13"/>
  <c r="DU85" i="13"/>
  <c r="CD82" i="13"/>
  <c r="CD83" i="13"/>
  <c r="EG83" i="13"/>
  <c r="EG82" i="13"/>
  <c r="EO85" i="13"/>
  <c r="EO84" i="13"/>
  <c r="EN97" i="13"/>
  <c r="ED95" i="13"/>
  <c r="ED94" i="13"/>
  <c r="CC94" i="13"/>
  <c r="CC95" i="13"/>
  <c r="T96" i="13"/>
  <c r="P92" i="13"/>
  <c r="S95" i="13"/>
  <c r="CE95" i="13"/>
  <c r="CE94" i="13"/>
  <c r="CN94" i="13"/>
  <c r="CN95" i="13"/>
  <c r="AJ77" i="13"/>
  <c r="AR77" i="13"/>
  <c r="AZ77" i="13"/>
  <c r="BH77" i="13"/>
  <c r="BP77" i="13"/>
  <c r="AI77" i="13"/>
  <c r="AQ77" i="13"/>
  <c r="AY77" i="13"/>
  <c r="BG77" i="13"/>
  <c r="BO77" i="13"/>
  <c r="AH77" i="13"/>
  <c r="AT77" i="13"/>
  <c r="BD77" i="13"/>
  <c r="BN77" i="13"/>
  <c r="AK77" i="13"/>
  <c r="AU77" i="13"/>
  <c r="BE77" i="13"/>
  <c r="BQ77" i="13"/>
  <c r="AP77" i="13"/>
  <c r="BF77" i="13"/>
  <c r="AE77" i="13"/>
  <c r="AS77" i="13"/>
  <c r="BI77" i="13"/>
  <c r="AF77" i="13"/>
  <c r="AX77" i="13"/>
  <c r="BR77" i="13"/>
  <c r="AW77" i="13"/>
  <c r="BM77" i="13"/>
  <c r="AN77" i="13"/>
  <c r="BL77" i="13"/>
  <c r="BA77" i="13"/>
  <c r="AV77" i="13"/>
  <c r="AG77" i="13"/>
  <c r="BC77" i="13"/>
  <c r="AM77" i="13"/>
  <c r="AL77" i="13"/>
  <c r="AO77" i="13"/>
  <c r="BB77" i="13"/>
  <c r="BK77" i="13"/>
  <c r="DP77" i="13"/>
  <c r="DP76" i="13"/>
  <c r="EG76" i="13"/>
  <c r="EG77" i="13"/>
  <c r="DJ113" i="13"/>
  <c r="DJ112" i="13"/>
  <c r="DV115" i="13"/>
  <c r="DV114" i="13"/>
  <c r="CI114" i="13"/>
  <c r="CI115" i="13"/>
  <c r="CB113" i="13"/>
  <c r="CB112" i="13"/>
  <c r="DN113" i="13"/>
  <c r="DN112" i="13"/>
  <c r="P111" i="13"/>
  <c r="Q110" i="13"/>
  <c r="T113" i="13"/>
  <c r="CO112" i="13"/>
  <c r="CO113" i="13"/>
  <c r="EB58" i="13"/>
  <c r="EB59" i="13"/>
  <c r="P57" i="13"/>
  <c r="Q56" i="13"/>
  <c r="T59" i="13"/>
  <c r="S60" i="13"/>
  <c r="EO120" i="13"/>
  <c r="DV120" i="13"/>
  <c r="EA119" i="13"/>
  <c r="CR52" i="13"/>
  <c r="CN53" i="13"/>
  <c r="EO67" i="13"/>
  <c r="EE65" i="13"/>
  <c r="CG95" i="13"/>
  <c r="EO97" i="13"/>
  <c r="CG34" i="13"/>
  <c r="CT41" i="13"/>
  <c r="EB40" i="13"/>
  <c r="CO76" i="13"/>
  <c r="DZ112" i="13"/>
  <c r="EF82" i="13"/>
  <c r="EB53" i="13"/>
  <c r="ED113" i="13"/>
  <c r="BX83" i="13"/>
  <c r="DU31" i="13"/>
  <c r="CI43" i="13"/>
  <c r="CJ102" i="13"/>
  <c r="BD20" i="13"/>
  <c r="AX22" i="13"/>
  <c r="BC21" i="13"/>
  <c r="BE28" i="13"/>
  <c r="AO28" i="13"/>
  <c r="AQ31" i="13"/>
  <c r="BJ55" i="13"/>
  <c r="BA46" i="13"/>
  <c r="BL42" i="13"/>
  <c r="BB118" i="13"/>
  <c r="BM66" i="13"/>
  <c r="AJ67" i="13"/>
  <c r="AN88" i="13"/>
  <c r="AZ91" i="13"/>
  <c r="BE102" i="13"/>
  <c r="EO48" i="13"/>
  <c r="DC37" i="13"/>
  <c r="EO24" i="13"/>
  <c r="CI91" i="13"/>
  <c r="DC90" i="13"/>
  <c r="DB84" i="13"/>
  <c r="DV97" i="13"/>
  <c r="DB96" i="13"/>
  <c r="EO78" i="13"/>
  <c r="DC114" i="13"/>
  <c r="EN108" i="13"/>
  <c r="EO108" i="13"/>
  <c r="CI72" i="13"/>
  <c r="DU48" i="13"/>
  <c r="DU49" i="13"/>
  <c r="DV49" i="13"/>
  <c r="DV48" i="13"/>
  <c r="EN48" i="13"/>
  <c r="EN49" i="13"/>
  <c r="CA46" i="13"/>
  <c r="CA47" i="13"/>
  <c r="EE47" i="13"/>
  <c r="EE46" i="13"/>
  <c r="EC34" i="13"/>
  <c r="EC35" i="13"/>
  <c r="CJ36" i="13"/>
  <c r="DO34" i="13"/>
  <c r="DO35" i="13"/>
  <c r="EN25" i="13"/>
  <c r="EN24" i="13"/>
  <c r="CN23" i="13"/>
  <c r="CN22" i="13"/>
  <c r="DV25" i="13"/>
  <c r="DV24" i="13"/>
  <c r="CF22" i="13"/>
  <c r="CF23" i="13"/>
  <c r="EF53" i="13"/>
  <c r="EF52" i="13"/>
  <c r="CT52" i="13"/>
  <c r="CT53" i="13"/>
  <c r="CE52" i="13"/>
  <c r="CE53" i="13"/>
  <c r="CF52" i="13"/>
  <c r="CF53" i="13"/>
  <c r="CU40" i="13"/>
  <c r="CU41" i="13"/>
  <c r="DU43" i="13"/>
  <c r="CQ41" i="13"/>
  <c r="CQ40" i="13"/>
  <c r="DV43" i="13"/>
  <c r="DV42" i="13"/>
  <c r="T90" i="13"/>
  <c r="Q87" i="13"/>
  <c r="S89" i="13"/>
  <c r="P86" i="13"/>
  <c r="CF89" i="13"/>
  <c r="CF88" i="13"/>
  <c r="DJ89" i="13"/>
  <c r="DJ88" i="13"/>
  <c r="BY83" i="13"/>
  <c r="BY82" i="13"/>
  <c r="DN82" i="13"/>
  <c r="DN83" i="13"/>
  <c r="DV84" i="13"/>
  <c r="DV85" i="13"/>
  <c r="AG85" i="13"/>
  <c r="AO85" i="13"/>
  <c r="AW85" i="13"/>
  <c r="BE85" i="13"/>
  <c r="BM85" i="13"/>
  <c r="AH85" i="13"/>
  <c r="AP85" i="13"/>
  <c r="AX85" i="13"/>
  <c r="BF85" i="13"/>
  <c r="BN85" i="13"/>
  <c r="AK85" i="13"/>
  <c r="AU85" i="13"/>
  <c r="BG85" i="13"/>
  <c r="BQ85" i="13"/>
  <c r="AN85" i="13"/>
  <c r="AZ85" i="13"/>
  <c r="BJ85" i="13"/>
  <c r="AI85" i="13"/>
  <c r="AY85" i="13"/>
  <c r="BK85" i="13"/>
  <c r="AL85" i="13"/>
  <c r="BB85" i="13"/>
  <c r="BP85" i="13"/>
  <c r="AM85" i="13"/>
  <c r="BA85" i="13"/>
  <c r="BO85" i="13"/>
  <c r="AR85" i="13"/>
  <c r="BD85" i="13"/>
  <c r="BR85" i="13"/>
  <c r="AQ85" i="13"/>
  <c r="AF85" i="13"/>
  <c r="BH85" i="13"/>
  <c r="AS85" i="13"/>
  <c r="AJ85" i="13"/>
  <c r="BL85" i="13"/>
  <c r="AT85" i="13"/>
  <c r="BC85" i="13"/>
  <c r="EI95" i="13"/>
  <c r="EI94" i="13"/>
  <c r="CI96" i="13"/>
  <c r="CI97" i="13"/>
  <c r="CU76" i="13"/>
  <c r="CU77" i="13"/>
  <c r="CA77" i="13"/>
  <c r="CA76" i="13"/>
  <c r="CH113" i="13"/>
  <c r="CH112" i="13"/>
  <c r="DC115" i="13"/>
  <c r="DJ58" i="13"/>
  <c r="DJ59" i="13"/>
  <c r="EN60" i="13"/>
  <c r="EN61" i="13"/>
  <c r="CS59" i="13"/>
  <c r="CS58" i="13"/>
  <c r="DQ58" i="13"/>
  <c r="DQ59" i="13"/>
  <c r="DH118" i="13"/>
  <c r="DH119" i="13"/>
  <c r="CW118" i="13"/>
  <c r="DN23" i="13"/>
  <c r="CD22" i="13"/>
  <c r="EG53" i="13"/>
  <c r="EO54" i="13"/>
  <c r="DC55" i="13"/>
  <c r="CQ53" i="13"/>
  <c r="CP53" i="13"/>
  <c r="Q93" i="13"/>
  <c r="EI47" i="13"/>
  <c r="AC44" i="13"/>
  <c r="EJ41" i="13"/>
  <c r="BY77" i="13"/>
  <c r="CO83" i="13"/>
  <c r="CE64" i="13"/>
  <c r="DG95" i="13"/>
  <c r="EA88" i="13"/>
  <c r="DH83" i="13"/>
  <c r="Q80" i="13"/>
  <c r="DU78" i="13"/>
  <c r="DB102" i="13"/>
  <c r="DB60" i="13"/>
  <c r="CJ48" i="13"/>
  <c r="CI84" i="13"/>
  <c r="BE20" i="13"/>
  <c r="AP20" i="13"/>
  <c r="BK22" i="13"/>
  <c r="AQ21" i="13"/>
  <c r="BN28" i="13"/>
  <c r="BF31" i="13"/>
  <c r="BP31" i="13"/>
  <c r="BQ55" i="13"/>
  <c r="AN46" i="13"/>
  <c r="AM46" i="13"/>
  <c r="BM42" i="13"/>
  <c r="AL118" i="13"/>
  <c r="AU66" i="13"/>
  <c r="BC67" i="13"/>
  <c r="BI88" i="13"/>
  <c r="BQ91" i="13"/>
  <c r="BI85" i="13"/>
  <c r="BP102" i="13"/>
  <c r="BJ77" i="13"/>
  <c r="EB47" i="13"/>
  <c r="EB46" i="13"/>
  <c r="CQ46" i="13"/>
  <c r="CQ47" i="13"/>
  <c r="DN46" i="13"/>
  <c r="DN47" i="13"/>
  <c r="DL46" i="13"/>
  <c r="DL47" i="13"/>
  <c r="CT34" i="13"/>
  <c r="CT35" i="13"/>
  <c r="DZ35" i="13"/>
  <c r="DZ34" i="13"/>
  <c r="CU35" i="13"/>
  <c r="CU34" i="13"/>
  <c r="CI24" i="13"/>
  <c r="DK23" i="13"/>
  <c r="DK22" i="13"/>
  <c r="CR23" i="13"/>
  <c r="CR22" i="13"/>
  <c r="EF23" i="13"/>
  <c r="EF22" i="13"/>
  <c r="DC25" i="13"/>
  <c r="DB55" i="13"/>
  <c r="DB54" i="13"/>
  <c r="CD53" i="13"/>
  <c r="CD52" i="13"/>
  <c r="EH52" i="13"/>
  <c r="EH53" i="13"/>
  <c r="DO52" i="13"/>
  <c r="DO53" i="13"/>
  <c r="AJ42" i="13"/>
  <c r="AR42" i="13"/>
  <c r="AZ42" i="13"/>
  <c r="BH42" i="13"/>
  <c r="BP42" i="13"/>
  <c r="AI42" i="13"/>
  <c r="AQ42" i="13"/>
  <c r="AY42" i="13"/>
  <c r="BG42" i="13"/>
  <c r="BO42" i="13"/>
  <c r="AH42" i="13"/>
  <c r="AT42" i="13"/>
  <c r="BD42" i="13"/>
  <c r="BN42" i="13"/>
  <c r="AK42" i="13"/>
  <c r="AU42" i="13"/>
  <c r="BE42" i="13"/>
  <c r="BQ42" i="13"/>
  <c r="AN42" i="13"/>
  <c r="BB42" i="13"/>
  <c r="BR42" i="13"/>
  <c r="AO42" i="13"/>
  <c r="BC42" i="13"/>
  <c r="AP42" i="13"/>
  <c r="BF42" i="13"/>
  <c r="AE42" i="13"/>
  <c r="AS42" i="13"/>
  <c r="BI42" i="13"/>
  <c r="BJ42" i="13"/>
  <c r="AW42" i="13"/>
  <c r="AF42" i="13"/>
  <c r="BK42" i="13"/>
  <c r="AV42" i="13"/>
  <c r="AG42" i="13"/>
  <c r="ED41" i="13"/>
  <c r="ED40" i="13"/>
  <c r="CR41" i="13"/>
  <c r="CR40" i="13"/>
  <c r="CS88" i="13"/>
  <c r="CS89" i="13"/>
  <c r="CD89" i="13"/>
  <c r="CD88" i="13"/>
  <c r="CT89" i="13"/>
  <c r="CT88" i="13"/>
  <c r="EB88" i="13"/>
  <c r="EB89" i="13"/>
  <c r="CJ84" i="13"/>
  <c r="CJ85" i="13"/>
  <c r="CT82" i="13"/>
  <c r="CT83" i="13"/>
  <c r="EA82" i="13"/>
  <c r="EA83" i="13"/>
  <c r="AG82" i="13"/>
  <c r="AO82" i="13"/>
  <c r="AW82" i="13"/>
  <c r="BE82" i="13"/>
  <c r="BM82" i="13"/>
  <c r="AH82" i="13"/>
  <c r="AP82" i="13"/>
  <c r="AX82" i="13"/>
  <c r="BF82" i="13"/>
  <c r="BN82" i="13"/>
  <c r="AE82" i="13"/>
  <c r="AQ82" i="13"/>
  <c r="BA82" i="13"/>
  <c r="BK82" i="13"/>
  <c r="AJ82" i="13"/>
  <c r="AT82" i="13"/>
  <c r="BD82" i="13"/>
  <c r="BP82" i="13"/>
  <c r="AM82" i="13"/>
  <c r="BC82" i="13"/>
  <c r="BQ82" i="13"/>
  <c r="AR82" i="13"/>
  <c r="BH82" i="13"/>
  <c r="AS82" i="13"/>
  <c r="BG82" i="13"/>
  <c r="AF82" i="13"/>
  <c r="AV82" i="13"/>
  <c r="BJ82" i="13"/>
  <c r="AU82" i="13"/>
  <c r="AL82" i="13"/>
  <c r="BL82" i="13"/>
  <c r="AY82" i="13"/>
  <c r="AN82" i="13"/>
  <c r="BR82" i="13"/>
  <c r="BI82" i="13"/>
  <c r="AI82" i="13"/>
  <c r="AZ82" i="13"/>
  <c r="DU97" i="13"/>
  <c r="EJ95" i="13"/>
  <c r="EJ94" i="13"/>
  <c r="CH94" i="13"/>
  <c r="CH95" i="13"/>
  <c r="DK94" i="13"/>
  <c r="DK95" i="13"/>
  <c r="EN78" i="13"/>
  <c r="EN79" i="13"/>
  <c r="DZ77" i="13"/>
  <c r="DZ76" i="13"/>
  <c r="DN77" i="13"/>
  <c r="DN76" i="13"/>
  <c r="AC113" i="13"/>
  <c r="AC110" i="13"/>
  <c r="DU114" i="13"/>
  <c r="DU115" i="13"/>
  <c r="DH113" i="13"/>
  <c r="DH112" i="13"/>
  <c r="DP58" i="13"/>
  <c r="DP59" i="13"/>
  <c r="DC60" i="13"/>
  <c r="DC61" i="13"/>
  <c r="DV61" i="13"/>
  <c r="DV60" i="13"/>
  <c r="DN118" i="13"/>
  <c r="DN119" i="13"/>
  <c r="EG118" i="13"/>
  <c r="CH52" i="13"/>
  <c r="J53" i="13"/>
  <c r="EC53" i="13"/>
  <c r="CT65" i="13"/>
  <c r="DV91" i="13"/>
  <c r="ED89" i="13"/>
  <c r="Q75" i="13"/>
  <c r="BX22" i="13"/>
  <c r="J101" i="13"/>
  <c r="DH76" i="13"/>
  <c r="S114" i="13"/>
  <c r="EN90" i="13"/>
  <c r="CI25" i="13"/>
  <c r="CJ90" i="13"/>
  <c r="AS20" i="13"/>
  <c r="BP22" i="13"/>
  <c r="AW22" i="13"/>
  <c r="BB21" i="13"/>
  <c r="AZ28" i="13"/>
  <c r="AH31" i="13"/>
  <c r="AF31" i="13"/>
  <c r="BC55" i="13"/>
  <c r="BB46" i="13"/>
  <c r="BA42" i="13"/>
  <c r="AL42" i="13"/>
  <c r="BC118" i="13"/>
  <c r="BR66" i="13"/>
  <c r="AJ66" i="13"/>
  <c r="AI67" i="13"/>
  <c r="AS88" i="13"/>
  <c r="AY91" i="13"/>
  <c r="BO82" i="13"/>
  <c r="AE85" i="13"/>
  <c r="BH98" i="13"/>
  <c r="AC49" i="13"/>
  <c r="AC46" i="13"/>
  <c r="K49" i="13"/>
  <c r="N49" i="13" s="1"/>
  <c r="O48" i="13" s="1"/>
  <c r="AC45" i="13"/>
  <c r="AJ44" i="13"/>
  <c r="AR44" i="13"/>
  <c r="AK44" i="13"/>
  <c r="AS44" i="13"/>
  <c r="BA44" i="13"/>
  <c r="BI44" i="13"/>
  <c r="BQ44" i="13"/>
  <c r="BF44" i="13"/>
  <c r="AV44" i="13"/>
  <c r="BL44" i="13"/>
  <c r="AN44" i="13"/>
  <c r="AI44" i="13"/>
  <c r="AU44" i="13"/>
  <c r="BE44" i="13"/>
  <c r="BO44" i="13"/>
  <c r="BJ44" i="13"/>
  <c r="BD44" i="13"/>
  <c r="CC47" i="13"/>
  <c r="CC46" i="13"/>
  <c r="DN34" i="13"/>
  <c r="DN35" i="13"/>
  <c r="AI33" i="13"/>
  <c r="AQ33" i="13"/>
  <c r="AY33" i="13"/>
  <c r="BG33" i="13"/>
  <c r="BO33" i="13"/>
  <c r="AJ33" i="13"/>
  <c r="AR33" i="13"/>
  <c r="AZ33" i="13"/>
  <c r="BH33" i="13"/>
  <c r="BP33" i="13"/>
  <c r="AG33" i="13"/>
  <c r="AS33" i="13"/>
  <c r="BC33" i="13"/>
  <c r="BM33" i="13"/>
  <c r="AL33" i="13"/>
  <c r="AV33" i="13"/>
  <c r="BF33" i="13"/>
  <c r="BR33" i="13"/>
  <c r="S36" i="13"/>
  <c r="P33" i="13"/>
  <c r="K21" i="13"/>
  <c r="N21" i="13" s="1"/>
  <c r="L22" i="13"/>
  <c r="AC22" i="13"/>
  <c r="AC24" i="13"/>
  <c r="AC21" i="13"/>
  <c r="EJ22" i="13"/>
  <c r="EJ23" i="13"/>
  <c r="DU55" i="13"/>
  <c r="DU54" i="13"/>
  <c r="DC42" i="13"/>
  <c r="AJ43" i="13"/>
  <c r="AR43" i="13"/>
  <c r="AZ43" i="13"/>
  <c r="BH43" i="13"/>
  <c r="BP43" i="13"/>
  <c r="AI43" i="13"/>
  <c r="AQ43" i="13"/>
  <c r="AY43" i="13"/>
  <c r="BG43" i="13"/>
  <c r="BO43" i="13"/>
  <c r="AN43" i="13"/>
  <c r="AX43" i="13"/>
  <c r="BJ43" i="13"/>
  <c r="AE43" i="13"/>
  <c r="AO43" i="13"/>
  <c r="BA43" i="13"/>
  <c r="BK43" i="13"/>
  <c r="AK90" i="13"/>
  <c r="AS90" i="13"/>
  <c r="BA90" i="13"/>
  <c r="BI90" i="13"/>
  <c r="BQ90" i="13"/>
  <c r="AL90" i="13"/>
  <c r="AT90" i="13"/>
  <c r="BB90" i="13"/>
  <c r="BJ90" i="13"/>
  <c r="BR90" i="13"/>
  <c r="AG90" i="13"/>
  <c r="AQ90" i="13"/>
  <c r="BC90" i="13"/>
  <c r="BM90" i="13"/>
  <c r="AJ90" i="13"/>
  <c r="AV90" i="13"/>
  <c r="BF90" i="13"/>
  <c r="BP90" i="13"/>
  <c r="AO90" i="13"/>
  <c r="BE90" i="13"/>
  <c r="AF90" i="13"/>
  <c r="AR90" i="13"/>
  <c r="BH90" i="13"/>
  <c r="AU90" i="13"/>
  <c r="BK90" i="13"/>
  <c r="AP90" i="13"/>
  <c r="BL90" i="13"/>
  <c r="AE90" i="13"/>
  <c r="AW90" i="13"/>
  <c r="BO90" i="13"/>
  <c r="AX90" i="13"/>
  <c r="BN90" i="13"/>
  <c r="DU90" i="13"/>
  <c r="AG87" i="13"/>
  <c r="AO87" i="13"/>
  <c r="AL87" i="13"/>
  <c r="AT87" i="13"/>
  <c r="BB87" i="13"/>
  <c r="BJ87" i="13"/>
  <c r="BC87" i="13"/>
  <c r="BO87" i="13"/>
  <c r="BA87" i="13"/>
  <c r="BN87" i="13"/>
  <c r="AK87" i="13"/>
  <c r="AJ87" i="13"/>
  <c r="AV87" i="13"/>
  <c r="BF87" i="13"/>
  <c r="AY87" i="13"/>
  <c r="BQ87" i="13"/>
  <c r="BI87" i="13"/>
  <c r="AI87" i="13"/>
  <c r="AN87" i="13"/>
  <c r="AZ87" i="13"/>
  <c r="AU87" i="13"/>
  <c r="AS87" i="13"/>
  <c r="BP87" i="13"/>
  <c r="AK96" i="13"/>
  <c r="AS96" i="13"/>
  <c r="BA96" i="13"/>
  <c r="BI96" i="13"/>
  <c r="BQ96" i="13"/>
  <c r="AL96" i="13"/>
  <c r="AT96" i="13"/>
  <c r="BB96" i="13"/>
  <c r="BJ96" i="13"/>
  <c r="BR96" i="13"/>
  <c r="AM96" i="13"/>
  <c r="AW96" i="13"/>
  <c r="BG96" i="13"/>
  <c r="AF96" i="13"/>
  <c r="AP96" i="13"/>
  <c r="AZ96" i="13"/>
  <c r="BL96" i="13"/>
  <c r="AG96" i="13"/>
  <c r="AU96" i="13"/>
  <c r="BK96" i="13"/>
  <c r="AJ96" i="13"/>
  <c r="AX96" i="13"/>
  <c r="BN96" i="13"/>
  <c r="AO96" i="13"/>
  <c r="BE96" i="13"/>
  <c r="AN96" i="13"/>
  <c r="BF96" i="13"/>
  <c r="AQ96" i="13"/>
  <c r="BM96" i="13"/>
  <c r="AR96" i="13"/>
  <c r="BH96" i="13"/>
  <c r="AC93" i="13"/>
  <c r="K93" i="13"/>
  <c r="N96" i="13" s="1"/>
  <c r="L96" i="13"/>
  <c r="N94" i="13" s="1"/>
  <c r="AC96" i="13"/>
  <c r="K97" i="13"/>
  <c r="O93" i="13" s="1"/>
  <c r="DB49" i="13"/>
  <c r="DC48" i="13"/>
  <c r="AI32" i="13"/>
  <c r="AQ32" i="13"/>
  <c r="AY32" i="13"/>
  <c r="BG32" i="13"/>
  <c r="BO32" i="13"/>
  <c r="AJ32" i="13"/>
  <c r="AR32" i="13"/>
  <c r="AZ32" i="13"/>
  <c r="BH32" i="13"/>
  <c r="BP32" i="13"/>
  <c r="AM32" i="13"/>
  <c r="AW32" i="13"/>
  <c r="BI32" i="13"/>
  <c r="AF32" i="13"/>
  <c r="AP32" i="13"/>
  <c r="BB32" i="13"/>
  <c r="BL32" i="13"/>
  <c r="AP25" i="13"/>
  <c r="BH25" i="13"/>
  <c r="AG25" i="13"/>
  <c r="AO25" i="13"/>
  <c r="AW25" i="13"/>
  <c r="BE25" i="13"/>
  <c r="BM25" i="13"/>
  <c r="AJ25" i="13"/>
  <c r="AZ25" i="13"/>
  <c r="BN25" i="13"/>
  <c r="AX25" i="13"/>
  <c r="AE25" i="13"/>
  <c r="AQ25" i="13"/>
  <c r="BA25" i="13"/>
  <c r="BK25" i="13"/>
  <c r="AN25" i="13"/>
  <c r="BF25" i="13"/>
  <c r="AI23" i="13"/>
  <c r="AQ23" i="13"/>
  <c r="AY23" i="13"/>
  <c r="BG23" i="13"/>
  <c r="BO23" i="13"/>
  <c r="BJ23" i="13"/>
  <c r="AN23" i="13"/>
  <c r="BD23" i="13"/>
  <c r="AH23" i="13"/>
  <c r="BF23" i="13"/>
  <c r="AM23" i="13"/>
  <c r="AW23" i="13"/>
  <c r="BI23" i="13"/>
  <c r="AL23" i="13"/>
  <c r="AJ23" i="13"/>
  <c r="BH23" i="13"/>
  <c r="AT23" i="13"/>
  <c r="CI55" i="13"/>
  <c r="AJ50" i="13"/>
  <c r="AR50" i="13"/>
  <c r="AZ50" i="13"/>
  <c r="BH50" i="13"/>
  <c r="BP50" i="13"/>
  <c r="AI50" i="13"/>
  <c r="AQ50" i="13"/>
  <c r="AY50" i="13"/>
  <c r="BG50" i="13"/>
  <c r="BO50" i="13"/>
  <c r="AN50" i="13"/>
  <c r="AX50" i="13"/>
  <c r="BJ50" i="13"/>
  <c r="AE50" i="13"/>
  <c r="AO50" i="13"/>
  <c r="BA50" i="13"/>
  <c r="BK50" i="13"/>
  <c r="EH41" i="13"/>
  <c r="EH40" i="13"/>
  <c r="AH39" i="13"/>
  <c r="AP39" i="13"/>
  <c r="AX39" i="13"/>
  <c r="BF39" i="13"/>
  <c r="AL39" i="13"/>
  <c r="AV39" i="13"/>
  <c r="BH39" i="13"/>
  <c r="AI39" i="13"/>
  <c r="AY39" i="13"/>
  <c r="BN39" i="13"/>
  <c r="AK39" i="13"/>
  <c r="BA39" i="13"/>
  <c r="BO39" i="13"/>
  <c r="AF39" i="13"/>
  <c r="AT39" i="13"/>
  <c r="BJ39" i="13"/>
  <c r="AQ39" i="13"/>
  <c r="BK39" i="13"/>
  <c r="AO39" i="13"/>
  <c r="BI39" i="13"/>
  <c r="EN43" i="13"/>
  <c r="CJ43" i="13"/>
  <c r="CX41" i="13"/>
  <c r="CX40" i="13"/>
  <c r="DC85" i="13"/>
  <c r="EN84" i="13"/>
  <c r="CX83" i="13"/>
  <c r="CX82" i="13"/>
  <c r="AG81" i="13"/>
  <c r="AO81" i="13"/>
  <c r="AW81" i="13"/>
  <c r="BE81" i="13"/>
  <c r="BM81" i="13"/>
  <c r="AH81" i="13"/>
  <c r="AP81" i="13"/>
  <c r="AX81" i="13"/>
  <c r="BF81" i="13"/>
  <c r="BN81" i="13"/>
  <c r="AE81" i="13"/>
  <c r="AQ81" i="13"/>
  <c r="BA81" i="13"/>
  <c r="BK81" i="13"/>
  <c r="AJ81" i="13"/>
  <c r="AT81" i="13"/>
  <c r="BD81" i="13"/>
  <c r="BP81" i="13"/>
  <c r="AS81" i="13"/>
  <c r="BG81" i="13"/>
  <c r="AF81" i="13"/>
  <c r="AV81" i="13"/>
  <c r="BJ81" i="13"/>
  <c r="AI81" i="13"/>
  <c r="AU81" i="13"/>
  <c r="BI81" i="13"/>
  <c r="AL81" i="13"/>
  <c r="AZ81" i="13"/>
  <c r="BL81" i="13"/>
  <c r="AG95" i="13"/>
  <c r="AO95" i="13"/>
  <c r="AW95" i="13"/>
  <c r="BE95" i="13"/>
  <c r="BM95" i="13"/>
  <c r="AH95" i="13"/>
  <c r="AP95" i="13"/>
  <c r="AX95" i="13"/>
  <c r="BF95" i="13"/>
  <c r="BN95" i="13"/>
  <c r="AE95" i="13"/>
  <c r="AQ95" i="13"/>
  <c r="BA95" i="13"/>
  <c r="BK95" i="13"/>
  <c r="AJ95" i="13"/>
  <c r="AT95" i="13"/>
  <c r="BD95" i="13"/>
  <c r="BP95" i="13"/>
  <c r="AK95" i="13"/>
  <c r="AY95" i="13"/>
  <c r="BO95" i="13"/>
  <c r="AN95" i="13"/>
  <c r="BB95" i="13"/>
  <c r="BR95" i="13"/>
  <c r="DC97" i="13"/>
  <c r="CJ78" i="13"/>
  <c r="AC76" i="13"/>
  <c r="K75" i="13"/>
  <c r="N78" i="13" s="1"/>
  <c r="L79" i="13"/>
  <c r="O76" i="13" s="1"/>
  <c r="AC75" i="13"/>
  <c r="O79" i="13"/>
  <c r="AJ74" i="13"/>
  <c r="AR74" i="13"/>
  <c r="AZ74" i="13"/>
  <c r="BH74" i="13"/>
  <c r="BP74" i="13"/>
  <c r="AI74" i="13"/>
  <c r="AQ74" i="13"/>
  <c r="AY74" i="13"/>
  <c r="BG74" i="13"/>
  <c r="BO74" i="13"/>
  <c r="AN74" i="13"/>
  <c r="AX74" i="13"/>
  <c r="BJ74" i="13"/>
  <c r="AE74" i="13"/>
  <c r="AO74" i="13"/>
  <c r="BA74" i="13"/>
  <c r="BK74" i="13"/>
  <c r="AH74" i="13"/>
  <c r="AV74" i="13"/>
  <c r="BL74" i="13"/>
  <c r="AK74" i="13"/>
  <c r="AW74" i="13"/>
  <c r="BM74" i="13"/>
  <c r="AT74" i="13"/>
  <c r="BN74" i="13"/>
  <c r="AS74" i="13"/>
  <c r="BI74" i="13"/>
  <c r="AL74" i="13"/>
  <c r="BF74" i="13"/>
  <c r="AU74" i="13"/>
  <c r="AP74" i="13"/>
  <c r="BR74" i="13"/>
  <c r="BC74" i="13"/>
  <c r="AJ75" i="13"/>
  <c r="AR75" i="13"/>
  <c r="AZ75" i="13"/>
  <c r="BH75" i="13"/>
  <c r="BP75" i="13"/>
  <c r="AI75" i="13"/>
  <c r="AQ75" i="13"/>
  <c r="AY75" i="13"/>
  <c r="BG75" i="13"/>
  <c r="BO75" i="13"/>
  <c r="AH75" i="13"/>
  <c r="AT75" i="13"/>
  <c r="BD75" i="13"/>
  <c r="BN75" i="13"/>
  <c r="AK75" i="13"/>
  <c r="AU75" i="13"/>
  <c r="BE75" i="13"/>
  <c r="BQ75" i="13"/>
  <c r="AN75" i="13"/>
  <c r="BB75" i="13"/>
  <c r="BR75" i="13"/>
  <c r="AO75" i="13"/>
  <c r="BC75" i="13"/>
  <c r="AP75" i="13"/>
  <c r="BJ75" i="13"/>
  <c r="AM75" i="13"/>
  <c r="BI75" i="13"/>
  <c r="AF75" i="13"/>
  <c r="BF75" i="13"/>
  <c r="AS75" i="13"/>
  <c r="BM75" i="13"/>
  <c r="AL75" i="13"/>
  <c r="BL75" i="13"/>
  <c r="AW75" i="13"/>
  <c r="DB79" i="13"/>
  <c r="CI79" i="13"/>
  <c r="CC76" i="13"/>
  <c r="CC77" i="13"/>
  <c r="EN115" i="13"/>
  <c r="DB115" i="13"/>
  <c r="DB114" i="13"/>
  <c r="AI113" i="13"/>
  <c r="AQ113" i="13"/>
  <c r="AY113" i="13"/>
  <c r="BG113" i="13"/>
  <c r="BO113" i="13"/>
  <c r="AJ113" i="13"/>
  <c r="AR113" i="13"/>
  <c r="AZ113" i="13"/>
  <c r="BH113" i="13"/>
  <c r="BP113" i="13"/>
  <c r="AM113" i="13"/>
  <c r="AW113" i="13"/>
  <c r="BI113" i="13"/>
  <c r="AF113" i="13"/>
  <c r="AP113" i="13"/>
  <c r="BB113" i="13"/>
  <c r="BL113" i="13"/>
  <c r="AE113" i="13"/>
  <c r="AS113" i="13"/>
  <c r="BE113" i="13"/>
  <c r="AH113" i="13"/>
  <c r="AV113" i="13"/>
  <c r="BJ113" i="13"/>
  <c r="AG113" i="13"/>
  <c r="BA113" i="13"/>
  <c r="BQ113" i="13"/>
  <c r="AX113" i="13"/>
  <c r="BR113" i="13"/>
  <c r="AK113" i="13"/>
  <c r="BK113" i="13"/>
  <c r="AT113" i="13"/>
  <c r="AO113" i="13"/>
  <c r="BM113" i="13"/>
  <c r="BD113" i="13"/>
  <c r="EO115" i="13"/>
  <c r="AG112" i="13"/>
  <c r="AO112" i="13"/>
  <c r="AW112" i="13"/>
  <c r="BE112" i="13"/>
  <c r="BM112" i="13"/>
  <c r="AH112" i="13"/>
  <c r="AP112" i="13"/>
  <c r="AX112" i="13"/>
  <c r="BF112" i="13"/>
  <c r="BN112" i="13"/>
  <c r="AK112" i="13"/>
  <c r="AU112" i="13"/>
  <c r="BG112" i="13"/>
  <c r="BQ112" i="13"/>
  <c r="AN112" i="13"/>
  <c r="AZ112" i="13"/>
  <c r="BJ112" i="13"/>
  <c r="AE112" i="13"/>
  <c r="AS112" i="13"/>
  <c r="BI112" i="13"/>
  <c r="AJ112" i="13"/>
  <c r="AV112" i="13"/>
  <c r="BL112" i="13"/>
  <c r="AI112" i="13"/>
  <c r="AY112" i="13"/>
  <c r="BK112" i="13"/>
  <c r="AL112" i="13"/>
  <c r="BB112" i="13"/>
  <c r="BP112" i="13"/>
  <c r="CJ115" i="13"/>
  <c r="CI61" i="13"/>
  <c r="AP61" i="13"/>
  <c r="BJ61" i="13"/>
  <c r="AI61" i="13"/>
  <c r="AQ61" i="13"/>
  <c r="AY61" i="13"/>
  <c r="BG61" i="13"/>
  <c r="BO61" i="13"/>
  <c r="AN61" i="13"/>
  <c r="BB61" i="13"/>
  <c r="BP61" i="13"/>
  <c r="AL61" i="13"/>
  <c r="BN61" i="13"/>
  <c r="AM61" i="13"/>
  <c r="AW61" i="13"/>
  <c r="BI61" i="13"/>
  <c r="AF61" i="13"/>
  <c r="AX61" i="13"/>
  <c r="BR61" i="13"/>
  <c r="DU60" i="13"/>
  <c r="AP60" i="13"/>
  <c r="BH60" i="13"/>
  <c r="AG60" i="13"/>
  <c r="AO60" i="13"/>
  <c r="AW60" i="13"/>
  <c r="BE60" i="13"/>
  <c r="BM60" i="13"/>
  <c r="AJ60" i="13"/>
  <c r="AX60" i="13"/>
  <c r="BN60" i="13"/>
  <c r="AL60" i="13"/>
  <c r="BL60" i="13"/>
  <c r="AK60" i="13"/>
  <c r="AU60" i="13"/>
  <c r="BG60" i="13"/>
  <c r="BQ60" i="13"/>
  <c r="AV60" i="13"/>
  <c r="BP60" i="13"/>
  <c r="AJ58" i="13"/>
  <c r="AR58" i="13"/>
  <c r="AZ58" i="13"/>
  <c r="BH58" i="13"/>
  <c r="BP58" i="13"/>
  <c r="AI58" i="13"/>
  <c r="AQ58" i="13"/>
  <c r="AY58" i="13"/>
  <c r="BG58" i="13"/>
  <c r="BO58" i="13"/>
  <c r="AN58" i="13"/>
  <c r="AX58" i="13"/>
  <c r="BJ58" i="13"/>
  <c r="AE58" i="13"/>
  <c r="AO58" i="13"/>
  <c r="BA58" i="13"/>
  <c r="BK58" i="13"/>
  <c r="EO61" i="13"/>
  <c r="CJ61" i="13"/>
  <c r="DU120" i="13"/>
  <c r="AK117" i="13"/>
  <c r="AS117" i="13"/>
  <c r="BA117" i="13"/>
  <c r="BI117" i="13"/>
  <c r="BQ117" i="13"/>
  <c r="AL117" i="13"/>
  <c r="AT117" i="13"/>
  <c r="BB117" i="13"/>
  <c r="BJ117" i="13"/>
  <c r="BR117" i="13"/>
  <c r="AG117" i="13"/>
  <c r="AQ117" i="13"/>
  <c r="BC117" i="13"/>
  <c r="BM117" i="13"/>
  <c r="AJ117" i="13"/>
  <c r="AV117" i="13"/>
  <c r="BF117" i="13"/>
  <c r="BP117" i="13"/>
  <c r="AI117" i="13"/>
  <c r="AW117" i="13"/>
  <c r="BK117" i="13"/>
  <c r="AN117" i="13"/>
  <c r="AZ117" i="13"/>
  <c r="BN117" i="13"/>
  <c r="AM117" i="13"/>
  <c r="BE117" i="13"/>
  <c r="AH117" i="13"/>
  <c r="BD117" i="13"/>
  <c r="AO117" i="13"/>
  <c r="BG117" i="13"/>
  <c r="AP117" i="13"/>
  <c r="BH117" i="13"/>
  <c r="DC120" i="13"/>
  <c r="AK116" i="13"/>
  <c r="AS116" i="13"/>
  <c r="BA116" i="13"/>
  <c r="BI116" i="13"/>
  <c r="BQ116" i="13"/>
  <c r="AL116" i="13"/>
  <c r="AT116" i="13"/>
  <c r="BB116" i="13"/>
  <c r="BJ116" i="13"/>
  <c r="BR116" i="13"/>
  <c r="AM116" i="13"/>
  <c r="AW116" i="13"/>
  <c r="BG116" i="13"/>
  <c r="AF116" i="13"/>
  <c r="AP116" i="13"/>
  <c r="AZ116" i="13"/>
  <c r="BL116" i="13"/>
  <c r="AO116" i="13"/>
  <c r="BC116" i="13"/>
  <c r="BO116" i="13"/>
  <c r="AR116" i="13"/>
  <c r="BF116" i="13"/>
  <c r="AG116" i="13"/>
  <c r="AY116" i="13"/>
  <c r="AH116" i="13"/>
  <c r="AX116" i="13"/>
  <c r="BP116" i="13"/>
  <c r="AI116" i="13"/>
  <c r="BE116" i="13"/>
  <c r="AJ116" i="13"/>
  <c r="BD116" i="13"/>
  <c r="CI120" i="13"/>
  <c r="CJ121" i="13"/>
  <c r="AK121" i="13"/>
  <c r="AJ121" i="13"/>
  <c r="AR121" i="13"/>
  <c r="AZ121" i="13"/>
  <c r="BH121" i="13"/>
  <c r="BP121" i="13"/>
  <c r="AM121" i="13"/>
  <c r="AY121" i="13"/>
  <c r="BO121" i="13"/>
  <c r="BQ121" i="13"/>
  <c r="AF121" i="13"/>
  <c r="AP121" i="13"/>
  <c r="BB121" i="13"/>
  <c r="BL121" i="13"/>
  <c r="AI121" i="13"/>
  <c r="BC121" i="13"/>
  <c r="BE121" i="13"/>
  <c r="AO121" i="13"/>
  <c r="AT121" i="13"/>
  <c r="BF121" i="13"/>
  <c r="AE121" i="13"/>
  <c r="BG121" i="13"/>
  <c r="AW121" i="13"/>
  <c r="K121" i="13"/>
  <c r="N121" i="13" s="1"/>
  <c r="O120" i="13" s="1"/>
  <c r="O121" i="13"/>
  <c r="AC121" i="13"/>
  <c r="AI99" i="13"/>
  <c r="AQ99" i="13"/>
  <c r="AY99" i="13"/>
  <c r="BG99" i="13"/>
  <c r="AM99" i="13"/>
  <c r="AW99" i="13"/>
  <c r="BI99" i="13"/>
  <c r="BQ99" i="13"/>
  <c r="AL99" i="13"/>
  <c r="AT99" i="13"/>
  <c r="BB99" i="13"/>
  <c r="BJ99" i="13"/>
  <c r="BR99" i="13"/>
  <c r="AE99" i="13"/>
  <c r="AS99" i="13"/>
  <c r="BE99" i="13"/>
  <c r="AF99" i="13"/>
  <c r="AP99" i="13"/>
  <c r="AZ99" i="13"/>
  <c r="BL99" i="13"/>
  <c r="AK99" i="13"/>
  <c r="BC99" i="13"/>
  <c r="AH99" i="13"/>
  <c r="AV99" i="13"/>
  <c r="BH99" i="13"/>
  <c r="BA99" i="13"/>
  <c r="AJ99" i="13"/>
  <c r="BD99" i="13"/>
  <c r="AG99" i="13"/>
  <c r="BK99" i="13"/>
  <c r="AN99" i="13"/>
  <c r="BF99" i="13"/>
  <c r="DC103" i="13"/>
  <c r="EN103" i="13"/>
  <c r="AG101" i="13"/>
  <c r="AO101" i="13"/>
  <c r="AW101" i="13"/>
  <c r="AH101" i="13"/>
  <c r="AP101" i="13"/>
  <c r="AX101" i="13"/>
  <c r="BF101" i="13"/>
  <c r="BN101" i="13"/>
  <c r="BG101" i="13"/>
  <c r="BI101" i="13"/>
  <c r="AE101" i="13"/>
  <c r="AQ101" i="13"/>
  <c r="BA101" i="13"/>
  <c r="AN101" i="13"/>
  <c r="AZ101" i="13"/>
  <c r="BJ101" i="13"/>
  <c r="BC101" i="13"/>
  <c r="BM101" i="13"/>
  <c r="AK101" i="13"/>
  <c r="AY101" i="13"/>
  <c r="AR101" i="13"/>
  <c r="BD101" i="13"/>
  <c r="BR101" i="13"/>
  <c r="BQ101" i="13"/>
  <c r="AM101" i="13"/>
  <c r="AF101" i="13"/>
  <c r="AT101" i="13"/>
  <c r="BH101" i="13"/>
  <c r="BK101" i="13"/>
  <c r="AH103" i="13"/>
  <c r="AP103" i="13"/>
  <c r="AX103" i="13"/>
  <c r="BF103" i="13"/>
  <c r="BN103" i="13"/>
  <c r="AI103" i="13"/>
  <c r="AY103" i="13"/>
  <c r="BO103" i="13"/>
  <c r="AS103" i="13"/>
  <c r="BI103" i="13"/>
  <c r="AL103" i="13"/>
  <c r="AV103" i="13"/>
  <c r="BH103" i="13"/>
  <c r="BR103" i="13"/>
  <c r="AU103" i="13"/>
  <c r="AG103" i="13"/>
  <c r="BA103" i="13"/>
  <c r="AR103" i="13"/>
  <c r="BD103" i="13"/>
  <c r="AE103" i="13"/>
  <c r="BG103" i="13"/>
  <c r="AW103" i="13"/>
  <c r="AG100" i="13"/>
  <c r="AO100" i="13"/>
  <c r="AW100" i="13"/>
  <c r="BE100" i="13"/>
  <c r="BM100" i="13"/>
  <c r="AH100" i="13"/>
  <c r="AP100" i="13"/>
  <c r="AX100" i="13"/>
  <c r="BF100" i="13"/>
  <c r="BN100" i="13"/>
  <c r="AE100" i="13"/>
  <c r="AQ100" i="13"/>
  <c r="BA100" i="13"/>
  <c r="BK100" i="13"/>
  <c r="AJ100" i="13"/>
  <c r="AT100" i="13"/>
  <c r="BD100" i="13"/>
  <c r="BP100" i="13"/>
  <c r="AI100" i="13"/>
  <c r="AU100" i="13"/>
  <c r="BI100" i="13"/>
  <c r="AL100" i="13"/>
  <c r="AZ100" i="13"/>
  <c r="BL100" i="13"/>
  <c r="DV103" i="13"/>
  <c r="AI27" i="13"/>
  <c r="AQ27" i="13"/>
  <c r="AY27" i="13"/>
  <c r="BG27" i="13"/>
  <c r="BO27" i="13"/>
  <c r="AJ27" i="13"/>
  <c r="AR27" i="13"/>
  <c r="AZ27" i="13"/>
  <c r="BH27" i="13"/>
  <c r="BP27" i="13"/>
  <c r="AM27" i="13"/>
  <c r="AW27" i="13"/>
  <c r="BI27" i="13"/>
  <c r="AF27" i="13"/>
  <c r="AP27" i="13"/>
  <c r="BB27" i="13"/>
  <c r="BL27" i="13"/>
  <c r="EN31" i="13"/>
  <c r="CI108" i="13"/>
  <c r="AL104" i="13"/>
  <c r="AT104" i="13"/>
  <c r="BB104" i="13"/>
  <c r="AQ104" i="13"/>
  <c r="BE104" i="13"/>
  <c r="BM104" i="13"/>
  <c r="AK104" i="13"/>
  <c r="BA104" i="13"/>
  <c r="BJ104" i="13"/>
  <c r="BR104" i="13"/>
  <c r="AN104" i="13"/>
  <c r="AX104" i="13"/>
  <c r="AM104" i="13"/>
  <c r="BG104" i="13"/>
  <c r="BQ104" i="13"/>
  <c r="AW104" i="13"/>
  <c r="BL104" i="13"/>
  <c r="AJ104" i="13"/>
  <c r="AZ104" i="13"/>
  <c r="AY104" i="13"/>
  <c r="BO104" i="13"/>
  <c r="BD104" i="13"/>
  <c r="BP104" i="13"/>
  <c r="AF104" i="13"/>
  <c r="AV104" i="13"/>
  <c r="BC104" i="13"/>
  <c r="AO104" i="13"/>
  <c r="BN104" i="13"/>
  <c r="AH104" i="13"/>
  <c r="AE104" i="13"/>
  <c r="BI104" i="13"/>
  <c r="AS104" i="13"/>
  <c r="DU109" i="13"/>
  <c r="AG108" i="13"/>
  <c r="AO108" i="13"/>
  <c r="AW108" i="13"/>
  <c r="BE108" i="13"/>
  <c r="BM108" i="13"/>
  <c r="AH108" i="13"/>
  <c r="AP108" i="13"/>
  <c r="AX108" i="13"/>
  <c r="BF108" i="13"/>
  <c r="BN108" i="13"/>
  <c r="AK108" i="13"/>
  <c r="AU108" i="13"/>
  <c r="BG108" i="13"/>
  <c r="BQ108" i="13"/>
  <c r="AN108" i="13"/>
  <c r="AZ108" i="13"/>
  <c r="BJ108" i="13"/>
  <c r="AM108" i="13"/>
  <c r="BA108" i="13"/>
  <c r="BO108" i="13"/>
  <c r="AR108" i="13"/>
  <c r="BD108" i="13"/>
  <c r="BR108" i="13"/>
  <c r="CB106" i="13"/>
  <c r="CB107" i="13"/>
  <c r="CJ72" i="13"/>
  <c r="DB72" i="13"/>
  <c r="EJ28" i="13"/>
  <c r="EB29" i="13"/>
  <c r="CN29" i="13"/>
  <c r="CE119" i="13"/>
  <c r="M20" i="13"/>
  <c r="P50" i="13"/>
  <c r="AC53" i="13"/>
  <c r="CA71" i="13"/>
  <c r="CV71" i="13"/>
  <c r="CP71" i="13"/>
  <c r="CF65" i="13"/>
  <c r="DZ64" i="13"/>
  <c r="EF65" i="13"/>
  <c r="CP95" i="13"/>
  <c r="DV96" i="13"/>
  <c r="ED47" i="13"/>
  <c r="DP34" i="13"/>
  <c r="AC32" i="13"/>
  <c r="DC43" i="13"/>
  <c r="P39" i="13"/>
  <c r="CG40" i="13"/>
  <c r="BY89" i="13"/>
  <c r="EB107" i="13"/>
  <c r="CV106" i="13"/>
  <c r="CP106" i="13"/>
  <c r="DH107" i="13"/>
  <c r="EJ101" i="13"/>
  <c r="M77" i="13"/>
  <c r="CU82" i="13"/>
  <c r="S83" i="13"/>
  <c r="CC83" i="13"/>
  <c r="DQ82" i="13"/>
  <c r="CX29" i="13"/>
  <c r="BZ29" i="13"/>
  <c r="L121" i="13"/>
  <c r="O118" i="13" s="1"/>
  <c r="K118" i="13"/>
  <c r="L117" i="13" s="1"/>
  <c r="CS118" i="13"/>
  <c r="AC25" i="13"/>
  <c r="CQ71" i="13"/>
  <c r="CN71" i="13"/>
  <c r="DO64" i="13"/>
  <c r="L94" i="13"/>
  <c r="Q92" i="13"/>
  <c r="J47" i="13"/>
  <c r="CG46" i="13"/>
  <c r="O49" i="13"/>
  <c r="CO46" i="13"/>
  <c r="DJ34" i="13"/>
  <c r="Q32" i="13"/>
  <c r="EA40" i="13"/>
  <c r="DH40" i="13"/>
  <c r="CX88" i="13"/>
  <c r="CV88" i="13"/>
  <c r="CO88" i="13"/>
  <c r="EC107" i="13"/>
  <c r="EO109" i="13"/>
  <c r="DJ106" i="13"/>
  <c r="CT107" i="13"/>
  <c r="DN100" i="13"/>
  <c r="EF101" i="13"/>
  <c r="L76" i="13"/>
  <c r="DK76" i="13"/>
  <c r="CS76" i="13"/>
  <c r="EE112" i="13"/>
  <c r="CC113" i="13"/>
  <c r="DL113" i="13"/>
  <c r="DL82" i="13"/>
  <c r="EN85" i="13"/>
  <c r="EN102" i="13"/>
  <c r="DB78" i="13"/>
  <c r="CJ60" i="13"/>
  <c r="CI54" i="13"/>
  <c r="CJ73" i="13"/>
  <c r="CI90" i="13"/>
  <c r="CJ114" i="13"/>
  <c r="CI109" i="13"/>
  <c r="BR25" i="13"/>
  <c r="AR25" i="13"/>
  <c r="BI25" i="13"/>
  <c r="AU25" i="13"/>
  <c r="AI25" i="13"/>
  <c r="AT25" i="13"/>
  <c r="BP23" i="13"/>
  <c r="AR23" i="13"/>
  <c r="BQ23" i="13"/>
  <c r="BC23" i="13"/>
  <c r="AO23" i="13"/>
  <c r="BJ27" i="13"/>
  <c r="AV27" i="13"/>
  <c r="AH27" i="13"/>
  <c r="BE27" i="13"/>
  <c r="AS27" i="13"/>
  <c r="AE27" i="13"/>
  <c r="BJ32" i="13"/>
  <c r="AV32" i="13"/>
  <c r="AH32" i="13"/>
  <c r="BE32" i="13"/>
  <c r="AS32" i="13"/>
  <c r="AE32" i="13"/>
  <c r="BD33" i="13"/>
  <c r="AP33" i="13"/>
  <c r="BQ33" i="13"/>
  <c r="BA33" i="13"/>
  <c r="AM33" i="13"/>
  <c r="BM58" i="13"/>
  <c r="AW58" i="13"/>
  <c r="AK58" i="13"/>
  <c r="BL58" i="13"/>
  <c r="AV58" i="13"/>
  <c r="AH58" i="13"/>
  <c r="BB60" i="13"/>
  <c r="BO60" i="13"/>
  <c r="BA60" i="13"/>
  <c r="AM60" i="13"/>
  <c r="BD60" i="13"/>
  <c r="BQ50" i="13"/>
  <c r="BC50" i="13"/>
  <c r="AM50" i="13"/>
  <c r="BN50" i="13"/>
  <c r="BB50" i="13"/>
  <c r="AL50" i="13"/>
  <c r="BR44" i="13"/>
  <c r="AT44" i="13"/>
  <c r="BC44" i="13"/>
  <c r="AO44" i="13"/>
  <c r="AP44" i="13"/>
  <c r="AT61" i="13"/>
  <c r="BM61" i="13"/>
  <c r="BA61" i="13"/>
  <c r="AK61" i="13"/>
  <c r="AZ61" i="13"/>
  <c r="BM43" i="13"/>
  <c r="AW43" i="13"/>
  <c r="AK43" i="13"/>
  <c r="BL43" i="13"/>
  <c r="AV43" i="13"/>
  <c r="AH43" i="13"/>
  <c r="BQ39" i="13"/>
  <c r="AS39" i="13"/>
  <c r="BG39" i="13"/>
  <c r="AE39" i="13"/>
  <c r="AZ39" i="13"/>
  <c r="BA121" i="13"/>
  <c r="AQ121" i="13"/>
  <c r="BD121" i="13"/>
  <c r="AL121" i="13"/>
  <c r="AZ95" i="13"/>
  <c r="AF95" i="13"/>
  <c r="BC95" i="13"/>
  <c r="AI95" i="13"/>
  <c r="AW87" i="13"/>
  <c r="AQ87" i="13"/>
  <c r="AR87" i="13"/>
  <c r="AM87" i="13"/>
  <c r="BL108" i="13"/>
  <c r="AT108" i="13"/>
  <c r="BK108" i="13"/>
  <c r="AS108" i="13"/>
  <c r="BR100" i="13"/>
  <c r="AV100" i="13"/>
  <c r="BQ100" i="13"/>
  <c r="AY100" i="13"/>
  <c r="BQ103" i="13"/>
  <c r="AK103" i="13"/>
  <c r="AM103" i="13"/>
  <c r="BB103" i="13"/>
  <c r="AJ103" i="13"/>
  <c r="BP101" i="13"/>
  <c r="AL101" i="13"/>
  <c r="AI101" i="13"/>
  <c r="AT112" i="13"/>
  <c r="BC112" i="13"/>
  <c r="BH81" i="13"/>
  <c r="BQ81" i="13"/>
  <c r="AM81" i="13"/>
  <c r="AV116" i="13"/>
  <c r="AU116" i="13"/>
  <c r="AX117" i="13"/>
  <c r="AY117" i="13"/>
  <c r="BD96" i="13"/>
  <c r="BC96" i="13"/>
  <c r="BD90" i="13"/>
  <c r="BG90" i="13"/>
  <c r="BH104" i="13"/>
  <c r="AU104" i="13"/>
  <c r="AX99" i="13"/>
  <c r="AU99" i="13"/>
  <c r="AG75" i="13"/>
  <c r="BQ74" i="13"/>
  <c r="BD74" i="13"/>
  <c r="BN113" i="13"/>
  <c r="BC113" i="13"/>
  <c r="CS28" i="13"/>
  <c r="CT28" i="13"/>
  <c r="EB118" i="13"/>
  <c r="CO119" i="13"/>
  <c r="CB23" i="13"/>
  <c r="M23" i="13"/>
  <c r="S53" i="13"/>
  <c r="CO53" i="13"/>
  <c r="P51" i="13"/>
  <c r="DM71" i="13"/>
  <c r="EE70" i="13"/>
  <c r="BX95" i="13"/>
  <c r="CO41" i="13"/>
  <c r="DQ41" i="13"/>
  <c r="S42" i="13"/>
  <c r="CU89" i="13"/>
  <c r="EF89" i="13"/>
  <c r="DH89" i="13"/>
  <c r="CE100" i="13"/>
  <c r="J77" i="13"/>
  <c r="CS113" i="13"/>
  <c r="T84" i="13"/>
  <c r="DC84" i="13"/>
  <c r="J29" i="13"/>
  <c r="EA29" i="13"/>
  <c r="K117" i="13"/>
  <c r="N120" i="13" s="1"/>
  <c r="AC120" i="13"/>
  <c r="DO23" i="13"/>
  <c r="K22" i="13"/>
  <c r="L21" i="13" s="1"/>
  <c r="EJ52" i="13"/>
  <c r="EB70" i="13"/>
  <c r="CW71" i="13"/>
  <c r="DC96" i="13"/>
  <c r="AC97" i="13"/>
  <c r="DQ94" i="13"/>
  <c r="DZ47" i="13"/>
  <c r="K46" i="13"/>
  <c r="L45" i="13" s="1"/>
  <c r="L48" i="13"/>
  <c r="N46" i="13" s="1"/>
  <c r="CN34" i="13"/>
  <c r="EI58" i="13"/>
  <c r="EO60" i="13"/>
  <c r="DO58" i="13"/>
  <c r="CP41" i="13"/>
  <c r="K79" i="13"/>
  <c r="N79" i="13" s="1"/>
  <c r="O78" i="13" s="1"/>
  <c r="AC79" i="13"/>
  <c r="Q111" i="13"/>
  <c r="CU112" i="13"/>
  <c r="DG82" i="13"/>
  <c r="EN42" i="13"/>
  <c r="DU108" i="13"/>
  <c r="DB48" i="13"/>
  <c r="DU91" i="13"/>
  <c r="CJ42" i="13"/>
  <c r="CI60" i="13"/>
  <c r="BJ25" i="13"/>
  <c r="AH25" i="13"/>
  <c r="BG25" i="13"/>
  <c r="AS25" i="13"/>
  <c r="BP25" i="13"/>
  <c r="AL25" i="13"/>
  <c r="BN23" i="13"/>
  <c r="BL23" i="13"/>
  <c r="AF23" i="13"/>
  <c r="BM23" i="13"/>
  <c r="BA23" i="13"/>
  <c r="AK23" i="13"/>
  <c r="BF27" i="13"/>
  <c r="AT27" i="13"/>
  <c r="BQ27" i="13"/>
  <c r="BC27" i="13"/>
  <c r="AO27" i="13"/>
  <c r="BF32" i="13"/>
  <c r="AT32" i="13"/>
  <c r="BQ32" i="13"/>
  <c r="BC32" i="13"/>
  <c r="AO32" i="13"/>
  <c r="BN33" i="13"/>
  <c r="BB33" i="13"/>
  <c r="AN33" i="13"/>
  <c r="BK33" i="13"/>
  <c r="AW33" i="13"/>
  <c r="AK33" i="13"/>
  <c r="BI58" i="13"/>
  <c r="AU58" i="13"/>
  <c r="AG58" i="13"/>
  <c r="BF58" i="13"/>
  <c r="AT58" i="13"/>
  <c r="AF58" i="13"/>
  <c r="AR60" i="13"/>
  <c r="BK60" i="13"/>
  <c r="AY60" i="13"/>
  <c r="AI60" i="13"/>
  <c r="AZ60" i="13"/>
  <c r="BM50" i="13"/>
  <c r="AW50" i="13"/>
  <c r="AK50" i="13"/>
  <c r="BL50" i="13"/>
  <c r="AV50" i="13"/>
  <c r="AH50" i="13"/>
  <c r="BP44" i="13"/>
  <c r="BN44" i="13"/>
  <c r="BM44" i="13"/>
  <c r="AY44" i="13"/>
  <c r="AM44" i="13"/>
  <c r="AL44" i="13"/>
  <c r="BL61" i="13"/>
  <c r="AR61" i="13"/>
  <c r="BK61" i="13"/>
  <c r="AU61" i="13"/>
  <c r="AG61" i="13"/>
  <c r="AV61" i="13"/>
  <c r="BI43" i="13"/>
  <c r="AU43" i="13"/>
  <c r="AG43" i="13"/>
  <c r="BF43" i="13"/>
  <c r="AT43" i="13"/>
  <c r="AF43" i="13"/>
  <c r="BM39" i="13"/>
  <c r="AG39" i="13"/>
  <c r="BC39" i="13"/>
  <c r="BL39" i="13"/>
  <c r="AR39" i="13"/>
  <c r="BK121" i="13"/>
  <c r="BR121" i="13"/>
  <c r="AX121" i="13"/>
  <c r="AH121" i="13"/>
  <c r="BL95" i="13"/>
  <c r="AV95" i="13"/>
  <c r="BQ95" i="13"/>
  <c r="AU95" i="13"/>
  <c r="BR87" i="13"/>
  <c r="BM87" i="13"/>
  <c r="BH87" i="13"/>
  <c r="AP87" i="13"/>
  <c r="AE87" i="13"/>
  <c r="BH108" i="13"/>
  <c r="AL108" i="13"/>
  <c r="BI108" i="13"/>
  <c r="AQ108" i="13"/>
  <c r="BJ100" i="13"/>
  <c r="AR100" i="13"/>
  <c r="BO100" i="13"/>
  <c r="AS100" i="13"/>
  <c r="BM103" i="13"/>
  <c r="BK103" i="13"/>
  <c r="BP103" i="13"/>
  <c r="AZ103" i="13"/>
  <c r="AF103" i="13"/>
  <c r="BL101" i="13"/>
  <c r="AJ101" i="13"/>
  <c r="BR112" i="13"/>
  <c r="AR112" i="13"/>
  <c r="BA112" i="13"/>
  <c r="BB81" i="13"/>
  <c r="BO81" i="13"/>
  <c r="AK81" i="13"/>
  <c r="AN116" i="13"/>
  <c r="AQ116" i="13"/>
  <c r="AR117" i="13"/>
  <c r="AU117" i="13"/>
  <c r="AV96" i="13"/>
  <c r="AY96" i="13"/>
  <c r="AZ90" i="13"/>
  <c r="AY90" i="13"/>
  <c r="BF104" i="13"/>
  <c r="AI104" i="13"/>
  <c r="AR99" i="13"/>
  <c r="AO99" i="13"/>
  <c r="AE75" i="13"/>
  <c r="BE74" i="13"/>
  <c r="BB74" i="13"/>
  <c r="BF113" i="13"/>
  <c r="AU113" i="13"/>
  <c r="CI49" i="13"/>
  <c r="AI45" i="13"/>
  <c r="AQ45" i="13"/>
  <c r="AY45" i="13"/>
  <c r="BG45" i="13"/>
  <c r="BO45" i="13"/>
  <c r="AP45" i="13"/>
  <c r="BF45" i="13"/>
  <c r="AF45" i="13"/>
  <c r="AV45" i="13"/>
  <c r="BL45" i="13"/>
  <c r="AJ48" i="13"/>
  <c r="AR48" i="13"/>
  <c r="AZ48" i="13"/>
  <c r="BH48" i="13"/>
  <c r="BP48" i="13"/>
  <c r="AI48" i="13"/>
  <c r="AQ48" i="13"/>
  <c r="AY48" i="13"/>
  <c r="BG48" i="13"/>
  <c r="BO48" i="13"/>
  <c r="AI37" i="13"/>
  <c r="AQ37" i="13"/>
  <c r="AF37" i="13"/>
  <c r="AN37" i="13"/>
  <c r="AV37" i="13"/>
  <c r="BD37" i="13"/>
  <c r="BL37" i="13"/>
  <c r="AY37" i="13"/>
  <c r="BO37" i="13"/>
  <c r="BM37" i="13"/>
  <c r="AI35" i="13"/>
  <c r="AQ35" i="13"/>
  <c r="AY35" i="13"/>
  <c r="BG35" i="13"/>
  <c r="BO35" i="13"/>
  <c r="AP35" i="13"/>
  <c r="BF35" i="13"/>
  <c r="AF35" i="13"/>
  <c r="AV35" i="13"/>
  <c r="BL35" i="13"/>
  <c r="DU37" i="13"/>
  <c r="AI34" i="13"/>
  <c r="AQ34" i="13"/>
  <c r="AY34" i="13"/>
  <c r="BG34" i="13"/>
  <c r="BO34" i="13"/>
  <c r="AJ34" i="13"/>
  <c r="AR34" i="13"/>
  <c r="AZ34" i="13"/>
  <c r="BH34" i="13"/>
  <c r="BP34" i="13"/>
  <c r="AJ52" i="13"/>
  <c r="AR52" i="13"/>
  <c r="AZ52" i="13"/>
  <c r="BH52" i="13"/>
  <c r="BP52" i="13"/>
  <c r="AI52" i="13"/>
  <c r="AQ52" i="13"/>
  <c r="AY52" i="13"/>
  <c r="BG52" i="13"/>
  <c r="BO52" i="13"/>
  <c r="AJ51" i="13"/>
  <c r="AR51" i="13"/>
  <c r="AZ51" i="13"/>
  <c r="BH51" i="13"/>
  <c r="BP51" i="13"/>
  <c r="AI51" i="13"/>
  <c r="AQ51" i="13"/>
  <c r="AY51" i="13"/>
  <c r="BG51" i="13"/>
  <c r="BO51" i="13"/>
  <c r="DV54" i="13"/>
  <c r="AJ53" i="13"/>
  <c r="AR53" i="13"/>
  <c r="AZ53" i="13"/>
  <c r="BH53" i="13"/>
  <c r="BP53" i="13"/>
  <c r="AI53" i="13"/>
  <c r="AQ53" i="13"/>
  <c r="AY53" i="13"/>
  <c r="BG53" i="13"/>
  <c r="BO53" i="13"/>
  <c r="O43" i="13"/>
  <c r="AC43" i="13"/>
  <c r="AC39" i="13"/>
  <c r="AJ40" i="13"/>
  <c r="AR40" i="13"/>
  <c r="AZ40" i="13"/>
  <c r="BH40" i="13"/>
  <c r="BP40" i="13"/>
  <c r="AI40" i="13"/>
  <c r="AQ40" i="13"/>
  <c r="AY40" i="13"/>
  <c r="BG40" i="13"/>
  <c r="BO40" i="13"/>
  <c r="DB90" i="13"/>
  <c r="DU36" i="13"/>
  <c r="CI48" i="13"/>
  <c r="BQ52" i="13"/>
  <c r="BE52" i="13"/>
  <c r="AU52" i="13"/>
  <c r="AK52" i="13"/>
  <c r="BN52" i="13"/>
  <c r="BD52" i="13"/>
  <c r="AT52" i="13"/>
  <c r="AH52" i="13"/>
  <c r="BK48" i="13"/>
  <c r="BA48" i="13"/>
  <c r="AO48" i="13"/>
  <c r="AE48" i="13"/>
  <c r="BJ48" i="13"/>
  <c r="AX48" i="13"/>
  <c r="AN48" i="13"/>
  <c r="BD45" i="13"/>
  <c r="AJ45" i="13"/>
  <c r="BB45" i="13"/>
  <c r="AH45" i="13"/>
  <c r="BI45" i="13"/>
  <c r="AW45" i="13"/>
  <c r="AM45" i="13"/>
  <c r="BR34" i="13"/>
  <c r="BF34" i="13"/>
  <c r="AV34" i="13"/>
  <c r="AL34" i="13"/>
  <c r="BM34" i="13"/>
  <c r="BC34" i="13"/>
  <c r="AS34" i="13"/>
  <c r="AG34" i="13"/>
  <c r="BQ53" i="13"/>
  <c r="BE53" i="13"/>
  <c r="AU53" i="13"/>
  <c r="AK53" i="13"/>
  <c r="BN53" i="13"/>
  <c r="BD53" i="13"/>
  <c r="AT53" i="13"/>
  <c r="AH53" i="13"/>
  <c r="BQ51" i="13"/>
  <c r="BE51" i="13"/>
  <c r="AU51" i="13"/>
  <c r="AK51" i="13"/>
  <c r="BN51" i="13"/>
  <c r="BD51" i="13"/>
  <c r="AT51" i="13"/>
  <c r="AH51" i="13"/>
  <c r="BP35" i="13"/>
  <c r="AR35" i="13"/>
  <c r="BN35" i="13"/>
  <c r="AT35" i="13"/>
  <c r="BM35" i="13"/>
  <c r="BC35" i="13"/>
  <c r="AS35" i="13"/>
  <c r="AG35" i="13"/>
  <c r="BE37" i="13"/>
  <c r="BC37" i="13"/>
  <c r="BJ37" i="13"/>
  <c r="AZ37" i="13"/>
  <c r="AP37" i="13"/>
  <c r="AW37" i="13"/>
  <c r="AM37" i="13"/>
  <c r="AG92" i="13"/>
  <c r="AO92" i="13"/>
  <c r="AW92" i="13"/>
  <c r="BE92" i="13"/>
  <c r="BM92" i="13"/>
  <c r="AH92" i="13"/>
  <c r="AP92" i="13"/>
  <c r="AX92" i="13"/>
  <c r="BF92" i="13"/>
  <c r="BN92" i="13"/>
  <c r="AG97" i="13"/>
  <c r="AO97" i="13"/>
  <c r="AW97" i="13"/>
  <c r="BE97" i="13"/>
  <c r="BM97" i="13"/>
  <c r="AH97" i="13"/>
  <c r="AP97" i="13"/>
  <c r="AX97" i="13"/>
  <c r="BF97" i="13"/>
  <c r="BN97" i="13"/>
  <c r="AJ78" i="13"/>
  <c r="AR78" i="13"/>
  <c r="AZ78" i="13"/>
  <c r="BH78" i="13"/>
  <c r="BP78" i="13"/>
  <c r="AI78" i="13"/>
  <c r="AQ78" i="13"/>
  <c r="AY78" i="13"/>
  <c r="BG78" i="13"/>
  <c r="BO78" i="13"/>
  <c r="AH78" i="13"/>
  <c r="AT78" i="13"/>
  <c r="BD78" i="13"/>
  <c r="BN78" i="13"/>
  <c r="AK78" i="13"/>
  <c r="AU78" i="13"/>
  <c r="BE78" i="13"/>
  <c r="BQ78" i="13"/>
  <c r="AF78" i="13"/>
  <c r="AV78" i="13"/>
  <c r="BJ78" i="13"/>
  <c r="AG78" i="13"/>
  <c r="AW78" i="13"/>
  <c r="BK78" i="13"/>
  <c r="AJ79" i="13"/>
  <c r="AR79" i="13"/>
  <c r="AI79" i="13"/>
  <c r="AU79" i="13"/>
  <c r="BC79" i="13"/>
  <c r="BK79" i="13"/>
  <c r="AO79" i="13"/>
  <c r="AZ79" i="13"/>
  <c r="BH79" i="13"/>
  <c r="BP79" i="13"/>
  <c r="AN79" i="13"/>
  <c r="AG79" i="13"/>
  <c r="AW79" i="13"/>
  <c r="BG79" i="13"/>
  <c r="BQ79" i="13"/>
  <c r="BB79" i="13"/>
  <c r="BL79" i="13"/>
  <c r="AL79" i="13"/>
  <c r="AK79" i="13"/>
  <c r="BA79" i="13"/>
  <c r="BO79" i="13"/>
  <c r="BD79" i="13"/>
  <c r="BR79" i="13"/>
  <c r="AI110" i="13"/>
  <c r="AQ110" i="13"/>
  <c r="AY110" i="13"/>
  <c r="BG110" i="13"/>
  <c r="BO110" i="13"/>
  <c r="AJ110" i="13"/>
  <c r="AR110" i="13"/>
  <c r="AZ110" i="13"/>
  <c r="BH110" i="13"/>
  <c r="BP110" i="13"/>
  <c r="AG110" i="13"/>
  <c r="AS110" i="13"/>
  <c r="BC110" i="13"/>
  <c r="BM110" i="13"/>
  <c r="AL110" i="13"/>
  <c r="AV110" i="13"/>
  <c r="BF110" i="13"/>
  <c r="BR110" i="13"/>
  <c r="AK110" i="13"/>
  <c r="AW110" i="13"/>
  <c r="BK110" i="13"/>
  <c r="AN110" i="13"/>
  <c r="BB110" i="13"/>
  <c r="BN110" i="13"/>
  <c r="AI114" i="13"/>
  <c r="AQ114" i="13"/>
  <c r="AY114" i="13"/>
  <c r="BG114" i="13"/>
  <c r="BO114" i="13"/>
  <c r="AJ114" i="13"/>
  <c r="AR114" i="13"/>
  <c r="AZ114" i="13"/>
  <c r="BH114" i="13"/>
  <c r="BP114" i="13"/>
  <c r="AM114" i="13"/>
  <c r="AW114" i="13"/>
  <c r="BI114" i="13"/>
  <c r="AF114" i="13"/>
  <c r="AP114" i="13"/>
  <c r="BB114" i="13"/>
  <c r="BL114" i="13"/>
  <c r="AO114" i="13"/>
  <c r="BC114" i="13"/>
  <c r="BQ114" i="13"/>
  <c r="AT114" i="13"/>
  <c r="BF114" i="13"/>
  <c r="AI119" i="13"/>
  <c r="AW119" i="13"/>
  <c r="BO119" i="13"/>
  <c r="AL119" i="13"/>
  <c r="AT119" i="13"/>
  <c r="BB119" i="13"/>
  <c r="BJ119" i="13"/>
  <c r="BR119" i="13"/>
  <c r="AU119" i="13"/>
  <c r="BI119" i="13"/>
  <c r="AG63" i="13"/>
  <c r="AO63" i="13"/>
  <c r="AW63" i="13"/>
  <c r="BE63" i="13"/>
  <c r="BM63" i="13"/>
  <c r="AH63" i="13"/>
  <c r="AP63" i="13"/>
  <c r="AX63" i="13"/>
  <c r="BF63" i="13"/>
  <c r="BN63" i="13"/>
  <c r="AK109" i="13"/>
  <c r="AS109" i="13"/>
  <c r="BA109" i="13"/>
  <c r="BI109" i="13"/>
  <c r="BQ109" i="13"/>
  <c r="AL109" i="13"/>
  <c r="AT109" i="13"/>
  <c r="BB109" i="13"/>
  <c r="BJ109" i="13"/>
  <c r="BR109" i="13"/>
  <c r="AG109" i="13"/>
  <c r="AQ109" i="13"/>
  <c r="BC109" i="13"/>
  <c r="BM109" i="13"/>
  <c r="AJ109" i="13"/>
  <c r="AV109" i="13"/>
  <c r="BF109" i="13"/>
  <c r="BP109" i="13"/>
  <c r="AH72" i="13"/>
  <c r="AL72" i="13"/>
  <c r="AT72" i="13"/>
  <c r="BB72" i="13"/>
  <c r="BJ72" i="13"/>
  <c r="BR72" i="13"/>
  <c r="AO72" i="13"/>
  <c r="AW72" i="13"/>
  <c r="BE72" i="13"/>
  <c r="BM72" i="13"/>
  <c r="AL70" i="13"/>
  <c r="AT70" i="13"/>
  <c r="BB70" i="13"/>
  <c r="BJ70" i="13"/>
  <c r="BR70" i="13"/>
  <c r="AQ70" i="13"/>
  <c r="BG70" i="13"/>
  <c r="AK70" i="13"/>
  <c r="BA70" i="13"/>
  <c r="BQ70" i="13"/>
  <c r="AN70" i="13"/>
  <c r="AX70" i="13"/>
  <c r="BH70" i="13"/>
  <c r="AE70" i="13"/>
  <c r="AY70" i="13"/>
  <c r="AG70" i="13"/>
  <c r="BE70" i="13"/>
  <c r="BJ97" i="13"/>
  <c r="AZ97" i="13"/>
  <c r="AN97" i="13"/>
  <c r="BQ97" i="13"/>
  <c r="BG97" i="13"/>
  <c r="AU97" i="13"/>
  <c r="AK97" i="13"/>
  <c r="BJ92" i="13"/>
  <c r="AZ92" i="13"/>
  <c r="AN92" i="13"/>
  <c r="BQ92" i="13"/>
  <c r="BG92" i="13"/>
  <c r="AU92" i="13"/>
  <c r="AK92" i="13"/>
  <c r="AX79" i="13"/>
  <c r="BI79" i="13"/>
  <c r="AM79" i="13"/>
  <c r="AH79" i="13"/>
  <c r="BC78" i="13"/>
  <c r="AM78" i="13"/>
  <c r="BF78" i="13"/>
  <c r="AN78" i="13"/>
  <c r="BJ114" i="13"/>
  <c r="AN114" i="13"/>
  <c r="BK114" i="13"/>
  <c r="AS114" i="13"/>
  <c r="BL110" i="13"/>
  <c r="AT110" i="13"/>
  <c r="BQ110" i="13"/>
  <c r="AU110" i="13"/>
  <c r="D39" i="1"/>
  <c r="C38" i="1"/>
  <c r="C39" i="1"/>
  <c r="AC8" i="13"/>
  <c r="AC11" i="13"/>
  <c r="J8" i="13"/>
  <c r="M11" i="13" s="1"/>
  <c r="DR12" i="13"/>
  <c r="EK12" i="13"/>
  <c r="CY12" i="13"/>
  <c r="CY13" i="13"/>
  <c r="DR13" i="13"/>
  <c r="EK13" i="13"/>
  <c r="EL12" i="13"/>
  <c r="CZ12" i="13"/>
  <c r="DS12" i="13"/>
  <c r="AG10" i="13"/>
  <c r="AK10" i="13"/>
  <c r="AO10" i="13"/>
  <c r="AS10" i="13"/>
  <c r="AW10" i="13"/>
  <c r="BA10" i="13"/>
  <c r="BE10" i="13"/>
  <c r="BI10" i="13"/>
  <c r="BM10" i="13"/>
  <c r="AF10" i="13"/>
  <c r="AJ10" i="13"/>
  <c r="AN10" i="13"/>
  <c r="AR10" i="13"/>
  <c r="AV10" i="13"/>
  <c r="AZ10" i="13"/>
  <c r="BD10" i="13"/>
  <c r="BH10" i="13"/>
  <c r="BL10" i="13"/>
  <c r="BP10" i="13"/>
  <c r="BQ10" i="13"/>
  <c r="AE10" i="13"/>
  <c r="AI10" i="13"/>
  <c r="AM10" i="13"/>
  <c r="AQ10" i="13"/>
  <c r="AU10" i="13"/>
  <c r="AY10" i="13"/>
  <c r="BC10" i="13"/>
  <c r="BG10" i="13"/>
  <c r="BK10" i="13"/>
  <c r="BO10" i="13"/>
  <c r="AH10" i="13"/>
  <c r="AL10" i="13"/>
  <c r="AP10" i="13"/>
  <c r="AT10" i="13"/>
  <c r="AX10" i="13"/>
  <c r="BB10" i="13"/>
  <c r="BF10" i="13"/>
  <c r="BJ10" i="13"/>
  <c r="BN10" i="13"/>
  <c r="BR10" i="13"/>
  <c r="AG9" i="13"/>
  <c r="AK9" i="13"/>
  <c r="AO9" i="13"/>
  <c r="AS9" i="13"/>
  <c r="AW9" i="13"/>
  <c r="BA9" i="13"/>
  <c r="BE9" i="13"/>
  <c r="BI9" i="13"/>
  <c r="BM9" i="13"/>
  <c r="BQ9" i="13"/>
  <c r="AH9" i="13"/>
  <c r="AL9" i="13"/>
  <c r="AP9" i="13"/>
  <c r="AT9" i="13"/>
  <c r="AX9" i="13"/>
  <c r="BB9" i="13"/>
  <c r="BF9" i="13"/>
  <c r="BJ9" i="13"/>
  <c r="BN9" i="13"/>
  <c r="BR9" i="13"/>
  <c r="AE9" i="13"/>
  <c r="AI9" i="13"/>
  <c r="AM9" i="13"/>
  <c r="AQ9" i="13"/>
  <c r="AU9" i="13"/>
  <c r="AY9" i="13"/>
  <c r="BC9" i="13"/>
  <c r="BG9" i="13"/>
  <c r="BK9" i="13"/>
  <c r="BO9" i="13"/>
  <c r="AF9" i="13"/>
  <c r="AJ9" i="13"/>
  <c r="AN9" i="13"/>
  <c r="AR9" i="13"/>
  <c r="AV9" i="13"/>
  <c r="AZ9" i="13"/>
  <c r="BD9" i="13"/>
  <c r="BH9" i="13"/>
  <c r="BL9" i="13"/>
  <c r="BP9" i="13"/>
  <c r="AM13" i="13"/>
  <c r="AU13" i="13"/>
  <c r="BC13" i="13"/>
  <c r="BM13" i="13"/>
  <c r="AF13" i="13"/>
  <c r="AJ13" i="13"/>
  <c r="AN13" i="13"/>
  <c r="AR13" i="13"/>
  <c r="AV13" i="13"/>
  <c r="AZ13" i="13"/>
  <c r="BD13" i="13"/>
  <c r="BH13" i="13"/>
  <c r="BL13" i="13"/>
  <c r="BP13" i="13"/>
  <c r="AE13" i="13"/>
  <c r="AK13" i="13"/>
  <c r="AS13" i="13"/>
  <c r="BA13" i="13"/>
  <c r="BI13" i="13"/>
  <c r="BO13" i="13"/>
  <c r="AG13" i="13"/>
  <c r="AQ13" i="13"/>
  <c r="AY13" i="13"/>
  <c r="BG13" i="13"/>
  <c r="BQ13" i="13"/>
  <c r="AH13" i="13"/>
  <c r="AL13" i="13"/>
  <c r="AP13" i="13"/>
  <c r="AT13" i="13"/>
  <c r="AX13" i="13"/>
  <c r="BB13" i="13"/>
  <c r="BF13" i="13"/>
  <c r="BJ13" i="13"/>
  <c r="BN13" i="13"/>
  <c r="BR13" i="13"/>
  <c r="AI13" i="13"/>
  <c r="AO13" i="13"/>
  <c r="AW13" i="13"/>
  <c r="BE13" i="13"/>
  <c r="BK13" i="13"/>
  <c r="AC14" i="13"/>
  <c r="AC17" i="13"/>
  <c r="AH17" i="13"/>
  <c r="AL17" i="13"/>
  <c r="AP17" i="13"/>
  <c r="AT17" i="13"/>
  <c r="AX17" i="13"/>
  <c r="BB17" i="13"/>
  <c r="BF17" i="13"/>
  <c r="BJ17" i="13"/>
  <c r="BN17" i="13"/>
  <c r="BR17" i="13"/>
  <c r="AI17" i="13"/>
  <c r="AQ17" i="13"/>
  <c r="AY17" i="13"/>
  <c r="BG17" i="13"/>
  <c r="BO17" i="13"/>
  <c r="AK17" i="13"/>
  <c r="AS17" i="13"/>
  <c r="BA17" i="13"/>
  <c r="BI17" i="13"/>
  <c r="BQ17" i="13"/>
  <c r="AF17" i="13"/>
  <c r="AJ17" i="13"/>
  <c r="AN17" i="13"/>
  <c r="AR17" i="13"/>
  <c r="AV17" i="13"/>
  <c r="AZ17" i="13"/>
  <c r="BD17" i="13"/>
  <c r="BH17" i="13"/>
  <c r="BL17" i="13"/>
  <c r="BP17" i="13"/>
  <c r="AE17" i="13"/>
  <c r="AM17" i="13"/>
  <c r="AU17" i="13"/>
  <c r="BC17" i="13"/>
  <c r="BK17" i="13"/>
  <c r="AG17" i="13"/>
  <c r="AO17" i="13"/>
  <c r="AW17" i="13"/>
  <c r="BE17" i="13"/>
  <c r="BM17" i="13"/>
  <c r="AC18" i="13"/>
  <c r="O19" i="13"/>
  <c r="AC15" i="13"/>
  <c r="K19" i="13"/>
  <c r="N19" i="13" s="1"/>
  <c r="O18" i="13" s="1"/>
  <c r="L16" i="13"/>
  <c r="L18" i="13"/>
  <c r="N16" i="13" s="1"/>
  <c r="L19" i="13"/>
  <c r="O16" i="13" s="1"/>
  <c r="AC19" i="13"/>
  <c r="K16" i="13"/>
  <c r="L15" i="13" s="1"/>
  <c r="K15" i="13"/>
  <c r="K18" i="13" s="1"/>
  <c r="AC16" i="13"/>
  <c r="J14" i="13"/>
  <c r="J17" i="13" s="1"/>
  <c r="AH18" i="13"/>
  <c r="AL18" i="13"/>
  <c r="AE18" i="13"/>
  <c r="AM18" i="13"/>
  <c r="AR18" i="13"/>
  <c r="AV18" i="13"/>
  <c r="AZ18" i="13"/>
  <c r="BD18" i="13"/>
  <c r="BH18" i="13"/>
  <c r="BL18" i="13"/>
  <c r="BP18" i="13"/>
  <c r="AG18" i="13"/>
  <c r="AO18" i="13"/>
  <c r="AS18" i="13"/>
  <c r="AW18" i="13"/>
  <c r="BA18" i="13"/>
  <c r="BE18" i="13"/>
  <c r="BI18" i="13"/>
  <c r="BM18" i="13"/>
  <c r="BQ18" i="13"/>
  <c r="AF18" i="13"/>
  <c r="AJ18" i="13"/>
  <c r="AN18" i="13"/>
  <c r="AI18" i="13"/>
  <c r="AP18" i="13"/>
  <c r="AT18" i="13"/>
  <c r="AX18" i="13"/>
  <c r="BB18" i="13"/>
  <c r="BF18" i="13"/>
  <c r="BJ18" i="13"/>
  <c r="BN18" i="13"/>
  <c r="BR18" i="13"/>
  <c r="AK18" i="13"/>
  <c r="AQ18" i="13"/>
  <c r="AU18" i="13"/>
  <c r="AY18" i="13"/>
  <c r="BC18" i="13"/>
  <c r="BG18" i="13"/>
  <c r="BK18" i="13"/>
  <c r="BO18" i="13"/>
  <c r="C40" i="1"/>
  <c r="C42" i="1"/>
  <c r="D41" i="1"/>
  <c r="K7" i="13"/>
  <c r="O3" i="13" s="1"/>
  <c r="K4" i="13"/>
  <c r="L3" i="13" s="1"/>
  <c r="AC6" i="13"/>
  <c r="O7" i="13"/>
  <c r="K3" i="13"/>
  <c r="N3" i="13" s="1"/>
  <c r="AC4" i="13"/>
  <c r="AC3" i="13"/>
  <c r="L6" i="13"/>
  <c r="N4" i="13" s="1"/>
  <c r="L7" i="13"/>
  <c r="O4" i="13" s="1"/>
  <c r="AC7" i="13"/>
  <c r="L4" i="13"/>
  <c r="DS7" i="13"/>
  <c r="CZ7" i="13"/>
  <c r="EL7" i="13"/>
  <c r="CZ6" i="13"/>
  <c r="DS6" i="13"/>
  <c r="EL6" i="13"/>
  <c r="AM2" i="13"/>
  <c r="AQ2" i="13"/>
  <c r="AU2" i="13"/>
  <c r="AY2" i="13"/>
  <c r="BC2" i="13"/>
  <c r="BG2" i="13"/>
  <c r="BK2" i="13"/>
  <c r="BO2" i="13"/>
  <c r="AL2" i="13"/>
  <c r="AP2" i="13"/>
  <c r="AT2" i="13"/>
  <c r="AX2" i="13"/>
  <c r="BB2" i="13"/>
  <c r="BF2" i="13"/>
  <c r="BJ2" i="13"/>
  <c r="BN2" i="13"/>
  <c r="BR2" i="13"/>
  <c r="AE2" i="13"/>
  <c r="AI2" i="13"/>
  <c r="AG2" i="13"/>
  <c r="AK2" i="13"/>
  <c r="AO2" i="13"/>
  <c r="AS2" i="13"/>
  <c r="AW2" i="13"/>
  <c r="BA2" i="13"/>
  <c r="BE2" i="13"/>
  <c r="BI2" i="13"/>
  <c r="BM2" i="13"/>
  <c r="BQ2" i="13"/>
  <c r="AN2" i="13"/>
  <c r="AR2" i="13"/>
  <c r="AV2" i="13"/>
  <c r="AZ2" i="13"/>
  <c r="BD2" i="13"/>
  <c r="BH2" i="13"/>
  <c r="BL2" i="13"/>
  <c r="BP2" i="13"/>
  <c r="AJ2" i="13"/>
  <c r="AH2" i="13"/>
  <c r="AF2" i="13"/>
  <c r="AM3" i="13"/>
  <c r="AQ3" i="13"/>
  <c r="AU3" i="13"/>
  <c r="AY3" i="13"/>
  <c r="BC3" i="13"/>
  <c r="BG3" i="13"/>
  <c r="BK3" i="13"/>
  <c r="BO3" i="13"/>
  <c r="AL3" i="13"/>
  <c r="AP3" i="13"/>
  <c r="AT3" i="13"/>
  <c r="AX3" i="13"/>
  <c r="BB3" i="13"/>
  <c r="BF3" i="13"/>
  <c r="BJ3" i="13"/>
  <c r="BN3" i="13"/>
  <c r="BR3" i="13"/>
  <c r="AJ3" i="13"/>
  <c r="AH3" i="13"/>
  <c r="AF3" i="13"/>
  <c r="AK3" i="13"/>
  <c r="AO3" i="13"/>
  <c r="AS3" i="13"/>
  <c r="AW3" i="13"/>
  <c r="BA3" i="13"/>
  <c r="BE3" i="13"/>
  <c r="BI3" i="13"/>
  <c r="BM3" i="13"/>
  <c r="BQ3" i="13"/>
  <c r="AN3" i="13"/>
  <c r="AR3" i="13"/>
  <c r="AV3" i="13"/>
  <c r="AZ3" i="13"/>
  <c r="BD3" i="13"/>
  <c r="BH3" i="13"/>
  <c r="BL3" i="13"/>
  <c r="BP3" i="13"/>
  <c r="AI3" i="13"/>
  <c r="AG3" i="13"/>
  <c r="AE3" i="13"/>
  <c r="D38" i="1"/>
  <c r="C37" i="1"/>
  <c r="D37" i="1"/>
  <c r="AG8" i="13"/>
  <c r="AK8" i="13"/>
  <c r="AO8" i="13"/>
  <c r="AS8" i="13"/>
  <c r="AW8" i="13"/>
  <c r="BA8" i="13"/>
  <c r="BE8" i="13"/>
  <c r="BI8" i="13"/>
  <c r="BM8" i="13"/>
  <c r="BQ8" i="13"/>
  <c r="AH8" i="13"/>
  <c r="AL8" i="13"/>
  <c r="AP8" i="13"/>
  <c r="AT8" i="13"/>
  <c r="AX8" i="13"/>
  <c r="BB8" i="13"/>
  <c r="BF8" i="13"/>
  <c r="BJ8" i="13"/>
  <c r="BN8" i="13"/>
  <c r="BR8" i="13"/>
  <c r="AE8" i="13"/>
  <c r="AI8" i="13"/>
  <c r="AM8" i="13"/>
  <c r="AQ8" i="13"/>
  <c r="AU8" i="13"/>
  <c r="AY8" i="13"/>
  <c r="BC8" i="13"/>
  <c r="BG8" i="13"/>
  <c r="BK8" i="13"/>
  <c r="BO8" i="13"/>
  <c r="AF8" i="13"/>
  <c r="AJ8" i="13"/>
  <c r="AN8" i="13"/>
  <c r="AR8" i="13"/>
  <c r="AV8" i="13"/>
  <c r="AZ8" i="13"/>
  <c r="BD8" i="13"/>
  <c r="BH8" i="13"/>
  <c r="BL8" i="13"/>
  <c r="BP8" i="13"/>
  <c r="AH11" i="13"/>
  <c r="AL11" i="13"/>
  <c r="AP11" i="13"/>
  <c r="AT11" i="13"/>
  <c r="AX11" i="13"/>
  <c r="BB11" i="13"/>
  <c r="BF11" i="13"/>
  <c r="BJ11" i="13"/>
  <c r="BN11" i="13"/>
  <c r="BR11" i="13"/>
  <c r="AK11" i="13"/>
  <c r="AS11" i="13"/>
  <c r="BE11" i="13"/>
  <c r="BQ11" i="13"/>
  <c r="AI11" i="13"/>
  <c r="AQ11" i="13"/>
  <c r="AY11" i="13"/>
  <c r="BG11" i="13"/>
  <c r="BO11" i="13"/>
  <c r="BM11" i="13"/>
  <c r="AF11" i="13"/>
  <c r="AJ11" i="13"/>
  <c r="AN11" i="13"/>
  <c r="AR11" i="13"/>
  <c r="AV11" i="13"/>
  <c r="AZ11" i="13"/>
  <c r="BD11" i="13"/>
  <c r="BH11" i="13"/>
  <c r="BL11" i="13"/>
  <c r="BP11" i="13"/>
  <c r="AG11" i="13"/>
  <c r="AO11" i="13"/>
  <c r="AW11" i="13"/>
  <c r="BI11" i="13"/>
  <c r="AE11" i="13"/>
  <c r="AM11" i="13"/>
  <c r="AU11" i="13"/>
  <c r="BC11" i="13"/>
  <c r="BK11" i="13"/>
  <c r="BA11" i="13"/>
  <c r="AC13" i="13"/>
  <c r="K10" i="13"/>
  <c r="L9" i="13" s="1"/>
  <c r="K9" i="13"/>
  <c r="N9" i="13" s="1"/>
  <c r="AC10" i="13"/>
  <c r="AC12" i="13"/>
  <c r="O13" i="13"/>
  <c r="AC9" i="13"/>
  <c r="K13" i="13"/>
  <c r="O9" i="13" s="1"/>
  <c r="L10" i="13"/>
  <c r="L12" i="13"/>
  <c r="N10" i="13" s="1"/>
  <c r="L13" i="13"/>
  <c r="O10" i="13" s="1"/>
  <c r="DS13" i="13"/>
  <c r="CZ13" i="13"/>
  <c r="EL13" i="13"/>
  <c r="AH12" i="13"/>
  <c r="AL12" i="13"/>
  <c r="AO12" i="13"/>
  <c r="AY12" i="13"/>
  <c r="BG12" i="13"/>
  <c r="BQ12" i="13"/>
  <c r="AI12" i="13"/>
  <c r="AP12" i="13"/>
  <c r="AT12" i="13"/>
  <c r="AX12" i="13"/>
  <c r="BB12" i="13"/>
  <c r="BF12" i="13"/>
  <c r="BJ12" i="13"/>
  <c r="BN12" i="13"/>
  <c r="BR12" i="13"/>
  <c r="AK12" i="13"/>
  <c r="AS12" i="13"/>
  <c r="BA12" i="13"/>
  <c r="BI12" i="13"/>
  <c r="BO12" i="13"/>
  <c r="AF12" i="13"/>
  <c r="AJ12" i="13"/>
  <c r="AN12" i="13"/>
  <c r="AU12" i="13"/>
  <c r="BC12" i="13"/>
  <c r="BM12" i="13"/>
  <c r="AE12" i="13"/>
  <c r="AM12" i="13"/>
  <c r="AR12" i="13"/>
  <c r="AV12" i="13"/>
  <c r="AZ12" i="13"/>
  <c r="BD12" i="13"/>
  <c r="BH12" i="13"/>
  <c r="BL12" i="13"/>
  <c r="BP12" i="13"/>
  <c r="AG12" i="13"/>
  <c r="AQ12" i="13"/>
  <c r="AW12" i="13"/>
  <c r="BE12" i="13"/>
  <c r="BK12" i="13"/>
  <c r="AG15" i="13"/>
  <c r="AK15" i="13"/>
  <c r="AO15" i="13"/>
  <c r="AS15" i="13"/>
  <c r="AW15" i="13"/>
  <c r="BA15" i="13"/>
  <c r="BE15" i="13"/>
  <c r="BI15" i="13"/>
  <c r="BM15" i="13"/>
  <c r="BQ15" i="13"/>
  <c r="AH15" i="13"/>
  <c r="AL15" i="13"/>
  <c r="AP15" i="13"/>
  <c r="AT15" i="13"/>
  <c r="AX15" i="13"/>
  <c r="BB15" i="13"/>
  <c r="BF15" i="13"/>
  <c r="BJ15" i="13"/>
  <c r="BN15" i="13"/>
  <c r="BR15" i="13"/>
  <c r="AE15" i="13"/>
  <c r="AI15" i="13"/>
  <c r="AM15" i="13"/>
  <c r="AQ15" i="13"/>
  <c r="AU15" i="13"/>
  <c r="AY15" i="13"/>
  <c r="BC15" i="13"/>
  <c r="BG15" i="13"/>
  <c r="BK15" i="13"/>
  <c r="BO15" i="13"/>
  <c r="AF15" i="13"/>
  <c r="AJ15" i="13"/>
  <c r="AN15" i="13"/>
  <c r="AR15" i="13"/>
  <c r="AV15" i="13"/>
  <c r="AZ15" i="13"/>
  <c r="BD15" i="13"/>
  <c r="BH15" i="13"/>
  <c r="BL15" i="13"/>
  <c r="BP15" i="13"/>
  <c r="DS18" i="13"/>
  <c r="EL18" i="13"/>
  <c r="CZ18" i="13"/>
  <c r="AG14" i="13"/>
  <c r="AK14" i="13"/>
  <c r="AO14" i="13"/>
  <c r="AS14" i="13"/>
  <c r="AW14" i="13"/>
  <c r="BA14" i="13"/>
  <c r="BE14" i="13"/>
  <c r="BI14" i="13"/>
  <c r="BM14" i="13"/>
  <c r="BQ14" i="13"/>
  <c r="AH14" i="13"/>
  <c r="AL14" i="13"/>
  <c r="AP14" i="13"/>
  <c r="AT14" i="13"/>
  <c r="AX14" i="13"/>
  <c r="BB14" i="13"/>
  <c r="BF14" i="13"/>
  <c r="BJ14" i="13"/>
  <c r="BN14" i="13"/>
  <c r="BR14" i="13"/>
  <c r="AE14" i="13"/>
  <c r="AI14" i="13"/>
  <c r="AM14" i="13"/>
  <c r="AQ14" i="13"/>
  <c r="AU14" i="13"/>
  <c r="AY14" i="13"/>
  <c r="BC14" i="13"/>
  <c r="BG14" i="13"/>
  <c r="BK14" i="13"/>
  <c r="BO14" i="13"/>
  <c r="AF14" i="13"/>
  <c r="AJ14" i="13"/>
  <c r="AN14" i="13"/>
  <c r="AR14" i="13"/>
  <c r="AV14" i="13"/>
  <c r="AZ14" i="13"/>
  <c r="BD14" i="13"/>
  <c r="BH14" i="13"/>
  <c r="BL14" i="13"/>
  <c r="BP14" i="13"/>
  <c r="DR18" i="13"/>
  <c r="EK18" i="13"/>
  <c r="CY18" i="13"/>
  <c r="DR19" i="13"/>
  <c r="CY19" i="13"/>
  <c r="EK19" i="13"/>
  <c r="AG16" i="13"/>
  <c r="AK16" i="13"/>
  <c r="AO16" i="13"/>
  <c r="AS16" i="13"/>
  <c r="AW16" i="13"/>
  <c r="BA16" i="13"/>
  <c r="AH16" i="13"/>
  <c r="AL16" i="13"/>
  <c r="AP16" i="13"/>
  <c r="AT16" i="13"/>
  <c r="AX16" i="13"/>
  <c r="BB16" i="13"/>
  <c r="BF16" i="13"/>
  <c r="BJ16" i="13"/>
  <c r="BN16" i="13"/>
  <c r="BR16" i="13"/>
  <c r="BG16" i="13"/>
  <c r="BO16" i="13"/>
  <c r="BI16" i="13"/>
  <c r="BQ16" i="13"/>
  <c r="AE16" i="13"/>
  <c r="AI16" i="13"/>
  <c r="AM16" i="13"/>
  <c r="AQ16" i="13"/>
  <c r="AU16" i="13"/>
  <c r="AY16" i="13"/>
  <c r="AF16" i="13"/>
  <c r="AJ16" i="13"/>
  <c r="AN16" i="13"/>
  <c r="AR16" i="13"/>
  <c r="AV16" i="13"/>
  <c r="AZ16" i="13"/>
  <c r="BD16" i="13"/>
  <c r="BH16" i="13"/>
  <c r="BL16" i="13"/>
  <c r="BP16" i="13"/>
  <c r="BC16" i="13"/>
  <c r="BK16" i="13"/>
  <c r="BE16" i="13"/>
  <c r="BM16" i="13"/>
  <c r="DS19" i="13"/>
  <c r="EL19" i="13"/>
  <c r="CZ19" i="13"/>
  <c r="AH19" i="13"/>
  <c r="AL19" i="13"/>
  <c r="AP19" i="13"/>
  <c r="AT19" i="13"/>
  <c r="AX19" i="13"/>
  <c r="BB19" i="13"/>
  <c r="BF19" i="13"/>
  <c r="BJ19" i="13"/>
  <c r="BN19" i="13"/>
  <c r="BR19" i="13"/>
  <c r="AG19" i="13"/>
  <c r="AK19" i="13"/>
  <c r="AO19" i="13"/>
  <c r="AS19" i="13"/>
  <c r="AW19" i="13"/>
  <c r="BA19" i="13"/>
  <c r="BE19" i="13"/>
  <c r="BI19" i="13"/>
  <c r="BM19" i="13"/>
  <c r="BQ19" i="13"/>
  <c r="AF19" i="13"/>
  <c r="AJ19" i="13"/>
  <c r="AN19" i="13"/>
  <c r="AR19" i="13"/>
  <c r="AV19" i="13"/>
  <c r="AZ19" i="13"/>
  <c r="BD19" i="13"/>
  <c r="BH19" i="13"/>
  <c r="BL19" i="13"/>
  <c r="BP19" i="13"/>
  <c r="AE19" i="13"/>
  <c r="AI19" i="13"/>
  <c r="AM19" i="13"/>
  <c r="AQ19" i="13"/>
  <c r="AU19" i="13"/>
  <c r="AY19" i="13"/>
  <c r="BC19" i="13"/>
  <c r="BG19" i="13"/>
  <c r="BK19" i="13"/>
  <c r="BO19" i="13"/>
  <c r="C41" i="1"/>
  <c r="D42" i="1"/>
  <c r="D40" i="1"/>
  <c r="D11" i="1"/>
  <c r="E22" i="1" s="1"/>
  <c r="EK7" i="13"/>
  <c r="CY7" i="13"/>
  <c r="DR7" i="13"/>
  <c r="AM4" i="13"/>
  <c r="AQ4" i="13"/>
  <c r="AU4" i="13"/>
  <c r="AY4" i="13"/>
  <c r="BC4" i="13"/>
  <c r="BG4" i="13"/>
  <c r="BK4" i="13"/>
  <c r="BO4" i="13"/>
  <c r="AL4" i="13"/>
  <c r="AP4" i="13"/>
  <c r="AT4" i="13"/>
  <c r="AX4" i="13"/>
  <c r="BB4" i="13"/>
  <c r="BF4" i="13"/>
  <c r="BJ4" i="13"/>
  <c r="BN4" i="13"/>
  <c r="BR4" i="13"/>
  <c r="AG4" i="13"/>
  <c r="AE4" i="13"/>
  <c r="AJ4" i="13"/>
  <c r="AK4" i="13"/>
  <c r="AO4" i="13"/>
  <c r="AS4" i="13"/>
  <c r="AW4" i="13"/>
  <c r="BA4" i="13"/>
  <c r="BE4" i="13"/>
  <c r="BI4" i="13"/>
  <c r="BM4" i="13"/>
  <c r="BQ4" i="13"/>
  <c r="AN4" i="13"/>
  <c r="AR4" i="13"/>
  <c r="AV4" i="13"/>
  <c r="AZ4" i="13"/>
  <c r="BD4" i="13"/>
  <c r="BH4" i="13"/>
  <c r="BL4" i="13"/>
  <c r="BP4" i="13"/>
  <c r="AF4" i="13"/>
  <c r="AI4" i="13"/>
  <c r="AH4" i="13"/>
  <c r="J2" i="13"/>
  <c r="M2" i="13" s="1"/>
  <c r="AN7" i="13"/>
  <c r="AR7" i="13"/>
  <c r="AV7" i="13"/>
  <c r="AZ7" i="13"/>
  <c r="BD7" i="13"/>
  <c r="BH7" i="13"/>
  <c r="BL7" i="13"/>
  <c r="BP7" i="13"/>
  <c r="AK7" i="13"/>
  <c r="AS7" i="13"/>
  <c r="BA7" i="13"/>
  <c r="BI7" i="13"/>
  <c r="BQ7" i="13"/>
  <c r="AQ7" i="13"/>
  <c r="AY7" i="13"/>
  <c r="BG7" i="13"/>
  <c r="BO7" i="13"/>
  <c r="AE7" i="13"/>
  <c r="AG7" i="13"/>
  <c r="AF7" i="13"/>
  <c r="AL7" i="13"/>
  <c r="AP7" i="13"/>
  <c r="AT7" i="13"/>
  <c r="AX7" i="13"/>
  <c r="BB7" i="13"/>
  <c r="BF7" i="13"/>
  <c r="BJ7" i="13"/>
  <c r="BN7" i="13"/>
  <c r="BR7" i="13"/>
  <c r="AO7" i="13"/>
  <c r="AW7" i="13"/>
  <c r="BE7" i="13"/>
  <c r="BM7" i="13"/>
  <c r="AM7" i="13"/>
  <c r="AU7" i="13"/>
  <c r="BC7" i="13"/>
  <c r="BK7" i="13"/>
  <c r="AI7" i="13"/>
  <c r="AH7" i="13"/>
  <c r="AJ7" i="13"/>
  <c r="AC5" i="13"/>
  <c r="AC2" i="13"/>
  <c r="AL6" i="13"/>
  <c r="AP6" i="13"/>
  <c r="AT6" i="13"/>
  <c r="AX6" i="13"/>
  <c r="BB6" i="13"/>
  <c r="BF6" i="13"/>
  <c r="BJ6" i="13"/>
  <c r="BN6" i="13"/>
  <c r="BR6" i="13"/>
  <c r="AQ6" i="13"/>
  <c r="AY6" i="13"/>
  <c r="BG6" i="13"/>
  <c r="BO6" i="13"/>
  <c r="AS6" i="13"/>
  <c r="BA6" i="13"/>
  <c r="BI6" i="13"/>
  <c r="BQ6" i="13"/>
  <c r="AH6" i="13"/>
  <c r="AE6" i="13"/>
  <c r="AF6" i="13"/>
  <c r="AK6" i="13"/>
  <c r="AN6" i="13"/>
  <c r="AR6" i="13"/>
  <c r="AV6" i="13"/>
  <c r="AZ6" i="13"/>
  <c r="BD6" i="13"/>
  <c r="BH6" i="13"/>
  <c r="BL6" i="13"/>
  <c r="BP6" i="13"/>
  <c r="AM6" i="13"/>
  <c r="AU6" i="13"/>
  <c r="BC6" i="13"/>
  <c r="BK6" i="13"/>
  <c r="AO6" i="13"/>
  <c r="AW6" i="13"/>
  <c r="BE6" i="13"/>
  <c r="BM6" i="13"/>
  <c r="AI6" i="13"/>
  <c r="AJ6" i="13"/>
  <c r="AG6" i="13"/>
  <c r="AM5" i="13"/>
  <c r="AQ5" i="13"/>
  <c r="AU5" i="13"/>
  <c r="AY5" i="13"/>
  <c r="BC5" i="13"/>
  <c r="BG5" i="13"/>
  <c r="BK5" i="13"/>
  <c r="BO5" i="13"/>
  <c r="AN5" i="13"/>
  <c r="AR5" i="13"/>
  <c r="AV5" i="13"/>
  <c r="AZ5" i="13"/>
  <c r="BD5" i="13"/>
  <c r="BH5" i="13"/>
  <c r="BL5" i="13"/>
  <c r="BP5" i="13"/>
  <c r="BQ5" i="13"/>
  <c r="AI5" i="13"/>
  <c r="AE5" i="13"/>
  <c r="AH5" i="13"/>
  <c r="AK5" i="13"/>
  <c r="AO5" i="13"/>
  <c r="AS5" i="13"/>
  <c r="AW5" i="13"/>
  <c r="BA5" i="13"/>
  <c r="BE5" i="13"/>
  <c r="BI5" i="13"/>
  <c r="BM5" i="13"/>
  <c r="AL5" i="13"/>
  <c r="AP5" i="13"/>
  <c r="AT5" i="13"/>
  <c r="AX5" i="13"/>
  <c r="BB5" i="13"/>
  <c r="BF5" i="13"/>
  <c r="BJ5" i="13"/>
  <c r="BN5" i="13"/>
  <c r="BR5" i="13"/>
  <c r="AG5" i="13"/>
  <c r="AJ5" i="13"/>
  <c r="AF5" i="13"/>
  <c r="EK6" i="13"/>
  <c r="DR6" i="13"/>
  <c r="CY6" i="13" s="1"/>
  <c r="EN37" i="13"/>
  <c r="DB97" i="13"/>
  <c r="DU96" i="13"/>
  <c r="EN96" i="13"/>
  <c r="I6" i="12"/>
  <c r="D28" i="12"/>
  <c r="I29" i="12"/>
  <c r="I30" i="12"/>
  <c r="D4" i="12"/>
  <c r="H27" i="12"/>
  <c r="M51" i="20"/>
  <c r="F52" i="20"/>
  <c r="J52" i="20"/>
  <c r="E52" i="20"/>
  <c r="D52" i="20"/>
  <c r="H52" i="20"/>
  <c r="C52" i="20"/>
  <c r="G52" i="20"/>
  <c r="O52" i="20"/>
  <c r="N52" i="20"/>
  <c r="R52" i="20"/>
  <c r="M52" i="20"/>
  <c r="Q52" i="20"/>
  <c r="P52" i="20"/>
  <c r="T52" i="20"/>
  <c r="D27" i="12"/>
  <c r="I27" i="12"/>
  <c r="H5" i="12"/>
  <c r="E28" i="12"/>
  <c r="H7" i="12"/>
  <c r="H4" i="12"/>
  <c r="E4" i="12"/>
  <c r="D30" i="12"/>
  <c r="P2" i="2"/>
  <c r="P4" i="2"/>
  <c r="BT26" i="13" a="1"/>
  <c r="BT29" i="13" s="1"/>
  <c r="BT116" i="13" a="1"/>
  <c r="BT116" i="13" s="1"/>
  <c r="BT98" i="13" a="1"/>
  <c r="BT100" i="13" s="1"/>
  <c r="T17" i="13"/>
  <c r="S18" i="13"/>
  <c r="P15" i="13"/>
  <c r="Q14" i="13"/>
  <c r="P2" i="13"/>
  <c r="S5" i="13"/>
  <c r="Q3" i="13"/>
  <c r="T6" i="13"/>
  <c r="S11" i="13"/>
  <c r="T12" i="13"/>
  <c r="Q9" i="13"/>
  <c r="P8" i="13"/>
  <c r="S17" i="13"/>
  <c r="Q15" i="13"/>
  <c r="T18" i="13"/>
  <c r="P14" i="13"/>
  <c r="T5" i="13"/>
  <c r="S6" i="13"/>
  <c r="Q2" i="13"/>
  <c r="P3" i="13"/>
  <c r="E7" i="17"/>
  <c r="F5" i="17"/>
  <c r="N51" i="13"/>
  <c r="N54" i="13"/>
  <c r="K54" i="13"/>
  <c r="K72" i="13"/>
  <c r="N69" i="13"/>
  <c r="N72" i="13"/>
  <c r="N73" i="13"/>
  <c r="O72" i="13" s="1"/>
  <c r="O69" i="13"/>
  <c r="BT68" i="13" a="1"/>
  <c r="BT44" i="13" a="1"/>
  <c r="K108" i="13"/>
  <c r="N105" i="13"/>
  <c r="N108" i="13"/>
  <c r="N103" i="13"/>
  <c r="O102" i="13" s="1"/>
  <c r="O99" i="13"/>
  <c r="N102" i="13"/>
  <c r="K102" i="13"/>
  <c r="N99" i="13"/>
  <c r="N84" i="13"/>
  <c r="N81" i="13"/>
  <c r="K84" i="13"/>
  <c r="F6" i="17"/>
  <c r="N30" i="13"/>
  <c r="N27" i="13"/>
  <c r="K30" i="13"/>
  <c r="N117" i="13"/>
  <c r="N25" i="13"/>
  <c r="O24" i="13" s="1"/>
  <c r="O21" i="13"/>
  <c r="N67" i="13"/>
  <c r="O66" i="13" s="1"/>
  <c r="O63" i="13"/>
  <c r="K42" i="13"/>
  <c r="N42" i="13"/>
  <c r="N39" i="13"/>
  <c r="N43" i="13"/>
  <c r="O42" i="13" s="1"/>
  <c r="O39" i="13"/>
  <c r="N87" i="13"/>
  <c r="K90" i="13"/>
  <c r="N90" i="13"/>
  <c r="N7" i="13"/>
  <c r="O6" i="13" s="1"/>
  <c r="F7" i="17"/>
  <c r="E5" i="17"/>
  <c r="G5" i="17" s="1"/>
  <c r="O51" i="13"/>
  <c r="N55" i="13"/>
  <c r="O54" i="13" s="1"/>
  <c r="N36" i="13"/>
  <c r="N33" i="13"/>
  <c r="K36" i="13"/>
  <c r="N37" i="13"/>
  <c r="O36" i="13" s="1"/>
  <c r="O33" i="13"/>
  <c r="N109" i="13"/>
  <c r="O108" i="13" s="1"/>
  <c r="O105" i="13"/>
  <c r="O81" i="13"/>
  <c r="N85" i="13"/>
  <c r="O84" i="13" s="1"/>
  <c r="N24" i="13"/>
  <c r="N66" i="13"/>
  <c r="N63" i="13"/>
  <c r="K66" i="13"/>
  <c r="K48" i="13"/>
  <c r="N45" i="13"/>
  <c r="N48" i="13"/>
  <c r="O57" i="13"/>
  <c r="N61" i="13"/>
  <c r="O60" i="13" s="1"/>
  <c r="K60" i="13"/>
  <c r="N57" i="13"/>
  <c r="N60" i="13"/>
  <c r="N91" i="13"/>
  <c r="O90" i="13" s="1"/>
  <c r="O87" i="13"/>
  <c r="K114" i="13"/>
  <c r="N111" i="13"/>
  <c r="N114" i="13"/>
  <c r="N115" i="13"/>
  <c r="O114" i="13" s="1"/>
  <c r="O111" i="13"/>
  <c r="M14" i="13"/>
  <c r="I4" i="12"/>
  <c r="D5" i="12"/>
  <c r="I28" i="12"/>
  <c r="I31" i="12"/>
  <c r="I5" i="12"/>
  <c r="D6" i="12"/>
  <c r="E5" i="12"/>
  <c r="E29" i="12"/>
  <c r="E6" i="12"/>
  <c r="H6" i="12"/>
  <c r="E30" i="12"/>
  <c r="D7" i="12"/>
  <c r="E7" i="12"/>
  <c r="I7" i="12"/>
  <c r="D8" i="12"/>
  <c r="E27" i="12"/>
  <c r="H30" i="12"/>
  <c r="E8" i="12"/>
  <c r="H8" i="12"/>
  <c r="D29" i="12"/>
  <c r="D51" i="20"/>
  <c r="C53" i="12"/>
  <c r="D53" i="12" s="1"/>
  <c r="C54" i="12"/>
  <c r="E54" i="12" s="1"/>
  <c r="F54" i="12" s="1"/>
  <c r="C50" i="12"/>
  <c r="E50" i="12" s="1"/>
  <c r="F50" i="12" s="1"/>
  <c r="H53" i="12"/>
  <c r="I53" i="12" s="1"/>
  <c r="J53" i="12" s="1"/>
  <c r="C52" i="12"/>
  <c r="D52" i="12" s="1"/>
  <c r="H54" i="12"/>
  <c r="L54" i="12" s="1"/>
  <c r="H52" i="12"/>
  <c r="K52" i="12" s="1"/>
  <c r="H51" i="12"/>
  <c r="I51" i="12" s="1"/>
  <c r="J51" i="12" s="1"/>
  <c r="H50" i="12"/>
  <c r="I50" i="12" s="1"/>
  <c r="J50" i="12" s="1"/>
  <c r="D54" i="12"/>
  <c r="D51" i="12"/>
  <c r="G51" i="12"/>
  <c r="E51" i="12"/>
  <c r="F51" i="12" s="1"/>
  <c r="T1" i="17"/>
  <c r="N51" i="20"/>
  <c r="O51" i="20"/>
  <c r="J51" i="20"/>
  <c r="G51" i="20"/>
  <c r="T51" i="20"/>
  <c r="Q51" i="20"/>
  <c r="R51" i="20"/>
  <c r="U51" i="20" s="1"/>
  <c r="E51" i="20"/>
  <c r="F51" i="20"/>
  <c r="H51" i="20"/>
  <c r="I51" i="20" s="1"/>
  <c r="P51" i="20"/>
  <c r="C51" i="20"/>
  <c r="I50" i="20"/>
  <c r="K50" i="20"/>
  <c r="U50" i="20"/>
  <c r="S50" i="20"/>
  <c r="L50" i="20"/>
  <c r="V50" i="20"/>
  <c r="J27" i="20"/>
  <c r="K27" i="20" s="1"/>
  <c r="J31" i="20"/>
  <c r="K31" i="20" s="1"/>
  <c r="J30" i="20"/>
  <c r="K30" i="20" s="1"/>
  <c r="J28" i="20"/>
  <c r="K28" i="20" s="1"/>
  <c r="J29" i="20"/>
  <c r="K29" i="20" s="1"/>
  <c r="H6" i="20"/>
  <c r="I6" i="20" s="1"/>
  <c r="C28" i="20"/>
  <c r="D28" i="20" s="1"/>
  <c r="C31" i="20"/>
  <c r="D31" i="20" s="1"/>
  <c r="E4" i="20"/>
  <c r="F4" i="20" s="1"/>
  <c r="C27" i="20"/>
  <c r="D27" i="20" s="1"/>
  <c r="C29" i="20"/>
  <c r="D29" i="20" s="1"/>
  <c r="C30" i="20"/>
  <c r="D30" i="20" s="1"/>
  <c r="H5" i="20"/>
  <c r="I5" i="20" s="1"/>
  <c r="H8" i="20"/>
  <c r="I8" i="20" s="1"/>
  <c r="E8" i="20"/>
  <c r="F8" i="20" s="1"/>
  <c r="H4" i="20"/>
  <c r="I4" i="20" s="1"/>
  <c r="H7" i="20"/>
  <c r="I7" i="20" s="1"/>
  <c r="E6" i="20"/>
  <c r="F6" i="20" s="1"/>
  <c r="E7" i="20"/>
  <c r="F7" i="20" s="1"/>
  <c r="E5" i="20"/>
  <c r="F5" i="20" s="1"/>
  <c r="G50" i="12"/>
  <c r="H8" i="13"/>
  <c r="E6" i="17" l="1"/>
  <c r="M8" i="13"/>
  <c r="EP23" i="13"/>
  <c r="M17" i="13"/>
  <c r="K96" i="13"/>
  <c r="K6" i="13"/>
  <c r="N6" i="13"/>
  <c r="BT20" i="13" a="1"/>
  <c r="BT22" i="13" s="1"/>
  <c r="BT32" i="13" a="1"/>
  <c r="BT33" i="13" s="1"/>
  <c r="N93" i="13"/>
  <c r="N13" i="13"/>
  <c r="O12" i="13" s="1"/>
  <c r="O15" i="13"/>
  <c r="V14" i="13" s="1" a="1"/>
  <c r="AA19" i="13" s="1"/>
  <c r="EP107" i="13"/>
  <c r="CK64" i="13"/>
  <c r="DW53" i="13"/>
  <c r="CK82" i="13"/>
  <c r="DD77" i="13"/>
  <c r="DD65" i="13"/>
  <c r="H23" i="1"/>
  <c r="N75" i="13"/>
  <c r="D22" i="1"/>
  <c r="J11" i="13"/>
  <c r="CK70" i="13"/>
  <c r="EP35" i="13"/>
  <c r="DW59" i="13"/>
  <c r="CK34" i="13"/>
  <c r="EP77" i="13"/>
  <c r="BT74" i="13" a="1"/>
  <c r="BT79" i="13" s="1"/>
  <c r="EP95" i="13"/>
  <c r="BT50" i="13" a="1"/>
  <c r="BT53" i="13" s="1"/>
  <c r="CK28" i="13"/>
  <c r="K78" i="13"/>
  <c r="K24" i="13"/>
  <c r="H19" i="1"/>
  <c r="CK40" i="13"/>
  <c r="S12" i="13"/>
  <c r="T11" i="13"/>
  <c r="Q8" i="13"/>
  <c r="P9" i="13"/>
  <c r="E19" i="1"/>
  <c r="K12" i="13"/>
  <c r="J5" i="13"/>
  <c r="G19" i="1"/>
  <c r="H20" i="1"/>
  <c r="DW83" i="13"/>
  <c r="DW29" i="13"/>
  <c r="BT62" i="13" a="1"/>
  <c r="BT65" i="13" s="1"/>
  <c r="J22" i="1"/>
  <c r="M5" i="13"/>
  <c r="D19" i="1"/>
  <c r="I49" i="1"/>
  <c r="F18" i="1"/>
  <c r="C21" i="1" s="1"/>
  <c r="I46" i="1"/>
  <c r="H22" i="1"/>
  <c r="D23" i="1"/>
  <c r="G23" i="1"/>
  <c r="I50" i="1"/>
  <c r="D12" i="1"/>
  <c r="I48" i="1" s="1"/>
  <c r="G20" i="1"/>
  <c r="E20" i="1"/>
  <c r="D13" i="1"/>
  <c r="G59" i="1" s="1"/>
  <c r="EP65" i="13"/>
  <c r="F21" i="1"/>
  <c r="I47" i="1"/>
  <c r="C18" i="1"/>
  <c r="G22" i="1"/>
  <c r="J19" i="1"/>
  <c r="J23" i="1"/>
  <c r="E23" i="1"/>
  <c r="D20" i="1"/>
  <c r="J18" i="1"/>
  <c r="I51" i="1"/>
  <c r="J21" i="1"/>
  <c r="J20" i="1"/>
  <c r="DD29" i="13"/>
  <c r="CK76" i="13"/>
  <c r="EP53" i="13"/>
  <c r="EP113" i="13"/>
  <c r="EP83" i="13"/>
  <c r="DD59" i="13"/>
  <c r="DW89" i="13"/>
  <c r="DW47" i="13"/>
  <c r="N12" i="13"/>
  <c r="K120" i="13"/>
  <c r="N18" i="13"/>
  <c r="N15" i="13"/>
  <c r="O75" i="13"/>
  <c r="DW65" i="13"/>
  <c r="DD83" i="13"/>
  <c r="DD113" i="13"/>
  <c r="EP101" i="13"/>
  <c r="BT38" i="13" a="1"/>
  <c r="BT40" i="13" s="1"/>
  <c r="DD101" i="13"/>
  <c r="BT52" i="13"/>
  <c r="DD119" i="13"/>
  <c r="DD107" i="13"/>
  <c r="EP29" i="13"/>
  <c r="CK106" i="13"/>
  <c r="DW77" i="13"/>
  <c r="DW119" i="13"/>
  <c r="DW113" i="13"/>
  <c r="DD89" i="13"/>
  <c r="EP41" i="13"/>
  <c r="DW23" i="13"/>
  <c r="DD35" i="13"/>
  <c r="BT86" i="13" a="1"/>
  <c r="BT89" i="13" s="1"/>
  <c r="CK52" i="13"/>
  <c r="DD53" i="13"/>
  <c r="CK22" i="13"/>
  <c r="DD23" i="13"/>
  <c r="EP47" i="13"/>
  <c r="EP119" i="13"/>
  <c r="EP59" i="13"/>
  <c r="BT110" i="13" a="1"/>
  <c r="BT113" i="13" s="1"/>
  <c r="DD95" i="13"/>
  <c r="BT92" i="13" a="1"/>
  <c r="BT95" i="13" s="1"/>
  <c r="DW35" i="13"/>
  <c r="DD71" i="13"/>
  <c r="DW71" i="13"/>
  <c r="DW107" i="13"/>
  <c r="BT104" i="13" a="1"/>
  <c r="BT105" i="13" s="1"/>
  <c r="CK100" i="13"/>
  <c r="DW101" i="13"/>
  <c r="CK118" i="13"/>
  <c r="DW95" i="13"/>
  <c r="DW41" i="13"/>
  <c r="EP89" i="13"/>
  <c r="CK88" i="13"/>
  <c r="DD41" i="13"/>
  <c r="DD47" i="13"/>
  <c r="BT80" i="13" a="1"/>
  <c r="BT80" i="13" s="1"/>
  <c r="BT56" i="13" a="1"/>
  <c r="BT59" i="13" s="1"/>
  <c r="CK94" i="13"/>
  <c r="CK46" i="13"/>
  <c r="EP71" i="13"/>
  <c r="CK112" i="13"/>
  <c r="K54" i="12"/>
  <c r="N97" i="13"/>
  <c r="O96" i="13" s="1"/>
  <c r="V92" i="13" s="1" a="1"/>
  <c r="X94" i="13" s="1"/>
  <c r="O117" i="13"/>
  <c r="O45" i="13"/>
  <c r="N31" i="13"/>
  <c r="O30" i="13" s="1"/>
  <c r="V26" i="13" s="1" a="1"/>
  <c r="Y26" i="13" s="1"/>
  <c r="V51" i="20"/>
  <c r="BT26" i="13"/>
  <c r="BT114" i="13"/>
  <c r="I52" i="12"/>
  <c r="J52" i="12" s="1"/>
  <c r="G53" i="12"/>
  <c r="D56" i="1"/>
  <c r="BT91" i="13"/>
  <c r="BT115" i="13"/>
  <c r="BT55" i="13"/>
  <c r="F58" i="1"/>
  <c r="BT86" i="13"/>
  <c r="BT50" i="13"/>
  <c r="D50" i="12"/>
  <c r="L52" i="12"/>
  <c r="L52" i="20"/>
  <c r="I52" i="20"/>
  <c r="K52" i="20"/>
  <c r="V52" i="20"/>
  <c r="S52" i="20"/>
  <c r="U52" i="20"/>
  <c r="L53" i="12"/>
  <c r="I54" i="12"/>
  <c r="J54" i="12" s="1"/>
  <c r="G54" i="12"/>
  <c r="O5" i="17"/>
  <c r="R5" i="17" s="1"/>
  <c r="V98" i="13" a="1"/>
  <c r="Y101" i="13" s="1"/>
  <c r="H5" i="17"/>
  <c r="M5" i="17" s="1"/>
  <c r="BT107" i="13"/>
  <c r="V68" i="13" a="1"/>
  <c r="AA73" i="13" s="1"/>
  <c r="P5" i="17"/>
  <c r="Q5" i="17" s="1"/>
  <c r="AE30" i="17" s="1"/>
  <c r="AH30" i="17" s="1"/>
  <c r="G6" i="17"/>
  <c r="C31" i="17" s="1"/>
  <c r="F31" i="17" s="1"/>
  <c r="BT104" i="13"/>
  <c r="H7" i="17"/>
  <c r="G32" i="17" s="1"/>
  <c r="J32" i="17" s="1"/>
  <c r="M32" i="17" s="1"/>
  <c r="BT27" i="13"/>
  <c r="BT31" i="13"/>
  <c r="BT120" i="13"/>
  <c r="BT30" i="13"/>
  <c r="BT28" i="13"/>
  <c r="BT119" i="13"/>
  <c r="BT121" i="13"/>
  <c r="P7" i="17"/>
  <c r="X32" i="17" s="1"/>
  <c r="AA32" i="17" s="1"/>
  <c r="AD32" i="17" s="1"/>
  <c r="O7" i="17"/>
  <c r="T32" i="17" s="1"/>
  <c r="W32" i="17" s="1"/>
  <c r="G7" i="17"/>
  <c r="C32" i="17" s="1"/>
  <c r="F32" i="17" s="1"/>
  <c r="BT51" i="13"/>
  <c r="BT54" i="13"/>
  <c r="BT39" i="13"/>
  <c r="BT38" i="13"/>
  <c r="V80" i="13" a="1"/>
  <c r="X85" i="13" s="1"/>
  <c r="V104" i="13" a="1"/>
  <c r="AA107" i="13" s="1"/>
  <c r="V50" i="13" a="1"/>
  <c r="W54" i="13" s="1"/>
  <c r="BT25" i="13"/>
  <c r="BT102" i="13"/>
  <c r="BT118" i="13"/>
  <c r="BT117" i="13"/>
  <c r="BT34" i="13"/>
  <c r="P6" i="17"/>
  <c r="X31" i="17" s="1"/>
  <c r="AA31" i="17" s="1"/>
  <c r="AD31" i="17" s="1"/>
  <c r="H6" i="17"/>
  <c r="G31" i="17" s="1"/>
  <c r="J31" i="17" s="1"/>
  <c r="M31" i="17" s="1"/>
  <c r="O6" i="17"/>
  <c r="T31" i="17" s="1"/>
  <c r="W31" i="17" s="1"/>
  <c r="BT98" i="13"/>
  <c r="BT36" i="13"/>
  <c r="BT35" i="13"/>
  <c r="BT103" i="13"/>
  <c r="V56" i="13" a="1"/>
  <c r="X60" i="13" s="1"/>
  <c r="V62" i="13" a="1"/>
  <c r="V67" i="13" s="1"/>
  <c r="BT32" i="13"/>
  <c r="BT37" i="13"/>
  <c r="BT101" i="13"/>
  <c r="BT99" i="13"/>
  <c r="BT74" i="13"/>
  <c r="V110" i="13" a="1"/>
  <c r="AA114" i="13" s="1"/>
  <c r="V44" i="13" a="1"/>
  <c r="Z48" i="13" s="1"/>
  <c r="V32" i="13" a="1"/>
  <c r="W34" i="13" s="1"/>
  <c r="V38" i="13" a="1"/>
  <c r="W38" i="13" s="1"/>
  <c r="V20" i="13" a="1"/>
  <c r="AA21" i="13" s="1"/>
  <c r="V86" i="13" a="1"/>
  <c r="Z90" i="13" s="1"/>
  <c r="Z70" i="13"/>
  <c r="BT93" i="13"/>
  <c r="F59" i="1"/>
  <c r="D55" i="1"/>
  <c r="BT45" i="13"/>
  <c r="BT46" i="13"/>
  <c r="BT48" i="13"/>
  <c r="BT47" i="13"/>
  <c r="BT44" i="13"/>
  <c r="BT49" i="13"/>
  <c r="BT68" i="13"/>
  <c r="BT71" i="13"/>
  <c r="BT69" i="13"/>
  <c r="BT70" i="13"/>
  <c r="BT73" i="13"/>
  <c r="BT72" i="13"/>
  <c r="K50" i="12"/>
  <c r="L50" i="12"/>
  <c r="K53" i="12"/>
  <c r="E53" i="12"/>
  <c r="F53" i="12" s="1"/>
  <c r="K51" i="12"/>
  <c r="G52" i="12"/>
  <c r="E49" i="17"/>
  <c r="D48" i="17"/>
  <c r="E47" i="17"/>
  <c r="D46" i="17"/>
  <c r="E45" i="17"/>
  <c r="E44" i="17"/>
  <c r="E43" i="17"/>
  <c r="E42" i="17"/>
  <c r="E41" i="17"/>
  <c r="E40" i="17"/>
  <c r="K45" i="17"/>
  <c r="K44" i="17"/>
  <c r="K43" i="17"/>
  <c r="K42" i="17"/>
  <c r="P41" i="17"/>
  <c r="P40" i="17"/>
  <c r="P39" i="17"/>
  <c r="E34" i="17"/>
  <c r="P49" i="17"/>
  <c r="O48" i="17"/>
  <c r="P47" i="17"/>
  <c r="O46" i="17"/>
  <c r="K49" i="17"/>
  <c r="L48" i="17"/>
  <c r="K47" i="17"/>
  <c r="L46" i="17"/>
  <c r="H49" i="17"/>
  <c r="I48" i="17"/>
  <c r="H47" i="17"/>
  <c r="I46" i="17"/>
  <c r="I45" i="17"/>
  <c r="I44" i="17"/>
  <c r="I43" i="17"/>
  <c r="I42" i="17"/>
  <c r="I41" i="17"/>
  <c r="I40" i="17"/>
  <c r="P45" i="17"/>
  <c r="P44" i="17"/>
  <c r="P43" i="17"/>
  <c r="P42" i="17"/>
  <c r="E39" i="17"/>
  <c r="E38" i="17"/>
  <c r="I36" i="17"/>
  <c r="D49" i="17"/>
  <c r="E48" i="17"/>
  <c r="D47" i="17"/>
  <c r="E46" i="17"/>
  <c r="D45" i="17"/>
  <c r="D44" i="17"/>
  <c r="D43" i="17"/>
  <c r="D42" i="17"/>
  <c r="D41" i="17"/>
  <c r="D40" i="17"/>
  <c r="L45" i="17"/>
  <c r="L44" i="17"/>
  <c r="L43" i="17"/>
  <c r="L42" i="17"/>
  <c r="O41" i="17"/>
  <c r="O40" i="17"/>
  <c r="O39" i="17"/>
  <c r="D34" i="17"/>
  <c r="O49" i="17"/>
  <c r="P48" i="17"/>
  <c r="O47" i="17"/>
  <c r="P46" i="17"/>
  <c r="L49" i="17"/>
  <c r="K48" i="17"/>
  <c r="L47" i="17"/>
  <c r="K46" i="17"/>
  <c r="I49" i="17"/>
  <c r="H48" i="17"/>
  <c r="I47" i="17"/>
  <c r="H46" i="17"/>
  <c r="H45" i="17"/>
  <c r="H44" i="17"/>
  <c r="H43" i="17"/>
  <c r="H42" i="17"/>
  <c r="H41" i="17"/>
  <c r="H40" i="17"/>
  <c r="O45" i="17"/>
  <c r="O44" i="17"/>
  <c r="O43" i="17"/>
  <c r="O42" i="17"/>
  <c r="D39" i="17"/>
  <c r="D38" i="17"/>
  <c r="H36" i="17"/>
  <c r="AG49" i="17"/>
  <c r="AF48" i="17"/>
  <c r="AG47" i="17"/>
  <c r="AF46" i="17"/>
  <c r="AG45" i="17"/>
  <c r="AG44" i="17"/>
  <c r="AC43" i="17"/>
  <c r="AC41" i="17"/>
  <c r="V49" i="17"/>
  <c r="U48" i="17"/>
  <c r="V47" i="17"/>
  <c r="U46" i="17"/>
  <c r="U45" i="17"/>
  <c r="U44" i="17"/>
  <c r="AG43" i="17"/>
  <c r="AG42" i="17"/>
  <c r="AG41" i="17"/>
  <c r="AG40" i="17"/>
  <c r="AG39" i="17"/>
  <c r="AG38" i="17"/>
  <c r="AG37" i="17"/>
  <c r="AF36" i="17"/>
  <c r="AG35" i="17"/>
  <c r="AF34" i="17"/>
  <c r="AG33" i="17"/>
  <c r="AB49" i="17"/>
  <c r="AC48" i="17"/>
  <c r="AB47" i="17"/>
  <c r="AC46" i="17"/>
  <c r="AB45" i="17"/>
  <c r="AC44" i="17"/>
  <c r="Z43" i="17"/>
  <c r="Z42" i="17"/>
  <c r="Z41" i="17"/>
  <c r="Z40" i="17"/>
  <c r="Z39" i="17"/>
  <c r="Y38" i="17"/>
  <c r="Y37" i="17"/>
  <c r="Z36" i="17"/>
  <c r="Y35" i="17"/>
  <c r="Z34" i="17"/>
  <c r="Y33" i="17"/>
  <c r="P34" i="17"/>
  <c r="P36" i="17"/>
  <c r="O37" i="17"/>
  <c r="O33" i="17"/>
  <c r="L37" i="17"/>
  <c r="L35" i="17"/>
  <c r="P38" i="17"/>
  <c r="H33" i="17"/>
  <c r="I34" i="17"/>
  <c r="D35" i="17"/>
  <c r="E36" i="17"/>
  <c r="H35" i="17"/>
  <c r="AC42" i="17"/>
  <c r="Z49" i="17"/>
  <c r="Y48" i="17"/>
  <c r="Z47" i="17"/>
  <c r="Y46" i="17"/>
  <c r="Z45" i="17"/>
  <c r="Z44" i="17"/>
  <c r="AC40" i="17"/>
  <c r="AC39" i="17"/>
  <c r="AB38" i="17"/>
  <c r="AB37" i="17"/>
  <c r="AC36" i="17"/>
  <c r="AB35" i="17"/>
  <c r="AC34" i="17"/>
  <c r="AB33" i="17"/>
  <c r="U43" i="17"/>
  <c r="U42" i="17"/>
  <c r="U41" i="17"/>
  <c r="U40" i="17"/>
  <c r="U39" i="17"/>
  <c r="U38" i="17"/>
  <c r="V37" i="17"/>
  <c r="U36" i="17"/>
  <c r="V35" i="17"/>
  <c r="U34" i="17"/>
  <c r="V33" i="17"/>
  <c r="L33" i="17"/>
  <c r="K34" i="17"/>
  <c r="O35" i="17"/>
  <c r="K36" i="17"/>
  <c r="K38" i="17"/>
  <c r="K39" i="17"/>
  <c r="D33" i="17"/>
  <c r="H37" i="17"/>
  <c r="D37" i="17"/>
  <c r="I38" i="17"/>
  <c r="I39" i="17"/>
  <c r="K40" i="17"/>
  <c r="K41" i="17"/>
  <c r="AF49" i="17"/>
  <c r="AG48" i="17"/>
  <c r="AF47" i="17"/>
  <c r="AG46" i="17"/>
  <c r="AF45" i="17"/>
  <c r="AF44" i="17"/>
  <c r="AB43" i="17"/>
  <c r="AB41" i="17"/>
  <c r="U49" i="17"/>
  <c r="V48" i="17"/>
  <c r="U47" i="17"/>
  <c r="V46" i="17"/>
  <c r="V45" i="17"/>
  <c r="V44" i="17"/>
  <c r="AF43" i="17"/>
  <c r="AF42" i="17"/>
  <c r="AF41" i="17"/>
  <c r="AF40" i="17"/>
  <c r="AF39" i="17"/>
  <c r="AF38" i="17"/>
  <c r="AF37" i="17"/>
  <c r="AG36" i="17"/>
  <c r="AF35" i="17"/>
  <c r="AG34" i="17"/>
  <c r="AF33" i="17"/>
  <c r="AC49" i="17"/>
  <c r="AB48" i="17"/>
  <c r="AC47" i="17"/>
  <c r="AB46" i="17"/>
  <c r="AC45" i="17"/>
  <c r="AB44" i="17"/>
  <c r="Y43" i="17"/>
  <c r="Y42" i="17"/>
  <c r="Y41" i="17"/>
  <c r="Y40" i="17"/>
  <c r="Y39" i="17"/>
  <c r="Z38" i="17"/>
  <c r="Z37" i="17"/>
  <c r="Y36" i="17"/>
  <c r="Z35" i="17"/>
  <c r="Y34" i="17"/>
  <c r="Z33" i="17"/>
  <c r="O34" i="17"/>
  <c r="O36" i="17"/>
  <c r="P37" i="17"/>
  <c r="P33" i="17"/>
  <c r="K37" i="17"/>
  <c r="K35" i="17"/>
  <c r="O38" i="17"/>
  <c r="I33" i="17"/>
  <c r="H34" i="17"/>
  <c r="E35" i="17"/>
  <c r="D36" i="17"/>
  <c r="I35" i="17"/>
  <c r="AB42" i="17"/>
  <c r="Y49" i="17"/>
  <c r="Z48" i="17"/>
  <c r="Y47" i="17"/>
  <c r="Z46" i="17"/>
  <c r="Y45" i="17"/>
  <c r="Y44" i="17"/>
  <c r="AB40" i="17"/>
  <c r="AB39" i="17"/>
  <c r="AC38" i="17"/>
  <c r="AC37" i="17"/>
  <c r="AB36" i="17"/>
  <c r="AC35" i="17"/>
  <c r="AB34" i="17"/>
  <c r="AC33" i="17"/>
  <c r="V43" i="17"/>
  <c r="V42" i="17"/>
  <c r="V41" i="17"/>
  <c r="V40" i="17"/>
  <c r="V39" i="17"/>
  <c r="V38" i="17"/>
  <c r="U37" i="17"/>
  <c r="V36" i="17"/>
  <c r="U35" i="17"/>
  <c r="V34" i="17"/>
  <c r="U33" i="17"/>
  <c r="K33" i="17"/>
  <c r="L34" i="17"/>
  <c r="P35" i="17"/>
  <c r="L36" i="17"/>
  <c r="L38" i="17"/>
  <c r="L39" i="17"/>
  <c r="E33" i="17"/>
  <c r="I37" i="17"/>
  <c r="E37" i="17"/>
  <c r="H38" i="17"/>
  <c r="H39" i="17"/>
  <c r="L40" i="17"/>
  <c r="L41" i="17"/>
  <c r="L51" i="12"/>
  <c r="E52" i="12"/>
  <c r="F52" i="12" s="1"/>
  <c r="K5" i="17"/>
  <c r="J5" i="17"/>
  <c r="I5" i="17"/>
  <c r="N5" i="17" s="1"/>
  <c r="P30" i="17" s="1"/>
  <c r="L5" i="17"/>
  <c r="L30" i="17" s="1"/>
  <c r="R6" i="17"/>
  <c r="S31" i="17" s="1"/>
  <c r="AI31" i="17" s="1"/>
  <c r="K7" i="17"/>
  <c r="T7" i="17"/>
  <c r="S7" i="17"/>
  <c r="R7" i="17"/>
  <c r="S32" i="17" s="1"/>
  <c r="AI32" i="17" s="1"/>
  <c r="I7" i="17"/>
  <c r="M7" i="17"/>
  <c r="L7" i="17"/>
  <c r="S30" i="17"/>
  <c r="AI30" i="17" s="1"/>
  <c r="S5" i="17"/>
  <c r="C30" i="17"/>
  <c r="F30" i="17" s="1"/>
  <c r="T5" i="17"/>
  <c r="V5" i="17"/>
  <c r="U5" i="17"/>
  <c r="G30" i="17"/>
  <c r="J30" i="17" s="1"/>
  <c r="M30" i="17" s="1"/>
  <c r="S51" i="20"/>
  <c r="L51" i="20"/>
  <c r="K51" i="20"/>
  <c r="J7" i="20"/>
  <c r="K7" i="20" s="1"/>
  <c r="L7" i="20"/>
  <c r="J8" i="20"/>
  <c r="K8" i="20" s="1"/>
  <c r="L8" i="20"/>
  <c r="E30" i="20"/>
  <c r="F30" i="20" s="1"/>
  <c r="G30" i="20"/>
  <c r="E29" i="20"/>
  <c r="F29" i="20" s="1"/>
  <c r="G29" i="20"/>
  <c r="E28" i="20"/>
  <c r="F28" i="20" s="1"/>
  <c r="G28" i="20"/>
  <c r="J4" i="20"/>
  <c r="K4" i="20" s="1"/>
  <c r="L4" i="20"/>
  <c r="J5" i="20"/>
  <c r="K5" i="20" s="1"/>
  <c r="L5" i="20"/>
  <c r="E27" i="20"/>
  <c r="F27" i="20" s="1"/>
  <c r="G27" i="20"/>
  <c r="E31" i="20"/>
  <c r="F31" i="20" s="1"/>
  <c r="G31" i="20"/>
  <c r="J6" i="20"/>
  <c r="K6" i="20" s="1"/>
  <c r="L6" i="20"/>
  <c r="BT97" i="13" l="1"/>
  <c r="BT92" i="13"/>
  <c r="BT76" i="13"/>
  <c r="BT57" i="13"/>
  <c r="BU56" i="13" s="1" a="1"/>
  <c r="BU58" i="13" s="1"/>
  <c r="BT23" i="13"/>
  <c r="BT43" i="13"/>
  <c r="V116" i="13" a="1"/>
  <c r="Z119" i="13" s="1"/>
  <c r="V74" i="13" a="1"/>
  <c r="Z79" i="13" s="1"/>
  <c r="V8" i="13" a="1"/>
  <c r="Z12" i="13" s="1"/>
  <c r="BT60" i="13"/>
  <c r="BT58" i="13"/>
  <c r="BT94" i="13"/>
  <c r="BU92" i="13" s="1" a="1"/>
  <c r="BT96" i="13"/>
  <c r="BT77" i="13"/>
  <c r="BT56" i="13"/>
  <c r="BT24" i="13"/>
  <c r="BT20" i="13"/>
  <c r="BV20" i="13" s="1" a="1"/>
  <c r="BV20" i="13" s="1"/>
  <c r="BT78" i="13"/>
  <c r="BT61" i="13"/>
  <c r="BT21" i="13"/>
  <c r="BT41" i="13"/>
  <c r="BU38" i="13" s="1" a="1"/>
  <c r="BU43" i="13" s="1"/>
  <c r="BT42" i="13"/>
  <c r="BT75" i="13"/>
  <c r="Q6" i="17"/>
  <c r="AE31" i="17" s="1"/>
  <c r="AH31" i="17" s="1"/>
  <c r="V2" i="13" a="1"/>
  <c r="V7" i="13" s="1"/>
  <c r="BT112" i="13"/>
  <c r="BT63" i="13"/>
  <c r="BT88" i="13"/>
  <c r="BT111" i="13"/>
  <c r="D14" i="1"/>
  <c r="C56" i="1"/>
  <c r="V70" i="13"/>
  <c r="BT67" i="13"/>
  <c r="BU62" i="13" s="1" a="1"/>
  <c r="BU65" i="13" s="1"/>
  <c r="BT64" i="13"/>
  <c r="BT90" i="13"/>
  <c r="G58" i="1"/>
  <c r="AA69" i="13"/>
  <c r="BT66" i="13"/>
  <c r="BT62" i="13"/>
  <c r="BT87" i="13"/>
  <c r="BT110" i="13"/>
  <c r="BU110" i="13" s="1" a="1"/>
  <c r="BU115" i="13" s="1"/>
  <c r="BT106" i="13"/>
  <c r="BT109" i="13"/>
  <c r="C55" i="1"/>
  <c r="C28" i="1" s="1" a="1"/>
  <c r="E32" i="1" s="1"/>
  <c r="BT108" i="13"/>
  <c r="BT82" i="13"/>
  <c r="BT85" i="13"/>
  <c r="BT84" i="13"/>
  <c r="BT81" i="13"/>
  <c r="BT83" i="13"/>
  <c r="W100" i="13"/>
  <c r="X30" i="17"/>
  <c r="AA30" i="17" s="1"/>
  <c r="AD30" i="17" s="1"/>
  <c r="W116" i="13"/>
  <c r="J6" i="17"/>
  <c r="B31" i="17" s="1"/>
  <c r="R31" i="17" s="1"/>
  <c r="W105" i="13"/>
  <c r="V71" i="13"/>
  <c r="W70" i="13"/>
  <c r="Y108" i="13"/>
  <c r="V72" i="13"/>
  <c r="W69" i="13"/>
  <c r="Z73" i="13"/>
  <c r="X73" i="13"/>
  <c r="V82" i="13"/>
  <c r="Z96" i="13"/>
  <c r="V98" i="13"/>
  <c r="Z97" i="13"/>
  <c r="Y94" i="13"/>
  <c r="W83" i="13"/>
  <c r="W81" i="13"/>
  <c r="AA100" i="13"/>
  <c r="Z100" i="13"/>
  <c r="Z50" i="13"/>
  <c r="W79" i="13"/>
  <c r="AA58" i="13"/>
  <c r="X116" i="13"/>
  <c r="V117" i="13"/>
  <c r="W106" i="13"/>
  <c r="W71" i="13"/>
  <c r="V73" i="13"/>
  <c r="W73" i="13"/>
  <c r="X71" i="13"/>
  <c r="Z72" i="13"/>
  <c r="V69" i="13"/>
  <c r="Y71" i="13"/>
  <c r="X68" i="13"/>
  <c r="Y72" i="13"/>
  <c r="V63" i="13"/>
  <c r="BU26" i="13" a="1"/>
  <c r="BU28" i="13" s="1"/>
  <c r="AA95" i="13"/>
  <c r="V92" i="13"/>
  <c r="W97" i="13"/>
  <c r="AA81" i="13"/>
  <c r="Z84" i="13"/>
  <c r="Y100" i="13"/>
  <c r="V100" i="13"/>
  <c r="Z99" i="13"/>
  <c r="X98" i="13"/>
  <c r="W101" i="13"/>
  <c r="X52" i="13"/>
  <c r="W58" i="13"/>
  <c r="T30" i="17"/>
  <c r="W30" i="17" s="1"/>
  <c r="K6" i="17"/>
  <c r="E31" i="17" s="1"/>
  <c r="U7" i="17"/>
  <c r="I6" i="17"/>
  <c r="N31" i="17" s="1"/>
  <c r="Q31" i="17" s="1"/>
  <c r="V120" i="13"/>
  <c r="Y104" i="13"/>
  <c r="X109" i="13"/>
  <c r="Z69" i="13"/>
  <c r="AA70" i="13"/>
  <c r="Z71" i="13"/>
  <c r="AA72" i="13"/>
  <c r="V68" i="13"/>
  <c r="W72" i="13"/>
  <c r="W68" i="13"/>
  <c r="X69" i="13"/>
  <c r="AA68" i="13"/>
  <c r="AA71" i="13"/>
  <c r="Y73" i="13"/>
  <c r="Y68" i="13"/>
  <c r="Y69" i="13"/>
  <c r="X70" i="13"/>
  <c r="X72" i="13"/>
  <c r="Z68" i="13"/>
  <c r="Y70" i="13"/>
  <c r="BV26" i="13" a="1"/>
  <c r="BV27" i="13" s="1"/>
  <c r="X97" i="13"/>
  <c r="X96" i="13"/>
  <c r="AA92" i="13"/>
  <c r="Z94" i="13"/>
  <c r="V94" i="13"/>
  <c r="AA93" i="13"/>
  <c r="V84" i="13"/>
  <c r="X81" i="13"/>
  <c r="Y81" i="13"/>
  <c r="AA84" i="13"/>
  <c r="Z98" i="13"/>
  <c r="V103" i="13"/>
  <c r="W98" i="13"/>
  <c r="AA99" i="13"/>
  <c r="W103" i="13"/>
  <c r="W99" i="13"/>
  <c r="Z102" i="13"/>
  <c r="W102" i="13"/>
  <c r="Y102" i="13"/>
  <c r="V54" i="13"/>
  <c r="X55" i="13"/>
  <c r="Z56" i="13"/>
  <c r="Y19" i="13"/>
  <c r="Z63" i="13"/>
  <c r="BV77" i="13" a="1"/>
  <c r="BV78" i="13" s="1"/>
  <c r="BV29" i="13" a="1"/>
  <c r="BV29" i="13" s="1"/>
  <c r="T6" i="17"/>
  <c r="AC31" i="17" s="1"/>
  <c r="W92" i="13"/>
  <c r="Z95" i="13"/>
  <c r="V96" i="13"/>
  <c r="V95" i="13"/>
  <c r="AA97" i="13"/>
  <c r="Z93" i="13"/>
  <c r="W95" i="13"/>
  <c r="W93" i="13"/>
  <c r="Y92" i="13"/>
  <c r="V97" i="13"/>
  <c r="Y93" i="13"/>
  <c r="Y85" i="13"/>
  <c r="V85" i="13"/>
  <c r="AA85" i="13"/>
  <c r="X84" i="13"/>
  <c r="X83" i="13"/>
  <c r="V80" i="13"/>
  <c r="Z81" i="13"/>
  <c r="Z82" i="13"/>
  <c r="Y83" i="13"/>
  <c r="Y99" i="13"/>
  <c r="X101" i="13"/>
  <c r="X100" i="13"/>
  <c r="V101" i="13"/>
  <c r="V99" i="13"/>
  <c r="X103" i="13"/>
  <c r="Y103" i="13"/>
  <c r="X102" i="13"/>
  <c r="AA98" i="13"/>
  <c r="V102" i="13"/>
  <c r="AA102" i="13"/>
  <c r="AA101" i="13"/>
  <c r="AA103" i="13"/>
  <c r="Z101" i="13"/>
  <c r="X99" i="13"/>
  <c r="Y98" i="13"/>
  <c r="Z103" i="13"/>
  <c r="AA55" i="13"/>
  <c r="AA52" i="13"/>
  <c r="Y51" i="13"/>
  <c r="Y54" i="13"/>
  <c r="Y53" i="13"/>
  <c r="AA59" i="13"/>
  <c r="W60" i="13"/>
  <c r="X14" i="13"/>
  <c r="X16" i="13"/>
  <c r="BV116" i="13" a="1"/>
  <c r="BV118" i="13" s="1"/>
  <c r="BU98" i="13" a="1"/>
  <c r="BU103" i="13" s="1"/>
  <c r="AA60" i="13"/>
  <c r="X59" i="13"/>
  <c r="Y57" i="13"/>
  <c r="X56" i="13"/>
  <c r="AA18" i="13"/>
  <c r="W16" i="13"/>
  <c r="Y16" i="13"/>
  <c r="V18" i="13"/>
  <c r="AA76" i="13"/>
  <c r="W77" i="13"/>
  <c r="AA79" i="13"/>
  <c r="Z19" i="13"/>
  <c r="Y18" i="13"/>
  <c r="BV35" i="13" a="1"/>
  <c r="BV35" i="13" s="1"/>
  <c r="V37" i="13"/>
  <c r="S6" i="17"/>
  <c r="U6" i="17"/>
  <c r="Z31" i="17" s="1"/>
  <c r="AA96" i="13"/>
  <c r="Y96" i="13"/>
  <c r="Y95" i="13"/>
  <c r="AA94" i="13"/>
  <c r="V93" i="13"/>
  <c r="Y97" i="13"/>
  <c r="W96" i="13"/>
  <c r="X92" i="13"/>
  <c r="W94" i="13"/>
  <c r="X93" i="13"/>
  <c r="Z92" i="13"/>
  <c r="X95" i="13"/>
  <c r="V83" i="13"/>
  <c r="Z80" i="13"/>
  <c r="W85" i="13"/>
  <c r="W82" i="13"/>
  <c r="X80" i="13"/>
  <c r="Z83" i="13"/>
  <c r="Y80" i="13"/>
  <c r="W80" i="13"/>
  <c r="AA83" i="13"/>
  <c r="AA82" i="13"/>
  <c r="Y82" i="13"/>
  <c r="Z85" i="13"/>
  <c r="W84" i="13"/>
  <c r="X82" i="13"/>
  <c r="Y84" i="13"/>
  <c r="V81" i="13"/>
  <c r="AA80" i="13"/>
  <c r="X78" i="13"/>
  <c r="Z75" i="13"/>
  <c r="V75" i="13"/>
  <c r="X79" i="13"/>
  <c r="AA53" i="13"/>
  <c r="AA50" i="13"/>
  <c r="V50" i="13"/>
  <c r="AA54" i="13"/>
  <c r="V53" i="13"/>
  <c r="W51" i="13"/>
  <c r="W50" i="13"/>
  <c r="X54" i="13"/>
  <c r="W53" i="13"/>
  <c r="X57" i="13"/>
  <c r="Z59" i="13"/>
  <c r="W56" i="13"/>
  <c r="W59" i="13"/>
  <c r="Z61" i="13"/>
  <c r="W57" i="13"/>
  <c r="X58" i="13"/>
  <c r="Y61" i="13"/>
  <c r="Y58" i="13"/>
  <c r="Y15" i="13"/>
  <c r="Z17" i="13"/>
  <c r="W17" i="13"/>
  <c r="X19" i="13"/>
  <c r="W15" i="13"/>
  <c r="V17" i="13"/>
  <c r="AA15" i="13"/>
  <c r="W14" i="13"/>
  <c r="X18" i="13"/>
  <c r="BV38" i="13" a="1"/>
  <c r="BV40" i="13" s="1"/>
  <c r="BV53" i="13" a="1"/>
  <c r="BV54" i="13" s="1"/>
  <c r="Q7" i="17"/>
  <c r="V7" i="17" s="1"/>
  <c r="J7" i="17"/>
  <c r="B32" i="17" s="1"/>
  <c r="R32" i="17" s="1"/>
  <c r="W121" i="13"/>
  <c r="X118" i="13"/>
  <c r="V118" i="13"/>
  <c r="Z109" i="13"/>
  <c r="AA104" i="13"/>
  <c r="V109" i="13"/>
  <c r="X45" i="13"/>
  <c r="Y110" i="13"/>
  <c r="V66" i="13"/>
  <c r="Z64" i="13"/>
  <c r="BU116" i="13" a="1"/>
  <c r="BU121" i="13" s="1"/>
  <c r="V39" i="13"/>
  <c r="Z42" i="13"/>
  <c r="W39" i="13"/>
  <c r="X115" i="13"/>
  <c r="AA110" i="13"/>
  <c r="AA115" i="13"/>
  <c r="Y115" i="13"/>
  <c r="V113" i="13"/>
  <c r="Y5" i="13"/>
  <c r="V3" i="13"/>
  <c r="AA4" i="13"/>
  <c r="V5" i="13"/>
  <c r="X3" i="13"/>
  <c r="W7" i="13"/>
  <c r="BV32" i="13" a="1"/>
  <c r="BV34" i="13" s="1"/>
  <c r="BV65" i="13" a="1"/>
  <c r="BV66" i="13" s="1"/>
  <c r="V106" i="13"/>
  <c r="W104" i="13"/>
  <c r="W109" i="13"/>
  <c r="Z106" i="13"/>
  <c r="W108" i="13"/>
  <c r="Y105" i="13"/>
  <c r="V104" i="13"/>
  <c r="Y107" i="13"/>
  <c r="AA108" i="13"/>
  <c r="W107" i="13"/>
  <c r="AA109" i="13"/>
  <c r="Y106" i="13"/>
  <c r="V105" i="13"/>
  <c r="AA106" i="13"/>
  <c r="V107" i="13"/>
  <c r="Z107" i="13"/>
  <c r="Z105" i="13"/>
  <c r="X107" i="13"/>
  <c r="AA121" i="13"/>
  <c r="W117" i="13"/>
  <c r="X121" i="13"/>
  <c r="V116" i="13"/>
  <c r="Y120" i="13"/>
  <c r="AA118" i="13"/>
  <c r="Y118" i="13"/>
  <c r="X117" i="13"/>
  <c r="Z117" i="13"/>
  <c r="W120" i="13"/>
  <c r="AA120" i="13"/>
  <c r="Y119" i="13"/>
  <c r="X119" i="13"/>
  <c r="Y121" i="13"/>
  <c r="AA119" i="13"/>
  <c r="AA116" i="13"/>
  <c r="W119" i="13"/>
  <c r="V121" i="13"/>
  <c r="BV41" i="13" a="1"/>
  <c r="BV42" i="13" s="1"/>
  <c r="BV23" i="13" a="1"/>
  <c r="BV25" i="13" s="1"/>
  <c r="BU50" i="13" a="1"/>
  <c r="BU51" i="13" s="1"/>
  <c r="BV50" i="13" a="1"/>
  <c r="BV50" i="13" s="1"/>
  <c r="AA46" i="13"/>
  <c r="Z44" i="13"/>
  <c r="Y47" i="13"/>
  <c r="W45" i="13"/>
  <c r="V46" i="13"/>
  <c r="AA66" i="13"/>
  <c r="Y65" i="13"/>
  <c r="X62" i="13"/>
  <c r="W64" i="13"/>
  <c r="W66" i="13"/>
  <c r="W67" i="13"/>
  <c r="Y62" i="13"/>
  <c r="W65" i="13"/>
  <c r="Y63" i="13"/>
  <c r="AA63" i="13"/>
  <c r="L6" i="17"/>
  <c r="K31" i="17" s="1"/>
  <c r="M6" i="17"/>
  <c r="H31" i="17" s="1"/>
  <c r="BV119" i="13" a="1"/>
  <c r="BV121" i="13" s="1"/>
  <c r="BV62" i="13" a="1"/>
  <c r="BV64" i="13" s="1"/>
  <c r="X120" i="13"/>
  <c r="Z121" i="13"/>
  <c r="AA117" i="13"/>
  <c r="Z120" i="13"/>
  <c r="Y117" i="13"/>
  <c r="Z116" i="13"/>
  <c r="V119" i="13"/>
  <c r="Y116" i="13"/>
  <c r="Z118" i="13"/>
  <c r="Z108" i="13"/>
  <c r="X106" i="13"/>
  <c r="V108" i="13"/>
  <c r="Z104" i="13"/>
  <c r="Y109" i="13"/>
  <c r="X104" i="13"/>
  <c r="X105" i="13"/>
  <c r="AA105" i="13"/>
  <c r="X108" i="13"/>
  <c r="W3" i="13"/>
  <c r="BV56" i="13" a="1"/>
  <c r="BV56" i="13" s="1"/>
  <c r="AA2" i="13"/>
  <c r="X5" i="13"/>
  <c r="V6" i="13"/>
  <c r="V2" i="13"/>
  <c r="Y3" i="13"/>
  <c r="Z7" i="13"/>
  <c r="V42" i="13"/>
  <c r="X39" i="13"/>
  <c r="Y44" i="13"/>
  <c r="V45" i="13"/>
  <c r="Y48" i="13"/>
  <c r="V110" i="13"/>
  <c r="X112" i="13"/>
  <c r="W114" i="13"/>
  <c r="W63" i="13"/>
  <c r="V65" i="13"/>
  <c r="V62" i="13"/>
  <c r="W62" i="13"/>
  <c r="BV74" i="13" a="1"/>
  <c r="BV76" i="13" s="1"/>
  <c r="Y91" i="13"/>
  <c r="BU32" i="13" a="1"/>
  <c r="BU37" i="13" s="1"/>
  <c r="Y25" i="13"/>
  <c r="BU74" i="13" a="1"/>
  <c r="BU78" i="13" s="1"/>
  <c r="Z43" i="13"/>
  <c r="W42" i="13"/>
  <c r="V43" i="13"/>
  <c r="V38" i="13"/>
  <c r="W49" i="13"/>
  <c r="V48" i="13"/>
  <c r="X49" i="13"/>
  <c r="AA48" i="13"/>
  <c r="Z45" i="13"/>
  <c r="Y49" i="13"/>
  <c r="Y45" i="13"/>
  <c r="Y46" i="13"/>
  <c r="X48" i="13"/>
  <c r="W110" i="13"/>
  <c r="AA113" i="13"/>
  <c r="V115" i="13"/>
  <c r="V114" i="13"/>
  <c r="X114" i="13"/>
  <c r="X110" i="13"/>
  <c r="Z110" i="13"/>
  <c r="V112" i="13"/>
  <c r="W113" i="13"/>
  <c r="Z66" i="13"/>
  <c r="X63" i="13"/>
  <c r="X64" i="13"/>
  <c r="Z67" i="13"/>
  <c r="Z65" i="13"/>
  <c r="AA64" i="13"/>
  <c r="V64" i="13"/>
  <c r="AA62" i="13"/>
  <c r="X65" i="13"/>
  <c r="AA65" i="13"/>
  <c r="X66" i="13"/>
  <c r="X67" i="13"/>
  <c r="AA67" i="13"/>
  <c r="Y66" i="13"/>
  <c r="Z62" i="13"/>
  <c r="Y67" i="13"/>
  <c r="Y64" i="13"/>
  <c r="BV101" i="13" a="1"/>
  <c r="BV103" i="13" s="1"/>
  <c r="BV98" i="13" a="1"/>
  <c r="BV100" i="13" s="1"/>
  <c r="AA37" i="13"/>
  <c r="Y74" i="13"/>
  <c r="Z76" i="13"/>
  <c r="V74" i="13"/>
  <c r="Z74" i="13"/>
  <c r="Y76" i="13"/>
  <c r="X75" i="13"/>
  <c r="V77" i="13"/>
  <c r="W78" i="13"/>
  <c r="AA77" i="13"/>
  <c r="W76" i="13"/>
  <c r="Z78" i="13"/>
  <c r="Y55" i="13"/>
  <c r="AA51" i="13"/>
  <c r="W55" i="13"/>
  <c r="V55" i="13"/>
  <c r="Z55" i="13"/>
  <c r="Z53" i="13"/>
  <c r="X51" i="13"/>
  <c r="Y50" i="13"/>
  <c r="Y52" i="13"/>
  <c r="X53" i="13"/>
  <c r="Z54" i="13"/>
  <c r="Z51" i="13"/>
  <c r="Z52" i="13"/>
  <c r="X50" i="13"/>
  <c r="W52" i="13"/>
  <c r="V52" i="13"/>
  <c r="V51" i="13"/>
  <c r="AA56" i="13"/>
  <c r="V56" i="13"/>
  <c r="V60" i="13"/>
  <c r="Y59" i="13"/>
  <c r="Y56" i="13"/>
  <c r="W61" i="13"/>
  <c r="Z58" i="13"/>
  <c r="AA57" i="13"/>
  <c r="Z57" i="13"/>
  <c r="V61" i="13"/>
  <c r="V57" i="13"/>
  <c r="V59" i="13"/>
  <c r="Z60" i="13"/>
  <c r="X61" i="13"/>
  <c r="AA61" i="13"/>
  <c r="V58" i="13"/>
  <c r="Y60" i="13"/>
  <c r="V14" i="13"/>
  <c r="Y14" i="13"/>
  <c r="Y17" i="13"/>
  <c r="AA16" i="13"/>
  <c r="V19" i="13"/>
  <c r="X17" i="13"/>
  <c r="W19" i="13"/>
  <c r="W18" i="13"/>
  <c r="V16" i="13"/>
  <c r="AA14" i="13"/>
  <c r="X15" i="13"/>
  <c r="AA17" i="13"/>
  <c r="Z16" i="13"/>
  <c r="Z15" i="13"/>
  <c r="Z18" i="13"/>
  <c r="V15" i="13"/>
  <c r="Z14" i="13"/>
  <c r="X37" i="13"/>
  <c r="X35" i="13"/>
  <c r="Z37" i="13"/>
  <c r="Z33" i="13"/>
  <c r="V32" i="13"/>
  <c r="W35" i="13"/>
  <c r="AA33" i="13"/>
  <c r="V27" i="13"/>
  <c r="Z34" i="13"/>
  <c r="X36" i="13"/>
  <c r="Y37" i="13"/>
  <c r="X32" i="13"/>
  <c r="X33" i="13"/>
  <c r="Y36" i="13"/>
  <c r="W32" i="13"/>
  <c r="V34" i="13"/>
  <c r="Z35" i="13"/>
  <c r="AA78" i="13"/>
  <c r="V78" i="13"/>
  <c r="Y77" i="13"/>
  <c r="W74" i="13"/>
  <c r="Y28" i="13"/>
  <c r="AA26" i="13"/>
  <c r="W30" i="13"/>
  <c r="V30" i="13"/>
  <c r="W31" i="13"/>
  <c r="AA30" i="13"/>
  <c r="Y31" i="13"/>
  <c r="W27" i="13"/>
  <c r="X40" i="13"/>
  <c r="X42" i="13"/>
  <c r="X38" i="13"/>
  <c r="Y43" i="13"/>
  <c r="AA39" i="13"/>
  <c r="AA41" i="13"/>
  <c r="AA42" i="13"/>
  <c r="Z41" i="13"/>
  <c r="AA43" i="13"/>
  <c r="Z28" i="13"/>
  <c r="AA27" i="13"/>
  <c r="Z30" i="13"/>
  <c r="V29" i="13"/>
  <c r="Y30" i="13"/>
  <c r="Z27" i="13"/>
  <c r="AA29" i="13"/>
  <c r="V28" i="13"/>
  <c r="X27" i="13"/>
  <c r="Y21" i="13"/>
  <c r="V24" i="13"/>
  <c r="Z26" i="13"/>
  <c r="V31" i="13"/>
  <c r="Z29" i="13"/>
  <c r="W28" i="13"/>
  <c r="X26" i="13"/>
  <c r="Y29" i="13"/>
  <c r="AA28" i="13"/>
  <c r="W29" i="13"/>
  <c r="AA31" i="13"/>
  <c r="W26" i="13"/>
  <c r="V26" i="13"/>
  <c r="Z31" i="13"/>
  <c r="Y27" i="13"/>
  <c r="X28" i="13"/>
  <c r="X30" i="13"/>
  <c r="X31" i="13"/>
  <c r="X29" i="13"/>
  <c r="AA35" i="13"/>
  <c r="AA34" i="13"/>
  <c r="Y35" i="13"/>
  <c r="V33" i="13"/>
  <c r="W37" i="13"/>
  <c r="V36" i="13"/>
  <c r="W36" i="13"/>
  <c r="AA36" i="13"/>
  <c r="Z36" i="13"/>
  <c r="Y34" i="13"/>
  <c r="Y32" i="13"/>
  <c r="Y33" i="13"/>
  <c r="Z32" i="13"/>
  <c r="X34" i="13"/>
  <c r="AA32" i="13"/>
  <c r="W33" i="13"/>
  <c r="V35" i="13"/>
  <c r="X86" i="13"/>
  <c r="V86" i="13"/>
  <c r="Y89" i="13"/>
  <c r="Z91" i="13"/>
  <c r="Z88" i="13"/>
  <c r="Z86" i="13"/>
  <c r="Z89" i="13"/>
  <c r="V90" i="13"/>
  <c r="Y87" i="13"/>
  <c r="AA91" i="13"/>
  <c r="AA90" i="13"/>
  <c r="V91" i="13"/>
  <c r="W88" i="13"/>
  <c r="AA86" i="13"/>
  <c r="Z87" i="13"/>
  <c r="X87" i="13"/>
  <c r="W89" i="13"/>
  <c r="AA87" i="13"/>
  <c r="W86" i="13"/>
  <c r="X90" i="13"/>
  <c r="Y90" i="13"/>
  <c r="X88" i="13"/>
  <c r="AA88" i="13"/>
  <c r="V88" i="13"/>
  <c r="V87" i="13"/>
  <c r="AA89" i="13"/>
  <c r="W87" i="13"/>
  <c r="Y86" i="13"/>
  <c r="X91" i="13"/>
  <c r="W91" i="13"/>
  <c r="Y88" i="13"/>
  <c r="V89" i="13"/>
  <c r="X89" i="13"/>
  <c r="W90" i="13"/>
  <c r="V25" i="13"/>
  <c r="X23" i="13"/>
  <c r="X25" i="13"/>
  <c r="V23" i="13"/>
  <c r="X24" i="13"/>
  <c r="W25" i="13"/>
  <c r="AA25" i="13"/>
  <c r="X21" i="13"/>
  <c r="AA24" i="13"/>
  <c r="V20" i="13"/>
  <c r="Y22" i="13"/>
  <c r="Z23" i="13"/>
  <c r="W20" i="13"/>
  <c r="AA23" i="13"/>
  <c r="AA22" i="13"/>
  <c r="K30" i="17"/>
  <c r="W40" i="13"/>
  <c r="W41" i="13"/>
  <c r="V40" i="13"/>
  <c r="Y40" i="13"/>
  <c r="Y38" i="13"/>
  <c r="Z40" i="13"/>
  <c r="Y41" i="13"/>
  <c r="W43" i="13"/>
  <c r="X41" i="13"/>
  <c r="Y42" i="13"/>
  <c r="X43" i="13"/>
  <c r="V41" i="13"/>
  <c r="Y39" i="13"/>
  <c r="AA38" i="13"/>
  <c r="Z38" i="13"/>
  <c r="AA40" i="13"/>
  <c r="Z39" i="13"/>
  <c r="AA47" i="13"/>
  <c r="W44" i="13"/>
  <c r="AA45" i="13"/>
  <c r="V44" i="13"/>
  <c r="X44" i="13"/>
  <c r="X46" i="13"/>
  <c r="V47" i="13"/>
  <c r="W48" i="13"/>
  <c r="Z47" i="13"/>
  <c r="V49" i="13"/>
  <c r="W47" i="13"/>
  <c r="Z46" i="13"/>
  <c r="X47" i="13"/>
  <c r="AA44" i="13"/>
  <c r="Z49" i="13"/>
  <c r="AA49" i="13"/>
  <c r="W46" i="13"/>
  <c r="Y111" i="13"/>
  <c r="X113" i="13"/>
  <c r="Z113" i="13"/>
  <c r="Y113" i="13"/>
  <c r="AA112" i="13"/>
  <c r="W115" i="13"/>
  <c r="Z114" i="13"/>
  <c r="Z112" i="13"/>
  <c r="Z115" i="13"/>
  <c r="V111" i="13"/>
  <c r="W112" i="13"/>
  <c r="AA111" i="13"/>
  <c r="X111" i="13"/>
  <c r="W111" i="13"/>
  <c r="Y114" i="13"/>
  <c r="Z111" i="13"/>
  <c r="Y112" i="13"/>
  <c r="V22" i="13"/>
  <c r="Y24" i="13"/>
  <c r="Z21" i="13"/>
  <c r="W23" i="13"/>
  <c r="Y23" i="13"/>
  <c r="W22" i="13"/>
  <c r="X22" i="13"/>
  <c r="V21" i="13"/>
  <c r="Z25" i="13"/>
  <c r="AA20" i="13"/>
  <c r="X20" i="13"/>
  <c r="W24" i="13"/>
  <c r="Y20" i="13"/>
  <c r="Z24" i="13"/>
  <c r="Z20" i="13"/>
  <c r="W21" i="13"/>
  <c r="Z22" i="13"/>
  <c r="BU29" i="13"/>
  <c r="BU68" i="13" a="1"/>
  <c r="BV71" i="13" a="1"/>
  <c r="BV68" i="13" a="1"/>
  <c r="BV47" i="13" a="1"/>
  <c r="BV44" i="13" a="1"/>
  <c r="BU44" i="13" a="1"/>
  <c r="V12" i="13"/>
  <c r="V13" i="13"/>
  <c r="W8" i="13"/>
  <c r="Y11" i="13"/>
  <c r="X10" i="13"/>
  <c r="AA8" i="13"/>
  <c r="Y13" i="13"/>
  <c r="W11" i="13"/>
  <c r="W9" i="13"/>
  <c r="X11" i="13"/>
  <c r="Z10" i="13"/>
  <c r="AA9" i="13"/>
  <c r="X8" i="13"/>
  <c r="Z8" i="13"/>
  <c r="Y8" i="13"/>
  <c r="AA11" i="13"/>
  <c r="Z11" i="13"/>
  <c r="W13" i="13"/>
  <c r="X9" i="13"/>
  <c r="W12" i="13"/>
  <c r="Y9" i="13"/>
  <c r="W10" i="13"/>
  <c r="X13" i="13"/>
  <c r="Y12" i="13"/>
  <c r="AA12" i="13"/>
  <c r="Z13" i="13"/>
  <c r="Y10" i="13"/>
  <c r="BV95" i="13" a="1"/>
  <c r="BV92" i="13" a="1"/>
  <c r="H32" i="17"/>
  <c r="I32" i="17"/>
  <c r="AB32" i="17"/>
  <c r="AC32" i="17"/>
  <c r="Z32" i="17"/>
  <c r="Y32" i="17"/>
  <c r="D32" i="17"/>
  <c r="E32" i="17"/>
  <c r="V31" i="17"/>
  <c r="U31" i="17"/>
  <c r="I31" i="17"/>
  <c r="L32" i="17"/>
  <c r="K32" i="17"/>
  <c r="N7" i="17"/>
  <c r="N32" i="17"/>
  <c r="Q32" i="17" s="1"/>
  <c r="V32" i="17"/>
  <c r="U32" i="17"/>
  <c r="N6" i="17"/>
  <c r="V6" i="17"/>
  <c r="AB30" i="17"/>
  <c r="AC30" i="17"/>
  <c r="O30" i="17"/>
  <c r="H30" i="17"/>
  <c r="I30" i="17"/>
  <c r="U30" i="17"/>
  <c r="V30" i="17"/>
  <c r="B30" i="17"/>
  <c r="R30" i="17" s="1"/>
  <c r="E30" i="17"/>
  <c r="D30" i="17"/>
  <c r="N30" i="17"/>
  <c r="Q30" i="17" s="1"/>
  <c r="Z30" i="17"/>
  <c r="Y30" i="17"/>
  <c r="AF30" i="17"/>
  <c r="AG30" i="17"/>
  <c r="AA5" i="13" l="1"/>
  <c r="Y6" i="13"/>
  <c r="W6" i="13"/>
  <c r="Z4" i="13"/>
  <c r="Z5" i="13"/>
  <c r="X12" i="13"/>
  <c r="V10" i="13"/>
  <c r="Z9" i="13"/>
  <c r="V9" i="13"/>
  <c r="AA13" i="13"/>
  <c r="V11" i="13"/>
  <c r="V8" i="13"/>
  <c r="AA10" i="13"/>
  <c r="V76" i="13"/>
  <c r="AA74" i="13"/>
  <c r="Z77" i="13"/>
  <c r="X74" i="13"/>
  <c r="V79" i="13"/>
  <c r="X6" i="13"/>
  <c r="Y2" i="13"/>
  <c r="BU20" i="13" a="1"/>
  <c r="BU25" i="13" s="1"/>
  <c r="BV59" i="13" a="1"/>
  <c r="BV59" i="13" s="1"/>
  <c r="AA7" i="13"/>
  <c r="W4" i="13"/>
  <c r="X4" i="13"/>
  <c r="V4" i="13"/>
  <c r="W2" i="13"/>
  <c r="W5" i="13"/>
  <c r="Y79" i="13"/>
  <c r="Y78" i="13"/>
  <c r="AA75" i="13"/>
  <c r="Y75" i="13"/>
  <c r="X7" i="13"/>
  <c r="AA3" i="13"/>
  <c r="Z2" i="13"/>
  <c r="X2" i="13"/>
  <c r="AA6" i="13"/>
  <c r="W75" i="13"/>
  <c r="X77" i="13"/>
  <c r="X76" i="13"/>
  <c r="W118" i="13"/>
  <c r="Z3" i="13"/>
  <c r="BV113" i="13" a="1"/>
  <c r="BV113" i="13" s="1"/>
  <c r="BV110" i="13" a="1"/>
  <c r="BV112" i="13" s="1"/>
  <c r="Y4" i="13"/>
  <c r="Z6" i="13"/>
  <c r="BV107" i="13" a="1"/>
  <c r="BV108" i="13" s="1"/>
  <c r="Y7" i="13"/>
  <c r="J28" i="1" a="1"/>
  <c r="BU86" i="13" a="1"/>
  <c r="BU89" i="13" s="1"/>
  <c r="BV89" i="13" a="1"/>
  <c r="BV89" i="13" s="1"/>
  <c r="BV86" i="13" a="1"/>
  <c r="BV88" i="13" s="1"/>
  <c r="BV117" i="13"/>
  <c r="BV83" i="13" a="1"/>
  <c r="BV84" i="13" s="1"/>
  <c r="BU80" i="13" a="1"/>
  <c r="BU83" i="13" s="1"/>
  <c r="BV104" i="13" a="1"/>
  <c r="BV104" i="13" s="1"/>
  <c r="BU104" i="13" a="1"/>
  <c r="BU104" i="13" s="1"/>
  <c r="BV80" i="13" a="1"/>
  <c r="BV82" i="13" s="1"/>
  <c r="BV86" i="13"/>
  <c r="BV87" i="13"/>
  <c r="BU27" i="13"/>
  <c r="AB31" i="17"/>
  <c r="D31" i="17"/>
  <c r="BU114" i="13"/>
  <c r="BU113" i="13"/>
  <c r="BU110" i="13"/>
  <c r="BV37" i="13"/>
  <c r="BU112" i="13"/>
  <c r="BU111" i="13"/>
  <c r="BV111" i="13"/>
  <c r="BV75" i="13"/>
  <c r="BV53" i="13"/>
  <c r="BV36" i="13"/>
  <c r="BV79" i="13"/>
  <c r="BU31" i="13"/>
  <c r="BU91" i="13"/>
  <c r="BU64" i="13"/>
  <c r="BV116" i="13"/>
  <c r="BV110" i="13"/>
  <c r="BU60" i="13"/>
  <c r="BU100" i="13"/>
  <c r="BV22" i="13"/>
  <c r="BV39" i="13"/>
  <c r="BV77" i="13"/>
  <c r="BU30" i="13"/>
  <c r="BU26" i="13"/>
  <c r="BU54" i="13"/>
  <c r="BU22" i="13"/>
  <c r="BU33" i="13"/>
  <c r="AD68" i="13" a="1"/>
  <c r="AD70" i="13" s="1"/>
  <c r="BV30" i="13"/>
  <c r="BV26" i="13"/>
  <c r="BV33" i="13"/>
  <c r="BU56" i="13"/>
  <c r="BU38" i="13"/>
  <c r="BU99" i="13"/>
  <c r="AD80" i="13" a="1"/>
  <c r="AD82" i="13" s="1"/>
  <c r="Y31" i="17"/>
  <c r="L31" i="17"/>
  <c r="BV31" i="13"/>
  <c r="BU61" i="13"/>
  <c r="BV65" i="13"/>
  <c r="BV24" i="13"/>
  <c r="BU40" i="13"/>
  <c r="BU98" i="13"/>
  <c r="BV28" i="13"/>
  <c r="AD98" i="13" a="1"/>
  <c r="AD99" i="13" s="1"/>
  <c r="AE32" i="17"/>
  <c r="AH32" i="17" s="1"/>
  <c r="BU57" i="13"/>
  <c r="BU59" i="13"/>
  <c r="BV32" i="13"/>
  <c r="BU41" i="13"/>
  <c r="BU102" i="13"/>
  <c r="BU101" i="13"/>
  <c r="BV21" i="13"/>
  <c r="BV101" i="13"/>
  <c r="BV58" i="13"/>
  <c r="BU23" i="13"/>
  <c r="BU116" i="13"/>
  <c r="BU50" i="13"/>
  <c r="BV62" i="13"/>
  <c r="BU66" i="13"/>
  <c r="BV102" i="13"/>
  <c r="BV57" i="13"/>
  <c r="BV43" i="13"/>
  <c r="BU118" i="13"/>
  <c r="BU119" i="13"/>
  <c r="BV61" i="13"/>
  <c r="BU52" i="13"/>
  <c r="BU36" i="13"/>
  <c r="BV63" i="13"/>
  <c r="BU63" i="13"/>
  <c r="BV74" i="13"/>
  <c r="AD56" i="13" a="1"/>
  <c r="AD59" i="13" s="1"/>
  <c r="AD92" i="13" a="1"/>
  <c r="AD95" i="13" s="1"/>
  <c r="BV67" i="13"/>
  <c r="BV23" i="13"/>
  <c r="BU39" i="13"/>
  <c r="BU42" i="13"/>
  <c r="BV52" i="13"/>
  <c r="BV38" i="13"/>
  <c r="BV120" i="13"/>
  <c r="BU74" i="13"/>
  <c r="BU32" i="13"/>
  <c r="BU79" i="13"/>
  <c r="BU75" i="13"/>
  <c r="BV55" i="13"/>
  <c r="BU24" i="13"/>
  <c r="BV41" i="13"/>
  <c r="BU117" i="13"/>
  <c r="BU120" i="13"/>
  <c r="BV60" i="13"/>
  <c r="BU53" i="13"/>
  <c r="BU55" i="13"/>
  <c r="BU34" i="13"/>
  <c r="BU35" i="13"/>
  <c r="BU62" i="13"/>
  <c r="BU67" i="13"/>
  <c r="BU77" i="13"/>
  <c r="BU76" i="13"/>
  <c r="AD86" i="13" a="1"/>
  <c r="AD91" i="13" s="1"/>
  <c r="AD116" i="13" a="1"/>
  <c r="AD120" i="13" s="1"/>
  <c r="BV119" i="13"/>
  <c r="AD20" i="13" a="1"/>
  <c r="AD24" i="13" s="1"/>
  <c r="AD104" i="13" a="1"/>
  <c r="AD104" i="13" s="1"/>
  <c r="BV98" i="13"/>
  <c r="BV51" i="13"/>
  <c r="AD50" i="13" a="1"/>
  <c r="AD55" i="13" s="1"/>
  <c r="AD62" i="13" a="1"/>
  <c r="AD62" i="13" s="1"/>
  <c r="BV99" i="13"/>
  <c r="AD14" i="13" a="1"/>
  <c r="AD16" i="13" s="1"/>
  <c r="AD26" i="13" a="1"/>
  <c r="AD30" i="13" s="1"/>
  <c r="AD32" i="13" a="1"/>
  <c r="AD35" i="13" s="1"/>
  <c r="AD74" i="13" a="1"/>
  <c r="AD74" i="13" s="1"/>
  <c r="AD44" i="13" a="1"/>
  <c r="AD44" i="13" s="1"/>
  <c r="AD110" i="13" a="1"/>
  <c r="AD114" i="13" s="1"/>
  <c r="AD38" i="13" a="1"/>
  <c r="AD38" i="13" s="1"/>
  <c r="C33" i="1"/>
  <c r="E33" i="1"/>
  <c r="D30" i="1"/>
  <c r="D33" i="1"/>
  <c r="G29" i="1"/>
  <c r="E28" i="1"/>
  <c r="H32" i="1"/>
  <c r="F31" i="1"/>
  <c r="G31" i="1"/>
  <c r="G30" i="1"/>
  <c r="G28" i="1"/>
  <c r="C32" i="1"/>
  <c r="E29" i="1"/>
  <c r="G33" i="1"/>
  <c r="D29" i="1"/>
  <c r="F32" i="1"/>
  <c r="C30" i="1"/>
  <c r="F30" i="1"/>
  <c r="H30" i="1"/>
  <c r="H31" i="1"/>
  <c r="C28" i="1"/>
  <c r="H28" i="1"/>
  <c r="C31" i="1"/>
  <c r="D31" i="1"/>
  <c r="H29" i="1"/>
  <c r="G32" i="1"/>
  <c r="H33" i="1"/>
  <c r="F33" i="1"/>
  <c r="D28" i="1"/>
  <c r="E30" i="1"/>
  <c r="E31" i="1"/>
  <c r="D32" i="1"/>
  <c r="C29" i="1"/>
  <c r="F28" i="1"/>
  <c r="F29" i="1"/>
  <c r="BV94" i="13"/>
  <c r="BV92" i="13"/>
  <c r="BV93" i="13"/>
  <c r="BU46" i="13"/>
  <c r="BU49" i="13"/>
  <c r="BU44" i="13"/>
  <c r="BU47" i="13"/>
  <c r="BU48" i="13"/>
  <c r="BU45" i="13"/>
  <c r="BV47" i="13"/>
  <c r="BV49" i="13"/>
  <c r="BV48" i="13"/>
  <c r="BV71" i="13"/>
  <c r="BV73" i="13"/>
  <c r="BV72" i="13"/>
  <c r="BU94" i="13"/>
  <c r="BU96" i="13"/>
  <c r="BU95" i="13"/>
  <c r="BU93" i="13"/>
  <c r="BU92" i="13"/>
  <c r="BU97" i="13"/>
  <c r="BV97" i="13"/>
  <c r="BV96" i="13"/>
  <c r="BV95" i="13"/>
  <c r="AD8" i="13" a="1"/>
  <c r="BV45" i="13"/>
  <c r="BV44" i="13"/>
  <c r="BV46" i="13"/>
  <c r="BV69" i="13"/>
  <c r="BV70" i="13"/>
  <c r="BV68" i="13"/>
  <c r="BU73" i="13"/>
  <c r="BU70" i="13"/>
  <c r="BU68" i="13"/>
  <c r="BU71" i="13"/>
  <c r="BU72" i="13"/>
  <c r="BU69" i="13"/>
  <c r="J28" i="1"/>
  <c r="J32" i="1"/>
  <c r="J30" i="1"/>
  <c r="J29" i="1"/>
  <c r="J33" i="1"/>
  <c r="J31" i="1"/>
  <c r="AF31" i="17"/>
  <c r="AG31" i="17"/>
  <c r="P31" i="17"/>
  <c r="O31" i="17"/>
  <c r="AF32" i="17"/>
  <c r="AG32" i="17"/>
  <c r="P32" i="17"/>
  <c r="O32" i="17"/>
  <c r="CE40" i="14"/>
  <c r="BY34" i="14"/>
  <c r="BX33" i="14"/>
  <c r="CA36" i="14"/>
  <c r="CC38" i="14"/>
  <c r="CD39" i="14"/>
  <c r="CF41" i="14"/>
  <c r="BZ35" i="14"/>
  <c r="CB37" i="14"/>
  <c r="BW32" i="14"/>
  <c r="BM22" i="14"/>
  <c r="BT29" i="14"/>
  <c r="BF15" i="14"/>
  <c r="BK20" i="14"/>
  <c r="BU30" i="14"/>
  <c r="BG16" i="14"/>
  <c r="BN23" i="14"/>
  <c r="BJ19" i="14"/>
  <c r="BQ26" i="14"/>
  <c r="BO24" i="14"/>
  <c r="BV31" i="14"/>
  <c r="BP25" i="14"/>
  <c r="BE14" i="14"/>
  <c r="BL21" i="14"/>
  <c r="BI18" i="14"/>
  <c r="BH17" i="14"/>
  <c r="BS28" i="14"/>
  <c r="BR27" i="14"/>
  <c r="D2" i="14" a="1"/>
  <c r="BV114" i="13" l="1"/>
  <c r="BU21" i="13"/>
  <c r="BU20" i="13"/>
  <c r="AD2" i="13" a="1"/>
  <c r="AD7" i="13" s="1"/>
  <c r="BV109" i="13"/>
  <c r="BV107" i="13"/>
  <c r="BV91" i="13"/>
  <c r="BV115" i="13"/>
  <c r="BU80" i="13"/>
  <c r="BU90" i="13"/>
  <c r="AJ39" i="14"/>
  <c r="T36" i="14"/>
  <c r="AB33" i="14"/>
  <c r="AB30" i="14"/>
  <c r="L27" i="14"/>
  <c r="L24" i="14"/>
  <c r="AB21" i="14"/>
  <c r="D19" i="14"/>
  <c r="AJ15" i="14"/>
  <c r="AJ12" i="14"/>
  <c r="K37" i="14"/>
  <c r="S34" i="14"/>
  <c r="S31" i="14"/>
  <c r="AA28" i="14"/>
  <c r="AI25" i="14"/>
  <c r="S23" i="14"/>
  <c r="AA20" i="14"/>
  <c r="K18" i="14"/>
  <c r="S15" i="14"/>
  <c r="AI12" i="14"/>
  <c r="K10" i="14"/>
  <c r="S7" i="14"/>
  <c r="AA4" i="14"/>
  <c r="K2" i="14"/>
  <c r="V39" i="14"/>
  <c r="V36" i="14"/>
  <c r="AD33" i="14"/>
  <c r="F31" i="14"/>
  <c r="F28" i="14"/>
  <c r="N25" i="14"/>
  <c r="N22" i="14"/>
  <c r="F19" i="14"/>
  <c r="V16" i="14"/>
  <c r="AN40" i="14"/>
  <c r="P39" i="14"/>
  <c r="AF37" i="14"/>
  <c r="H36" i="14"/>
  <c r="X34" i="14"/>
  <c r="AN32" i="14"/>
  <c r="P31" i="14"/>
  <c r="AF29" i="14"/>
  <c r="H28" i="14"/>
  <c r="X26" i="14"/>
  <c r="AN24" i="14"/>
  <c r="P23" i="14"/>
  <c r="AF21" i="14"/>
  <c r="H20" i="14"/>
  <c r="X18" i="14"/>
  <c r="AN16" i="14"/>
  <c r="P15" i="14"/>
  <c r="AF13" i="14"/>
  <c r="H12" i="14"/>
  <c r="X10" i="14"/>
  <c r="AN8" i="14"/>
  <c r="P7" i="14"/>
  <c r="AF5" i="14"/>
  <c r="H4" i="14"/>
  <c r="X2" i="14"/>
  <c r="AM40" i="14"/>
  <c r="O39" i="14"/>
  <c r="AE37" i="14"/>
  <c r="G36" i="14"/>
  <c r="W34" i="14"/>
  <c r="AM32" i="14"/>
  <c r="O31" i="14"/>
  <c r="AE29" i="14"/>
  <c r="G28" i="14"/>
  <c r="W26" i="14"/>
  <c r="AM24" i="14"/>
  <c r="O23" i="14"/>
  <c r="AE21" i="14"/>
  <c r="G20" i="14"/>
  <c r="W18" i="14"/>
  <c r="AM16" i="14"/>
  <c r="O15" i="14"/>
  <c r="AE13" i="14"/>
  <c r="G12" i="14"/>
  <c r="W10" i="14"/>
  <c r="AM8" i="14"/>
  <c r="O7" i="14"/>
  <c r="AE5" i="14"/>
  <c r="G4" i="14"/>
  <c r="L38" i="14"/>
  <c r="L34" i="14"/>
  <c r="AJ29" i="14"/>
  <c r="AJ25" i="14"/>
  <c r="L22" i="14"/>
  <c r="L18" i="14"/>
  <c r="L14" i="14"/>
  <c r="AI37" i="14"/>
  <c r="AA33" i="14"/>
  <c r="AQ29" i="14"/>
  <c r="AA26" i="14"/>
  <c r="AA22" i="14"/>
  <c r="S19" i="14"/>
  <c r="K16" i="14"/>
  <c r="K12" i="14"/>
  <c r="AI8" i="14"/>
  <c r="K5" i="14"/>
  <c r="V41" i="14"/>
  <c r="F38" i="14"/>
  <c r="N34" i="14"/>
  <c r="N30" i="14"/>
  <c r="V26" i="14"/>
  <c r="N23" i="14"/>
  <c r="N18" i="14"/>
  <c r="AF41" i="14"/>
  <c r="AF39" i="14"/>
  <c r="P37" i="14"/>
  <c r="P35" i="14"/>
  <c r="P33" i="14"/>
  <c r="AN30" i="14"/>
  <c r="AN28" i="14"/>
  <c r="AN26" i="14"/>
  <c r="X24" i="14"/>
  <c r="X22" i="14"/>
  <c r="X20" i="14"/>
  <c r="H18" i="14"/>
  <c r="H16" i="14"/>
  <c r="H14" i="14"/>
  <c r="AF11" i="14"/>
  <c r="AF9" i="14"/>
  <c r="AF7" i="14"/>
  <c r="P5" i="14"/>
  <c r="P3" i="14"/>
  <c r="O41" i="14"/>
  <c r="AM38" i="14"/>
  <c r="AM36" i="14"/>
  <c r="AM34" i="14"/>
  <c r="W32" i="14"/>
  <c r="W30" i="14"/>
  <c r="W28" i="14"/>
  <c r="G26" i="14"/>
  <c r="G24" i="14"/>
  <c r="G22" i="14"/>
  <c r="AE19" i="14"/>
  <c r="AE17" i="14"/>
  <c r="AE15" i="14"/>
  <c r="O13" i="14"/>
  <c r="O11" i="14"/>
  <c r="O9" i="14"/>
  <c r="AM6" i="14"/>
  <c r="AM4" i="14"/>
  <c r="AM2" i="14"/>
  <c r="R41" i="14"/>
  <c r="AH39" i="14"/>
  <c r="J38" i="14"/>
  <c r="Z36" i="14"/>
  <c r="AP34" i="14"/>
  <c r="R33" i="14"/>
  <c r="AH31" i="14"/>
  <c r="J30" i="14"/>
  <c r="Z28" i="14"/>
  <c r="AP26" i="14"/>
  <c r="R25" i="14"/>
  <c r="AH23" i="14"/>
  <c r="J22" i="14"/>
  <c r="Z20" i="14"/>
  <c r="AP18" i="14"/>
  <c r="R17" i="14"/>
  <c r="AH15" i="14"/>
  <c r="J14" i="14"/>
  <c r="Z12" i="14"/>
  <c r="AP10" i="14"/>
  <c r="R9" i="14"/>
  <c r="AH7" i="14"/>
  <c r="J6" i="14"/>
  <c r="AB40" i="14"/>
  <c r="AB35" i="14"/>
  <c r="D39" i="14"/>
  <c r="D35" i="14"/>
  <c r="T31" i="14"/>
  <c r="AB26" i="14"/>
  <c r="AJ22" i="14"/>
  <c r="AB19" i="14"/>
  <c r="D15" i="14"/>
  <c r="AA38" i="14"/>
  <c r="K35" i="14"/>
  <c r="AA30" i="14"/>
  <c r="K27" i="14"/>
  <c r="AQ23" i="14"/>
  <c r="AQ19" i="14"/>
  <c r="AI16" i="14"/>
  <c r="S13" i="14"/>
  <c r="AA9" i="14"/>
  <c r="AQ5" i="14"/>
  <c r="AI2" i="14"/>
  <c r="AL38" i="14"/>
  <c r="F35" i="14"/>
  <c r="AD31" i="14"/>
  <c r="N27" i="14"/>
  <c r="AL23" i="14"/>
  <c r="AL19" i="14"/>
  <c r="AC38" i="14"/>
  <c r="H40" i="14"/>
  <c r="H38" i="14"/>
  <c r="AF35" i="14"/>
  <c r="AF33" i="14"/>
  <c r="AF31" i="14"/>
  <c r="P29" i="14"/>
  <c r="P27" i="14"/>
  <c r="P25" i="14"/>
  <c r="AN22" i="14"/>
  <c r="AN20" i="14"/>
  <c r="AN18" i="14"/>
  <c r="X16" i="14"/>
  <c r="X14" i="14"/>
  <c r="X12" i="14"/>
  <c r="H10" i="14"/>
  <c r="H8" i="14"/>
  <c r="H6" i="14"/>
  <c r="AF3" i="14"/>
  <c r="AE41" i="14"/>
  <c r="AE39" i="14"/>
  <c r="O37" i="14"/>
  <c r="O35" i="14"/>
  <c r="O33" i="14"/>
  <c r="AM30" i="14"/>
  <c r="AM28" i="14"/>
  <c r="AM26" i="14"/>
  <c r="W24" i="14"/>
  <c r="W22" i="14"/>
  <c r="W20" i="14"/>
  <c r="G18" i="14"/>
  <c r="G16" i="14"/>
  <c r="G14" i="14"/>
  <c r="AE11" i="14"/>
  <c r="AE9" i="14"/>
  <c r="AE7" i="14"/>
  <c r="O5" i="14"/>
  <c r="O3" i="14"/>
  <c r="AH41" i="14"/>
  <c r="J40" i="14"/>
  <c r="Z38" i="14"/>
  <c r="AP36" i="14"/>
  <c r="R35" i="14"/>
  <c r="AH33" i="14"/>
  <c r="J32" i="14"/>
  <c r="Z30" i="14"/>
  <c r="AP28" i="14"/>
  <c r="R27" i="14"/>
  <c r="AH25" i="14"/>
  <c r="J24" i="14"/>
  <c r="Z22" i="14"/>
  <c r="AP20" i="14"/>
  <c r="R19" i="14"/>
  <c r="AH17" i="14"/>
  <c r="J16" i="14"/>
  <c r="Z14" i="14"/>
  <c r="AP12" i="14"/>
  <c r="R11" i="14"/>
  <c r="AH9" i="14"/>
  <c r="J8" i="14"/>
  <c r="Z6" i="14"/>
  <c r="AP4" i="14"/>
  <c r="R3" i="14"/>
  <c r="AG41" i="14"/>
  <c r="I40" i="14"/>
  <c r="Y38" i="14"/>
  <c r="AO36" i="14"/>
  <c r="Q35" i="14"/>
  <c r="AG33" i="14"/>
  <c r="I32" i="14"/>
  <c r="Y30" i="14"/>
  <c r="AO28" i="14"/>
  <c r="Q27" i="14"/>
  <c r="AG25" i="14"/>
  <c r="I24" i="14"/>
  <c r="Y22" i="14"/>
  <c r="AO20" i="14"/>
  <c r="Q19" i="14"/>
  <c r="AG17" i="14"/>
  <c r="I16" i="14"/>
  <c r="Y14" i="14"/>
  <c r="AO12" i="14"/>
  <c r="Q11" i="14"/>
  <c r="AG9" i="14"/>
  <c r="I8" i="14"/>
  <c r="Y6" i="14"/>
  <c r="AO4" i="14"/>
  <c r="Q3" i="14"/>
  <c r="L41" i="14"/>
  <c r="D38" i="14"/>
  <c r="AJ34" i="14"/>
  <c r="L31" i="14"/>
  <c r="L28" i="14"/>
  <c r="AJ24" i="14"/>
  <c r="AJ20" i="14"/>
  <c r="T17" i="14"/>
  <c r="AJ13" i="14"/>
  <c r="L11" i="14"/>
  <c r="AB9" i="14"/>
  <c r="AJ7" i="14"/>
  <c r="L6" i="14"/>
  <c r="AB4" i="14"/>
  <c r="D3" i="14"/>
  <c r="S41" i="14"/>
  <c r="AI39" i="14"/>
  <c r="AA37" i="14"/>
  <c r="AI33" i="14"/>
  <c r="S30" i="14"/>
  <c r="S26" i="14"/>
  <c r="S22" i="14"/>
  <c r="AQ17" i="14"/>
  <c r="K14" i="14"/>
  <c r="AI9" i="14"/>
  <c r="S6" i="14"/>
  <c r="D2" i="14"/>
  <c r="N38" i="14"/>
  <c r="AL34" i="14"/>
  <c r="L32" i="14"/>
  <c r="AB23" i="14"/>
  <c r="AB16" i="14"/>
  <c r="AQ35" i="14"/>
  <c r="AI27" i="14"/>
  <c r="K21" i="14"/>
  <c r="AQ13" i="14"/>
  <c r="AA6" i="14"/>
  <c r="N40" i="14"/>
  <c r="V32" i="14"/>
  <c r="V24" i="14"/>
  <c r="F17" i="14"/>
  <c r="X38" i="14"/>
  <c r="H34" i="14"/>
  <c r="H30" i="14"/>
  <c r="AF25" i="14"/>
  <c r="P21" i="14"/>
  <c r="P17" i="14"/>
  <c r="AN12" i="14"/>
  <c r="X8" i="14"/>
  <c r="X4" i="14"/>
  <c r="G40" i="14"/>
  <c r="AE35" i="14"/>
  <c r="AE31" i="14"/>
  <c r="O27" i="14"/>
  <c r="AM22" i="14"/>
  <c r="AM18" i="14"/>
  <c r="W14" i="14"/>
  <c r="G10" i="14"/>
  <c r="G6" i="14"/>
  <c r="G2" i="14"/>
  <c r="AP38" i="14"/>
  <c r="AH35" i="14"/>
  <c r="Z32" i="14"/>
  <c r="R29" i="14"/>
  <c r="J26" i="14"/>
  <c r="AP22" i="14"/>
  <c r="AH19" i="14"/>
  <c r="Z16" i="14"/>
  <c r="R13" i="14"/>
  <c r="J10" i="14"/>
  <c r="AP6" i="14"/>
  <c r="J4" i="14"/>
  <c r="J2" i="14"/>
  <c r="AG39" i="14"/>
  <c r="AG37" i="14"/>
  <c r="AG35" i="14"/>
  <c r="Q33" i="14"/>
  <c r="Q31" i="14"/>
  <c r="Q29" i="14"/>
  <c r="AO26" i="14"/>
  <c r="AO24" i="14"/>
  <c r="AO22" i="14"/>
  <c r="Y20" i="14"/>
  <c r="Y18" i="14"/>
  <c r="Y16" i="14"/>
  <c r="I14" i="14"/>
  <c r="I12" i="14"/>
  <c r="I10" i="14"/>
  <c r="AG7" i="14"/>
  <c r="AG5" i="14"/>
  <c r="AG3" i="14"/>
  <c r="T40" i="14"/>
  <c r="AB36" i="14"/>
  <c r="D32" i="14"/>
  <c r="T27" i="14"/>
  <c r="D23" i="14"/>
  <c r="D18" i="14"/>
  <c r="D13" i="14"/>
  <c r="T10" i="14"/>
  <c r="L8" i="14"/>
  <c r="AJ5" i="14"/>
  <c r="AJ3" i="14"/>
  <c r="AI41" i="14"/>
  <c r="S39" i="14"/>
  <c r="S35" i="14"/>
  <c r="K31" i="14"/>
  <c r="S25" i="14"/>
  <c r="S20" i="14"/>
  <c r="K15" i="14"/>
  <c r="AQ8" i="14"/>
  <c r="K4" i="14"/>
  <c r="F39" i="14"/>
  <c r="AL33" i="14"/>
  <c r="AL29" i="14"/>
  <c r="AD26" i="14"/>
  <c r="AD22" i="14"/>
  <c r="AD19" i="14"/>
  <c r="T39" i="14"/>
  <c r="D36" i="14"/>
  <c r="T33" i="14"/>
  <c r="L30" i="14"/>
  <c r="D27" i="14"/>
  <c r="D24" i="14"/>
  <c r="L21" i="14"/>
  <c r="AB18" i="14"/>
  <c r="T15" i="14"/>
  <c r="T12" i="14"/>
  <c r="AI36" i="14"/>
  <c r="AQ33" i="14"/>
  <c r="AQ30" i="14"/>
  <c r="K28" i="14"/>
  <c r="AA25" i="14"/>
  <c r="AQ22" i="14"/>
  <c r="K20" i="14"/>
  <c r="T41" i="14"/>
  <c r="AJ28" i="14"/>
  <c r="D21" i="14"/>
  <c r="AB13" i="14"/>
  <c r="AI32" i="14"/>
  <c r="K25" i="14"/>
  <c r="AI18" i="14"/>
  <c r="AA11" i="14"/>
  <c r="AQ3" i="14"/>
  <c r="N37" i="14"/>
  <c r="AD29" i="14"/>
  <c r="V21" i="14"/>
  <c r="P41" i="14"/>
  <c r="AN36" i="14"/>
  <c r="X32" i="14"/>
  <c r="X28" i="14"/>
  <c r="H24" i="14"/>
  <c r="AF19" i="14"/>
  <c r="AF15" i="14"/>
  <c r="P11" i="14"/>
  <c r="AN6" i="14"/>
  <c r="AN2" i="14"/>
  <c r="W38" i="14"/>
  <c r="G34" i="14"/>
  <c r="G30" i="14"/>
  <c r="AE25" i="14"/>
  <c r="O21" i="14"/>
  <c r="O17" i="14"/>
  <c r="AM12" i="14"/>
  <c r="W8" i="14"/>
  <c r="W4" i="14"/>
  <c r="AP40" i="14"/>
  <c r="AH37" i="14"/>
  <c r="Z34" i="14"/>
  <c r="R31" i="14"/>
  <c r="J28" i="14"/>
  <c r="AP24" i="14"/>
  <c r="AH21" i="14"/>
  <c r="Z18" i="14"/>
  <c r="R15" i="14"/>
  <c r="J12" i="14"/>
  <c r="AP8" i="14"/>
  <c r="AH5" i="14"/>
  <c r="AH3" i="14"/>
  <c r="Q41" i="14"/>
  <c r="Q39" i="14"/>
  <c r="Q37" i="14"/>
  <c r="AO34" i="14"/>
  <c r="AO32" i="14"/>
  <c r="AO30" i="14"/>
  <c r="Y28" i="14"/>
  <c r="Y26" i="14"/>
  <c r="Y24" i="14"/>
  <c r="I22" i="14"/>
  <c r="I20" i="14"/>
  <c r="I18" i="14"/>
  <c r="AG15" i="14"/>
  <c r="AG13" i="14"/>
  <c r="AG11" i="14"/>
  <c r="Q9" i="14"/>
  <c r="Q7" i="14"/>
  <c r="Q5" i="14"/>
  <c r="AO2" i="14"/>
  <c r="AB39" i="14"/>
  <c r="AJ35" i="14"/>
  <c r="T30" i="14"/>
  <c r="T26" i="14"/>
  <c r="AJ21" i="14"/>
  <c r="T16" i="14"/>
  <c r="L12" i="14"/>
  <c r="D10" i="14"/>
  <c r="T7" i="14"/>
  <c r="T5" i="14"/>
  <c r="T3" i="14"/>
  <c r="AQ40" i="14"/>
  <c r="AQ38" i="14"/>
  <c r="AA34" i="14"/>
  <c r="K29" i="14"/>
  <c r="K24" i="14"/>
  <c r="K19" i="14"/>
  <c r="AQ12" i="14"/>
  <c r="AQ7" i="14"/>
  <c r="AQ2" i="14"/>
  <c r="V37" i="14"/>
  <c r="AD32" i="14"/>
  <c r="T37" i="14"/>
  <c r="D28" i="14"/>
  <c r="L20" i="14"/>
  <c r="AB11" i="14"/>
  <c r="K32" i="14"/>
  <c r="AA24" i="14"/>
  <c r="AA17" i="14"/>
  <c r="AI10" i="14"/>
  <c r="S3" i="14"/>
  <c r="AD35" i="14"/>
  <c r="AL28" i="14"/>
  <c r="AD20" i="14"/>
  <c r="X40" i="14"/>
  <c r="X36" i="14"/>
  <c r="H32" i="14"/>
  <c r="AF27" i="14"/>
  <c r="AF23" i="14"/>
  <c r="P19" i="14"/>
  <c r="AN14" i="14"/>
  <c r="AN10" i="14"/>
  <c r="X6" i="14"/>
  <c r="H2" i="14"/>
  <c r="G38" i="14"/>
  <c r="AE33" i="14"/>
  <c r="O29" i="14"/>
  <c r="O25" i="14"/>
  <c r="AM20" i="14"/>
  <c r="W16" i="14"/>
  <c r="W12" i="14"/>
  <c r="G8" i="14"/>
  <c r="AE3" i="14"/>
  <c r="Z40" i="14"/>
  <c r="R37" i="14"/>
  <c r="J34" i="14"/>
  <c r="AP30" i="14"/>
  <c r="AH27" i="14"/>
  <c r="Z24" i="14"/>
  <c r="R21" i="14"/>
  <c r="J18" i="14"/>
  <c r="AP14" i="14"/>
  <c r="AH11" i="14"/>
  <c r="Z8" i="14"/>
  <c r="R5" i="14"/>
  <c r="AP2" i="14"/>
  <c r="AO40" i="14"/>
  <c r="AO38" i="14"/>
  <c r="Y36" i="14"/>
  <c r="Y34" i="14"/>
  <c r="Y32" i="14"/>
  <c r="I30" i="14"/>
  <c r="I28" i="14"/>
  <c r="I26" i="14"/>
  <c r="AG23" i="14"/>
  <c r="AG21" i="14"/>
  <c r="AG19" i="14"/>
  <c r="Q17" i="14"/>
  <c r="Q15" i="14"/>
  <c r="Q13" i="14"/>
  <c r="AO10" i="14"/>
  <c r="AO8" i="14"/>
  <c r="AO6" i="14"/>
  <c r="Y4" i="14"/>
  <c r="Y2" i="14"/>
  <c r="AJ38" i="14"/>
  <c r="AJ33" i="14"/>
  <c r="AB29" i="14"/>
  <c r="AB25" i="14"/>
  <c r="AJ19" i="14"/>
  <c r="AB15" i="14"/>
  <c r="AJ11" i="14"/>
  <c r="D9" i="14"/>
  <c r="D7" i="14"/>
  <c r="D5" i="14"/>
  <c r="AB2" i="14"/>
  <c r="AA40" i="14"/>
  <c r="S38" i="14"/>
  <c r="AQ32" i="14"/>
  <c r="S28" i="14"/>
  <c r="K23" i="14"/>
  <c r="AQ16" i="14"/>
  <c r="AQ11" i="14"/>
  <c r="K7" i="14"/>
  <c r="N41" i="14"/>
  <c r="AD36" i="14"/>
  <c r="AL31" i="14"/>
  <c r="D33" i="14"/>
  <c r="D25" i="14"/>
  <c r="L17" i="14"/>
  <c r="AA36" i="14"/>
  <c r="S29" i="14"/>
  <c r="AQ21" i="14"/>
  <c r="AA14" i="14"/>
  <c r="K8" i="14"/>
  <c r="AL40" i="14"/>
  <c r="F33" i="14"/>
  <c r="AL25" i="14"/>
  <c r="AD17" i="14"/>
  <c r="AN38" i="14"/>
  <c r="AN34" i="14"/>
  <c r="X30" i="14"/>
  <c r="H26" i="14"/>
  <c r="H22" i="14"/>
  <c r="AF17" i="14"/>
  <c r="P13" i="14"/>
  <c r="P9" i="14"/>
  <c r="AN4" i="14"/>
  <c r="W40" i="14"/>
  <c r="W36" i="14"/>
  <c r="G32" i="14"/>
  <c r="AE27" i="14"/>
  <c r="AE23" i="14"/>
  <c r="O19" i="14"/>
  <c r="AM14" i="14"/>
  <c r="AM10" i="14"/>
  <c r="W6" i="14"/>
  <c r="W2" i="14"/>
  <c r="R39" i="14"/>
  <c r="J36" i="14"/>
  <c r="AP32" i="14"/>
  <c r="AH29" i="14"/>
  <c r="Z26" i="14"/>
  <c r="R23" i="14"/>
  <c r="J20" i="14"/>
  <c r="AP16" i="14"/>
  <c r="AH13" i="14"/>
  <c r="Z10" i="14"/>
  <c r="R7" i="14"/>
  <c r="Z4" i="14"/>
  <c r="Z2" i="14"/>
  <c r="Y40" i="14"/>
  <c r="I38" i="14"/>
  <c r="I36" i="14"/>
  <c r="I34" i="14"/>
  <c r="AG31" i="14"/>
  <c r="AG29" i="14"/>
  <c r="AG27" i="14"/>
  <c r="Q25" i="14"/>
  <c r="Q23" i="14"/>
  <c r="Q21" i="14"/>
  <c r="AO18" i="14"/>
  <c r="AO16" i="14"/>
  <c r="AO14" i="14"/>
  <c r="Y12" i="14"/>
  <c r="Y10" i="14"/>
  <c r="Y8" i="14"/>
  <c r="I6" i="14"/>
  <c r="I4" i="14"/>
  <c r="I2" i="14"/>
  <c r="L37" i="14"/>
  <c r="AJ32" i="14"/>
  <c r="D29" i="14"/>
  <c r="AJ23" i="14"/>
  <c r="AJ18" i="14"/>
  <c r="AJ14" i="14"/>
  <c r="AJ10" i="14"/>
  <c r="AB8" i="14"/>
  <c r="AB6" i="14"/>
  <c r="L4" i="14"/>
  <c r="L2" i="14"/>
  <c r="K40" i="14"/>
  <c r="S36" i="14"/>
  <c r="AQ31" i="14"/>
  <c r="S27" i="14"/>
  <c r="S21" i="14"/>
  <c r="AQ15" i="14"/>
  <c r="AQ10" i="14"/>
  <c r="S5" i="14"/>
  <c r="F40" i="14"/>
  <c r="AL35" i="14"/>
  <c r="AL30" i="14"/>
  <c r="V27" i="14"/>
  <c r="AD23" i="14"/>
  <c r="V20" i="14"/>
  <c r="L40" i="14"/>
  <c r="AJ36" i="14"/>
  <c r="D34" i="14"/>
  <c r="D31" i="14"/>
  <c r="AB27" i="14"/>
  <c r="AB24" i="14"/>
  <c r="D22" i="14"/>
  <c r="L19" i="14"/>
  <c r="L16" i="14"/>
  <c r="L13" i="14"/>
  <c r="S37" i="14"/>
  <c r="AI34" i="14"/>
  <c r="AI31" i="14"/>
  <c r="AQ28" i="14"/>
  <c r="K26" i="14"/>
  <c r="AI23" i="14"/>
  <c r="AI20" i="14"/>
  <c r="N28" i="14"/>
  <c r="N21" i="14"/>
  <c r="AJ37" i="14"/>
  <c r="AJ31" i="14"/>
  <c r="T25" i="14"/>
  <c r="D20" i="14"/>
  <c r="D14" i="14"/>
  <c r="AA35" i="14"/>
  <c r="AA29" i="14"/>
  <c r="S24" i="14"/>
  <c r="AQ18" i="14"/>
  <c r="AA16" i="14"/>
  <c r="AI13" i="14"/>
  <c r="K11" i="14"/>
  <c r="S8" i="14"/>
  <c r="AA5" i="14"/>
  <c r="K3" i="14"/>
  <c r="V40" i="14"/>
  <c r="AD37" i="14"/>
  <c r="AD34" i="14"/>
  <c r="F32" i="14"/>
  <c r="N29" i="14"/>
  <c r="N26" i="14"/>
  <c r="V23" i="14"/>
  <c r="N20" i="14"/>
  <c r="V17" i="14"/>
  <c r="X41" i="14"/>
  <c r="AN39" i="14"/>
  <c r="P38" i="14"/>
  <c r="AF36" i="14"/>
  <c r="H35" i="14"/>
  <c r="X33" i="14"/>
  <c r="AN31" i="14"/>
  <c r="P30" i="14"/>
  <c r="AF28" i="14"/>
  <c r="H27" i="14"/>
  <c r="X25" i="14"/>
  <c r="AN23" i="14"/>
  <c r="P22" i="14"/>
  <c r="AF20" i="14"/>
  <c r="H19" i="14"/>
  <c r="X17" i="14"/>
  <c r="AN15" i="14"/>
  <c r="P14" i="14"/>
  <c r="AF12" i="14"/>
  <c r="H11" i="14"/>
  <c r="X9" i="14"/>
  <c r="AN7" i="14"/>
  <c r="P6" i="14"/>
  <c r="AF4" i="14"/>
  <c r="H3" i="14"/>
  <c r="W41" i="14"/>
  <c r="AM39" i="14"/>
  <c r="O38" i="14"/>
  <c r="AE36" i="14"/>
  <c r="G35" i="14"/>
  <c r="W33" i="14"/>
  <c r="AM31" i="14"/>
  <c r="O30" i="14"/>
  <c r="AE28" i="14"/>
  <c r="G27" i="14"/>
  <c r="W25" i="14"/>
  <c r="AM23" i="14"/>
  <c r="O22" i="14"/>
  <c r="AE20" i="14"/>
  <c r="G19" i="14"/>
  <c r="W17" i="14"/>
  <c r="AM15" i="14"/>
  <c r="O14" i="14"/>
  <c r="AE12" i="14"/>
  <c r="G11" i="14"/>
  <c r="W9" i="14"/>
  <c r="AM7" i="14"/>
  <c r="O6" i="14"/>
  <c r="AE4" i="14"/>
  <c r="G3" i="14"/>
  <c r="Z41" i="14"/>
  <c r="AP39" i="14"/>
  <c r="R38" i="14"/>
  <c r="AH36" i="14"/>
  <c r="J35" i="14"/>
  <c r="Z33" i="14"/>
  <c r="AP31" i="14"/>
  <c r="R30" i="14"/>
  <c r="AH28" i="14"/>
  <c r="AD25" i="14"/>
  <c r="AJ41" i="14"/>
  <c r="T35" i="14"/>
  <c r="T29" i="14"/>
  <c r="T23" i="14"/>
  <c r="AJ17" i="14"/>
  <c r="T9" i="14"/>
  <c r="K33" i="14"/>
  <c r="AA27" i="14"/>
  <c r="K22" i="14"/>
  <c r="S18" i="14"/>
  <c r="AI15" i="14"/>
  <c r="K13" i="14"/>
  <c r="AA10" i="14"/>
  <c r="AI7" i="14"/>
  <c r="AQ4" i="14"/>
  <c r="AA2" i="14"/>
  <c r="AL39" i="14"/>
  <c r="AL36" i="14"/>
  <c r="F34" i="14"/>
  <c r="N31" i="14"/>
  <c r="V28" i="14"/>
  <c r="V25" i="14"/>
  <c r="AL22" i="14"/>
  <c r="V19" i="14"/>
  <c r="AL16" i="14"/>
  <c r="H41" i="14"/>
  <c r="X39" i="14"/>
  <c r="AN37" i="14"/>
  <c r="P36" i="14"/>
  <c r="AF34" i="14"/>
  <c r="H33" i="14"/>
  <c r="X31" i="14"/>
  <c r="AN29" i="14"/>
  <c r="P28" i="14"/>
  <c r="AF26" i="14"/>
  <c r="H25" i="14"/>
  <c r="X23" i="14"/>
  <c r="AN21" i="14"/>
  <c r="P20" i="14"/>
  <c r="AF18" i="14"/>
  <c r="H17" i="14"/>
  <c r="X15" i="14"/>
  <c r="AN13" i="14"/>
  <c r="P12" i="14"/>
  <c r="AF10" i="14"/>
  <c r="H9" i="14"/>
  <c r="X7" i="14"/>
  <c r="AN5" i="14"/>
  <c r="P4" i="14"/>
  <c r="AF2" i="14"/>
  <c r="G41" i="14"/>
  <c r="W39" i="14"/>
  <c r="AM37" i="14"/>
  <c r="O36" i="14"/>
  <c r="AE34" i="14"/>
  <c r="G33" i="14"/>
  <c r="W31" i="14"/>
  <c r="AM29" i="14"/>
  <c r="O28" i="14"/>
  <c r="AE26" i="14"/>
  <c r="G25" i="14"/>
  <c r="W23" i="14"/>
  <c r="AM21" i="14"/>
  <c r="O20" i="14"/>
  <c r="AE18" i="14"/>
  <c r="G17" i="14"/>
  <c r="W15" i="14"/>
  <c r="AM13" i="14"/>
  <c r="O12" i="14"/>
  <c r="AE10" i="14"/>
  <c r="G9" i="14"/>
  <c r="W7" i="14"/>
  <c r="AM5" i="14"/>
  <c r="O4" i="14"/>
  <c r="AE2" i="14"/>
  <c r="J41" i="14"/>
  <c r="Z39" i="14"/>
  <c r="AP37" i="14"/>
  <c r="R36" i="14"/>
  <c r="AH34" i="14"/>
  <c r="J33" i="14"/>
  <c r="Z31" i="14"/>
  <c r="AP29" i="14"/>
  <c r="R28" i="14"/>
  <c r="F29" i="14"/>
  <c r="AB38" i="14"/>
  <c r="L26" i="14"/>
  <c r="AB14" i="14"/>
  <c r="K30" i="14"/>
  <c r="AA19" i="14"/>
  <c r="S14" i="14"/>
  <c r="K9" i="14"/>
  <c r="AI3" i="14"/>
  <c r="V38" i="14"/>
  <c r="AL32" i="14"/>
  <c r="AL26" i="14"/>
  <c r="F21" i="14"/>
  <c r="AN41" i="14"/>
  <c r="AF38" i="14"/>
  <c r="X35" i="14"/>
  <c r="P32" i="14"/>
  <c r="H29" i="14"/>
  <c r="AN25" i="14"/>
  <c r="AF22" i="14"/>
  <c r="X19" i="14"/>
  <c r="P16" i="14"/>
  <c r="H13" i="14"/>
  <c r="AN9" i="14"/>
  <c r="AF6" i="14"/>
  <c r="X3" i="14"/>
  <c r="O40" i="14"/>
  <c r="G37" i="14"/>
  <c r="AM33" i="14"/>
  <c r="AE30" i="14"/>
  <c r="W27" i="14"/>
  <c r="O24" i="14"/>
  <c r="G21" i="14"/>
  <c r="AM17" i="14"/>
  <c r="AE14" i="14"/>
  <c r="W11" i="14"/>
  <c r="O8" i="14"/>
  <c r="G5" i="14"/>
  <c r="AP41" i="14"/>
  <c r="AH38" i="14"/>
  <c r="Z35" i="14"/>
  <c r="R32" i="14"/>
  <c r="J29" i="14"/>
  <c r="AH26" i="14"/>
  <c r="J25" i="14"/>
  <c r="Z23" i="14"/>
  <c r="AP21" i="14"/>
  <c r="R20" i="14"/>
  <c r="AH18" i="14"/>
  <c r="J17" i="14"/>
  <c r="Z15" i="14"/>
  <c r="AP13" i="14"/>
  <c r="R12" i="14"/>
  <c r="AH10" i="14"/>
  <c r="J9" i="14"/>
  <c r="Z7" i="14"/>
  <c r="AP5" i="14"/>
  <c r="R4" i="14"/>
  <c r="AH2" i="14"/>
  <c r="I41" i="14"/>
  <c r="Y39" i="14"/>
  <c r="AO37" i="14"/>
  <c r="Q36" i="14"/>
  <c r="AG34" i="14"/>
  <c r="I33" i="14"/>
  <c r="Y31" i="14"/>
  <c r="AO29" i="14"/>
  <c r="Q28" i="14"/>
  <c r="AG26" i="14"/>
  <c r="I25" i="14"/>
  <c r="Y23" i="14"/>
  <c r="AO21" i="14"/>
  <c r="Q20" i="14"/>
  <c r="AG18" i="14"/>
  <c r="I17" i="14"/>
  <c r="Y15" i="14"/>
  <c r="AO13" i="14"/>
  <c r="Q12" i="14"/>
  <c r="AG10" i="14"/>
  <c r="I9" i="14"/>
  <c r="Y7" i="14"/>
  <c r="AO5" i="14"/>
  <c r="Q4" i="14"/>
  <c r="AG2" i="14"/>
  <c r="D40" i="14"/>
  <c r="D37" i="14"/>
  <c r="L33" i="14"/>
  <c r="D30" i="14"/>
  <c r="AJ26" i="14"/>
  <c r="L23" i="14"/>
  <c r="T19" i="14"/>
  <c r="D16" i="14"/>
  <c r="AB12" i="14"/>
  <c r="AB10" i="14"/>
  <c r="AJ8" i="14"/>
  <c r="L7" i="14"/>
  <c r="AB5" i="14"/>
  <c r="D4" i="14"/>
  <c r="T2" i="14"/>
  <c r="AI40" i="14"/>
  <c r="K39" i="14"/>
  <c r="AI35" i="14"/>
  <c r="AA32" i="14"/>
  <c r="AI28" i="14"/>
  <c r="AI24" i="14"/>
  <c r="AQ20" i="14"/>
  <c r="S16" i="14"/>
  <c r="S12" i="14"/>
  <c r="AA8" i="14"/>
  <c r="AI4" i="14"/>
  <c r="AD40" i="14"/>
  <c r="F37" i="14"/>
  <c r="N33" i="14"/>
  <c r="V29" i="14"/>
  <c r="F26" i="14"/>
  <c r="V22" i="14"/>
  <c r="N19" i="14"/>
  <c r="AL15" i="14"/>
  <c r="F14" i="14"/>
  <c r="V12" i="14"/>
  <c r="AL10" i="14"/>
  <c r="N9" i="14"/>
  <c r="AD7" i="14"/>
  <c r="F6" i="14"/>
  <c r="V4" i="14"/>
  <c r="AL2" i="14"/>
  <c r="M41" i="14"/>
  <c r="AC39" i="14"/>
  <c r="AK37" i="14"/>
  <c r="M36" i="14"/>
  <c r="AC34" i="14"/>
  <c r="E33" i="14"/>
  <c r="U31" i="14"/>
  <c r="AK29" i="14"/>
  <c r="M28" i="14"/>
  <c r="AC26" i="14"/>
  <c r="E25" i="14"/>
  <c r="U23" i="14"/>
  <c r="AK21" i="14"/>
  <c r="M20" i="14"/>
  <c r="AC18" i="14"/>
  <c r="E17" i="14"/>
  <c r="U15" i="14"/>
  <c r="AK13" i="14"/>
  <c r="M12" i="14"/>
  <c r="AC10" i="14"/>
  <c r="E9" i="14"/>
  <c r="U7" i="14"/>
  <c r="AK5" i="14"/>
  <c r="M4" i="14"/>
  <c r="AC2" i="14"/>
  <c r="AD16" i="14"/>
  <c r="AD14" i="14"/>
  <c r="F13" i="14"/>
  <c r="V11" i="14"/>
  <c r="AL9" i="14"/>
  <c r="N8" i="14"/>
  <c r="AD6" i="14"/>
  <c r="F5" i="14"/>
  <c r="V3" i="14"/>
  <c r="AK41" i="14"/>
  <c r="M40" i="14"/>
  <c r="U38" i="14"/>
  <c r="AK36" i="14"/>
  <c r="M35" i="14"/>
  <c r="AC33" i="14"/>
  <c r="E32" i="14"/>
  <c r="U30" i="14"/>
  <c r="AK28" i="14"/>
  <c r="M27" i="14"/>
  <c r="F22" i="14"/>
  <c r="AB32" i="14"/>
  <c r="AB20" i="14"/>
  <c r="K36" i="14"/>
  <c r="AQ24" i="14"/>
  <c r="K17" i="14"/>
  <c r="AI11" i="14"/>
  <c r="K6" i="14"/>
  <c r="F41" i="14"/>
  <c r="N35" i="14"/>
  <c r="F30" i="14"/>
  <c r="N24" i="14"/>
  <c r="F18" i="14"/>
  <c r="P40" i="14"/>
  <c r="H37" i="14"/>
  <c r="AN33" i="14"/>
  <c r="AF30" i="14"/>
  <c r="X27" i="14"/>
  <c r="P24" i="14"/>
  <c r="H21" i="14"/>
  <c r="AN17" i="14"/>
  <c r="AF14" i="14"/>
  <c r="X11" i="14"/>
  <c r="P8" i="14"/>
  <c r="H5" i="14"/>
  <c r="AM41" i="14"/>
  <c r="AE38" i="14"/>
  <c r="W35" i="14"/>
  <c r="O32" i="14"/>
  <c r="G29" i="14"/>
  <c r="AM25" i="14"/>
  <c r="AE22" i="14"/>
  <c r="W19" i="14"/>
  <c r="O16" i="14"/>
  <c r="G13" i="14"/>
  <c r="AM9" i="14"/>
  <c r="AE6" i="14"/>
  <c r="W3" i="14"/>
  <c r="R40" i="14"/>
  <c r="J37" i="14"/>
  <c r="AP33" i="14"/>
  <c r="AH30" i="14"/>
  <c r="Z27" i="14"/>
  <c r="AP25" i="14"/>
  <c r="R24" i="14"/>
  <c r="AH22" i="14"/>
  <c r="J21" i="14"/>
  <c r="Z19" i="14"/>
  <c r="AP17" i="14"/>
  <c r="R16" i="14"/>
  <c r="AH14" i="14"/>
  <c r="J13" i="14"/>
  <c r="Z11" i="14"/>
  <c r="AP9" i="14"/>
  <c r="R8" i="14"/>
  <c r="AH6" i="14"/>
  <c r="J5" i="14"/>
  <c r="Z3" i="14"/>
  <c r="AO41" i="14"/>
  <c r="Q40" i="14"/>
  <c r="AG38" i="14"/>
  <c r="I37" i="14"/>
  <c r="Y35" i="14"/>
  <c r="AO33" i="14"/>
  <c r="Q32" i="14"/>
  <c r="AG30" i="14"/>
  <c r="I29" i="14"/>
  <c r="Y27" i="14"/>
  <c r="AO25" i="14"/>
  <c r="Q24" i="14"/>
  <c r="AG22" i="14"/>
  <c r="I21" i="14"/>
  <c r="Y19" i="14"/>
  <c r="AO17" i="14"/>
  <c r="Q16" i="14"/>
  <c r="AG14" i="14"/>
  <c r="I13" i="14"/>
  <c r="Y11" i="14"/>
  <c r="AO9" i="14"/>
  <c r="Q8" i="14"/>
  <c r="AG6" i="14"/>
  <c r="I5" i="14"/>
  <c r="Y3" i="14"/>
  <c r="AB41" i="14"/>
  <c r="T38" i="14"/>
  <c r="L35" i="14"/>
  <c r="AB31" i="14"/>
  <c r="AB28" i="14"/>
  <c r="L25" i="14"/>
  <c r="T21" i="14"/>
  <c r="AB17" i="14"/>
  <c r="T14" i="14"/>
  <c r="T11" i="14"/>
  <c r="AJ9" i="14"/>
  <c r="D8" i="14"/>
  <c r="T6" i="14"/>
  <c r="AJ4" i="14"/>
  <c r="L3" i="14"/>
  <c r="AA41" i="14"/>
  <c r="AQ39" i="14"/>
  <c r="AQ37" i="14"/>
  <c r="K34" i="14"/>
  <c r="AI30" i="14"/>
  <c r="AI26" i="14"/>
  <c r="AI22" i="14"/>
  <c r="AA18" i="14"/>
  <c r="AI14" i="14"/>
  <c r="S10" i="14"/>
  <c r="AI6" i="14"/>
  <c r="S2" i="14"/>
  <c r="AD38" i="14"/>
  <c r="V35" i="14"/>
  <c r="V31" i="14"/>
  <c r="AL27" i="14"/>
  <c r="F24" i="14"/>
  <c r="AL20" i="14"/>
  <c r="N17" i="14"/>
  <c r="AL14" i="14"/>
  <c r="N13" i="14"/>
  <c r="AD11" i="14"/>
  <c r="F10" i="14"/>
  <c r="V8" i="14"/>
  <c r="AL6" i="14"/>
  <c r="N5" i="14"/>
  <c r="AD3" i="14"/>
  <c r="F2" i="14"/>
  <c r="U40" i="14"/>
  <c r="AK38" i="14"/>
  <c r="E37" i="14"/>
  <c r="U35" i="14"/>
  <c r="AK33" i="14"/>
  <c r="M32" i="14"/>
  <c r="AC30" i="14"/>
  <c r="E29" i="14"/>
  <c r="U27" i="14"/>
  <c r="AK25" i="14"/>
  <c r="M24" i="14"/>
  <c r="AC22" i="14"/>
  <c r="E21" i="14"/>
  <c r="U19" i="14"/>
  <c r="AK17" i="14"/>
  <c r="M16" i="14"/>
  <c r="AC14" i="14"/>
  <c r="E13" i="14"/>
  <c r="U11" i="14"/>
  <c r="AK9" i="14"/>
  <c r="M8" i="14"/>
  <c r="AC6" i="14"/>
  <c r="E5" i="14"/>
  <c r="U3" i="14"/>
  <c r="AL18" i="14"/>
  <c r="AD15" i="14"/>
  <c r="AL13" i="14"/>
  <c r="N12" i="14"/>
  <c r="AD10" i="14"/>
  <c r="F9" i="14"/>
  <c r="V7" i="14"/>
  <c r="AL5" i="14"/>
  <c r="N4" i="14"/>
  <c r="AD2" i="14"/>
  <c r="E41" i="14"/>
  <c r="U39" i="14"/>
  <c r="AC37" i="14"/>
  <c r="E36" i="14"/>
  <c r="U34" i="14"/>
  <c r="AK32" i="14"/>
  <c r="M31" i="14"/>
  <c r="AC29" i="14"/>
  <c r="E28" i="14"/>
  <c r="U26" i="14"/>
  <c r="AL21" i="14"/>
  <c r="AD24" i="14"/>
  <c r="AB22" i="14"/>
  <c r="AQ26" i="14"/>
  <c r="AA12" i="14"/>
  <c r="AL41" i="14"/>
  <c r="AD30" i="14"/>
  <c r="AD18" i="14"/>
  <c r="X37" i="14"/>
  <c r="H31" i="14"/>
  <c r="AF24" i="14"/>
  <c r="P18" i="14"/>
  <c r="AN11" i="14"/>
  <c r="X5" i="14"/>
  <c r="G39" i="14"/>
  <c r="AE32" i="14"/>
  <c r="O26" i="14"/>
  <c r="AM19" i="14"/>
  <c r="W13" i="14"/>
  <c r="G7" i="14"/>
  <c r="AH40" i="14"/>
  <c r="R34" i="14"/>
  <c r="AP27" i="14"/>
  <c r="AH24" i="14"/>
  <c r="Z21" i="14"/>
  <c r="R18" i="14"/>
  <c r="J15" i="14"/>
  <c r="AP11" i="14"/>
  <c r="AH8" i="14"/>
  <c r="Z5" i="14"/>
  <c r="R2" i="14"/>
  <c r="I39" i="14"/>
  <c r="AO35" i="14"/>
  <c r="AG32" i="14"/>
  <c r="Y29" i="14"/>
  <c r="Q26" i="14"/>
  <c r="I23" i="14"/>
  <c r="AO19" i="14"/>
  <c r="AG16" i="14"/>
  <c r="Y13" i="14"/>
  <c r="Q10" i="14"/>
  <c r="I7" i="14"/>
  <c r="AO3" i="14"/>
  <c r="L39" i="14"/>
  <c r="T32" i="14"/>
  <c r="D26" i="14"/>
  <c r="T18" i="14"/>
  <c r="D12" i="14"/>
  <c r="T8" i="14"/>
  <c r="L5" i="14"/>
  <c r="AQ41" i="14"/>
  <c r="AI38" i="14"/>
  <c r="AA31" i="14"/>
  <c r="AA23" i="14"/>
  <c r="AA15" i="14"/>
  <c r="AA7" i="14"/>
  <c r="AD39" i="14"/>
  <c r="N32" i="14"/>
  <c r="F25" i="14"/>
  <c r="V18" i="14"/>
  <c r="AD13" i="14"/>
  <c r="V10" i="14"/>
  <c r="N7" i="14"/>
  <c r="F4" i="14"/>
  <c r="AK40" i="14"/>
  <c r="U37" i="14"/>
  <c r="M34" i="14"/>
  <c r="E31" i="14"/>
  <c r="AK27" i="14"/>
  <c r="AC24" i="14"/>
  <c r="U21" i="14"/>
  <c r="M18" i="14"/>
  <c r="E15" i="14"/>
  <c r="AK11" i="14"/>
  <c r="AC8" i="14"/>
  <c r="U5" i="14"/>
  <c r="M2" i="14"/>
  <c r="N14" i="14"/>
  <c r="F11" i="14"/>
  <c r="AL7" i="14"/>
  <c r="AD4" i="14"/>
  <c r="U41" i="14"/>
  <c r="E38" i="14"/>
  <c r="AK34" i="14"/>
  <c r="AC31" i="14"/>
  <c r="U28" i="14"/>
  <c r="AC25" i="14"/>
  <c r="E24" i="14"/>
  <c r="U22" i="14"/>
  <c r="AK20" i="14"/>
  <c r="M19" i="14"/>
  <c r="AC17" i="14"/>
  <c r="E16" i="14"/>
  <c r="U14" i="14"/>
  <c r="AK12" i="14"/>
  <c r="M11" i="14"/>
  <c r="AC9" i="14"/>
  <c r="E8" i="14"/>
  <c r="U6" i="14"/>
  <c r="AK4" i="14"/>
  <c r="M3" i="14"/>
  <c r="D41" i="14"/>
  <c r="AJ16" i="14"/>
  <c r="AA21" i="14"/>
  <c r="AQ9" i="14"/>
  <c r="N39" i="14"/>
  <c r="N15" i="14"/>
  <c r="AN35" i="14"/>
  <c r="X29" i="14"/>
  <c r="H23" i="14"/>
  <c r="AF16" i="14"/>
  <c r="P10" i="14"/>
  <c r="AN3" i="14"/>
  <c r="W37" i="14"/>
  <c r="G31" i="14"/>
  <c r="AE24" i="14"/>
  <c r="O18" i="14"/>
  <c r="AM11" i="14"/>
  <c r="W5" i="14"/>
  <c r="J39" i="14"/>
  <c r="AH32" i="14"/>
  <c r="J27" i="14"/>
  <c r="AP23" i="14"/>
  <c r="AH20" i="14"/>
  <c r="Z17" i="14"/>
  <c r="R14" i="14"/>
  <c r="J11" i="14"/>
  <c r="AP7" i="14"/>
  <c r="AH4" i="14"/>
  <c r="Y41" i="14"/>
  <c r="Q38" i="14"/>
  <c r="I35" i="14"/>
  <c r="AO31" i="14"/>
  <c r="AG28" i="14"/>
  <c r="Y25" i="14"/>
  <c r="Q22" i="14"/>
  <c r="I19" i="14"/>
  <c r="AO15" i="14"/>
  <c r="AG12" i="14"/>
  <c r="Y9" i="14"/>
  <c r="Q6" i="14"/>
  <c r="I3" i="14"/>
  <c r="AB37" i="14"/>
  <c r="AJ30" i="14"/>
  <c r="T24" i="14"/>
  <c r="D17" i="14"/>
  <c r="D11" i="14"/>
  <c r="AB7" i="14"/>
  <c r="T4" i="14"/>
  <c r="K41" i="14"/>
  <c r="AQ36" i="14"/>
  <c r="AI29" i="14"/>
  <c r="AI21" i="14"/>
  <c r="AA13" i="14"/>
  <c r="AI5" i="14"/>
  <c r="AL37" i="14"/>
  <c r="V30" i="14"/>
  <c r="F23" i="14"/>
  <c r="AL12" i="14"/>
  <c r="AD9" i="14"/>
  <c r="V6" i="14"/>
  <c r="N3" i="14"/>
  <c r="E40" i="14"/>
  <c r="AC36" i="14"/>
  <c r="U33" i="14"/>
  <c r="M30" i="14"/>
  <c r="E27" i="14"/>
  <c r="AK23" i="14"/>
  <c r="AC20" i="14"/>
  <c r="U17" i="14"/>
  <c r="M14" i="14"/>
  <c r="AD27" i="14"/>
  <c r="AB34" i="14"/>
  <c r="K38" i="14"/>
  <c r="AI17" i="14"/>
  <c r="AQ6" i="14"/>
  <c r="F36" i="14"/>
  <c r="AL24" i="14"/>
  <c r="AF40" i="14"/>
  <c r="P34" i="14"/>
  <c r="AN27" i="14"/>
  <c r="X21" i="14"/>
  <c r="H15" i="14"/>
  <c r="AF8" i="14"/>
  <c r="P2" i="14"/>
  <c r="AM35" i="14"/>
  <c r="W29" i="14"/>
  <c r="G23" i="14"/>
  <c r="AE16" i="14"/>
  <c r="O10" i="14"/>
  <c r="AM3" i="14"/>
  <c r="Z37" i="14"/>
  <c r="J31" i="14"/>
  <c r="R26" i="14"/>
  <c r="J23" i="14"/>
  <c r="AP19" i="14"/>
  <c r="AH16" i="14"/>
  <c r="Z13" i="14"/>
  <c r="R10" i="14"/>
  <c r="J7" i="14"/>
  <c r="AP3" i="14"/>
  <c r="AG40" i="14"/>
  <c r="Y37" i="14"/>
  <c r="Q34" i="14"/>
  <c r="I31" i="14"/>
  <c r="AO27" i="14"/>
  <c r="AG24" i="14"/>
  <c r="Y21" i="14"/>
  <c r="Q18" i="14"/>
  <c r="I15" i="14"/>
  <c r="AO11" i="14"/>
  <c r="AG8" i="14"/>
  <c r="Y5" i="14"/>
  <c r="Q2" i="14"/>
  <c r="L36" i="14"/>
  <c r="L29" i="14"/>
  <c r="T22" i="14"/>
  <c r="L15" i="14"/>
  <c r="L10" i="14"/>
  <c r="AJ6" i="14"/>
  <c r="AB3" i="14"/>
  <c r="S40" i="14"/>
  <c r="AQ34" i="14"/>
  <c r="AQ27" i="14"/>
  <c r="AI19" i="14"/>
  <c r="S11" i="14"/>
  <c r="AA3" i="14"/>
  <c r="N36" i="14"/>
  <c r="AD28" i="14"/>
  <c r="AD21" i="14"/>
  <c r="V15" i="14"/>
  <c r="F12" i="14"/>
  <c r="AL8" i="14"/>
  <c r="AD5" i="14"/>
  <c r="V2" i="14"/>
  <c r="M39" i="14"/>
  <c r="AK35" i="14"/>
  <c r="AC32" i="14"/>
  <c r="U29" i="14"/>
  <c r="M26" i="14"/>
  <c r="E23" i="14"/>
  <c r="AK19" i="14"/>
  <c r="AC16" i="14"/>
  <c r="U13" i="14"/>
  <c r="M10" i="14"/>
  <c r="E7" i="14"/>
  <c r="AK3" i="14"/>
  <c r="F16" i="14"/>
  <c r="AD12" i="14"/>
  <c r="V9" i="14"/>
  <c r="N6" i="14"/>
  <c r="F3" i="14"/>
  <c r="AK39" i="14"/>
  <c r="U36" i="14"/>
  <c r="M33" i="14"/>
  <c r="E30" i="14"/>
  <c r="AK26" i="14"/>
  <c r="AK24" i="14"/>
  <c r="M23" i="14"/>
  <c r="AC21" i="14"/>
  <c r="E20" i="14"/>
  <c r="U18" i="14"/>
  <c r="AK16" i="14"/>
  <c r="M15" i="14"/>
  <c r="AC13" i="14"/>
  <c r="E12" i="14"/>
  <c r="U10" i="14"/>
  <c r="AK8" i="14"/>
  <c r="M7" i="14"/>
  <c r="AC5" i="14"/>
  <c r="E4" i="14"/>
  <c r="U2" i="14"/>
  <c r="T28" i="14"/>
  <c r="S32" i="14"/>
  <c r="AQ14" i="14"/>
  <c r="S4" i="14"/>
  <c r="V33" i="14"/>
  <c r="H39" i="14"/>
  <c r="AF32" i="14"/>
  <c r="P26" i="14"/>
  <c r="AN19" i="14"/>
  <c r="X13" i="14"/>
  <c r="H7" i="14"/>
  <c r="AE40" i="14"/>
  <c r="O34" i="14"/>
  <c r="AM27" i="14"/>
  <c r="W21" i="14"/>
  <c r="G15" i="14"/>
  <c r="AE8" i="14"/>
  <c r="O2" i="14"/>
  <c r="AP35" i="14"/>
  <c r="Z29" i="14"/>
  <c r="Z25" i="14"/>
  <c r="R22" i="14"/>
  <c r="J19" i="14"/>
  <c r="AP15" i="14"/>
  <c r="AH12" i="14"/>
  <c r="Z9" i="14"/>
  <c r="R6" i="14"/>
  <c r="J3" i="14"/>
  <c r="AO39" i="14"/>
  <c r="AG36" i="14"/>
  <c r="Y33" i="14"/>
  <c r="Q30" i="14"/>
  <c r="I27" i="14"/>
  <c r="AO23" i="14"/>
  <c r="AG20" i="14"/>
  <c r="Y17" i="14"/>
  <c r="Q14" i="14"/>
  <c r="I11" i="14"/>
  <c r="AO7" i="14"/>
  <c r="AG4" i="14"/>
  <c r="AJ40" i="14"/>
  <c r="T34" i="14"/>
  <c r="AJ27" i="14"/>
  <c r="T20" i="14"/>
  <c r="T13" i="14"/>
  <c r="L9" i="14"/>
  <c r="D6" i="14"/>
  <c r="AJ2" i="14"/>
  <c r="AA39" i="14"/>
  <c r="S33" i="14"/>
  <c r="AQ25" i="14"/>
  <c r="S17" i="14"/>
  <c r="S9" i="14"/>
  <c r="AD41" i="14"/>
  <c r="V34" i="14"/>
  <c r="F27" i="14"/>
  <c r="F20" i="14"/>
  <c r="V14" i="14"/>
  <c r="N11" i="14"/>
  <c r="F8" i="14"/>
  <c r="AC41" i="14"/>
  <c r="M38" i="14"/>
  <c r="E35" i="14"/>
  <c r="AK31" i="14"/>
  <c r="AC28" i="14"/>
  <c r="U25" i="14"/>
  <c r="M22" i="14"/>
  <c r="E19" i="14"/>
  <c r="AK15" i="14"/>
  <c r="AC12" i="14"/>
  <c r="N16" i="14"/>
  <c r="AK7" i="14"/>
  <c r="AL17" i="14"/>
  <c r="N10" i="14"/>
  <c r="AL3" i="14"/>
  <c r="M37" i="14"/>
  <c r="AK30" i="14"/>
  <c r="M25" i="14"/>
  <c r="E22" i="14"/>
  <c r="AK18" i="14"/>
  <c r="AC15" i="14"/>
  <c r="U12" i="14"/>
  <c r="M9" i="14"/>
  <c r="E6" i="14"/>
  <c r="AK2" i="14"/>
  <c r="AL4" i="14"/>
  <c r="M6" i="14"/>
  <c r="F15" i="14"/>
  <c r="AD8" i="14"/>
  <c r="N2" i="14"/>
  <c r="AC35" i="14"/>
  <c r="M29" i="14"/>
  <c r="U24" i="14"/>
  <c r="M21" i="14"/>
  <c r="E18" i="14"/>
  <c r="AK14" i="14"/>
  <c r="AC11" i="14"/>
  <c r="U8" i="14"/>
  <c r="M5" i="14"/>
  <c r="E2" i="14"/>
  <c r="E11" i="14"/>
  <c r="AC4" i="14"/>
  <c r="V13" i="14"/>
  <c r="F7" i="14"/>
  <c r="AC40" i="14"/>
  <c r="E34" i="14"/>
  <c r="AC27" i="14"/>
  <c r="AC23" i="14"/>
  <c r="U20" i="14"/>
  <c r="M17" i="14"/>
  <c r="E14" i="14"/>
  <c r="AK10" i="14"/>
  <c r="AC7" i="14"/>
  <c r="U4" i="14"/>
  <c r="U9" i="14"/>
  <c r="E3" i="14"/>
  <c r="AL11" i="14"/>
  <c r="V5" i="14"/>
  <c r="E39" i="14"/>
  <c r="U32" i="14"/>
  <c r="E26" i="14"/>
  <c r="AK22" i="14"/>
  <c r="AC19" i="14"/>
  <c r="U16" i="14"/>
  <c r="M13" i="14"/>
  <c r="E10" i="14"/>
  <c r="AK6" i="14"/>
  <c r="AC3" i="14"/>
  <c r="BV90" i="13"/>
  <c r="BU86" i="13"/>
  <c r="BU88" i="13"/>
  <c r="BU107" i="13"/>
  <c r="BU87" i="13"/>
  <c r="BU108" i="13"/>
  <c r="BV85" i="13"/>
  <c r="BV80" i="13"/>
  <c r="BU85" i="13"/>
  <c r="BU81" i="13"/>
  <c r="BU84" i="13"/>
  <c r="BU105" i="13"/>
  <c r="BU82" i="13"/>
  <c r="BV83" i="13"/>
  <c r="BV81" i="13"/>
  <c r="BU109" i="13"/>
  <c r="BU106" i="13"/>
  <c r="BV105" i="13"/>
  <c r="BV106" i="13"/>
  <c r="AD6" i="13"/>
  <c r="AD85" i="13"/>
  <c r="AD80" i="13"/>
  <c r="AD97" i="13"/>
  <c r="AD69" i="13"/>
  <c r="AD81" i="13"/>
  <c r="AD71" i="13"/>
  <c r="AD73" i="13"/>
  <c r="AD98" i="13"/>
  <c r="AD101" i="13"/>
  <c r="AD102" i="13"/>
  <c r="AD84" i="13"/>
  <c r="AD83" i="13"/>
  <c r="AD68" i="13"/>
  <c r="AD72" i="13"/>
  <c r="AD103" i="13"/>
  <c r="AD100" i="13"/>
  <c r="AD94" i="13"/>
  <c r="AD92" i="13"/>
  <c r="AD60" i="13"/>
  <c r="AD86" i="13"/>
  <c r="AD108" i="13"/>
  <c r="AD96" i="13"/>
  <c r="AD93" i="13"/>
  <c r="AD121" i="13"/>
  <c r="AD56" i="13"/>
  <c r="AD61" i="13"/>
  <c r="AD116" i="13"/>
  <c r="AD27" i="13"/>
  <c r="AD20" i="13"/>
  <c r="AD58" i="13"/>
  <c r="AD57" i="13"/>
  <c r="AD63" i="13"/>
  <c r="AD117" i="13"/>
  <c r="AD29" i="13"/>
  <c r="AD31" i="13"/>
  <c r="AD21" i="13"/>
  <c r="AD67" i="13"/>
  <c r="AD66" i="13"/>
  <c r="AD87" i="13"/>
  <c r="AD90" i="13"/>
  <c r="AD107" i="13"/>
  <c r="AD4" i="13"/>
  <c r="AD89" i="13"/>
  <c r="AD88" i="13"/>
  <c r="AD106" i="13"/>
  <c r="AD2" i="13"/>
  <c r="AD52" i="13"/>
  <c r="AD3" i="13"/>
  <c r="AD5" i="13"/>
  <c r="AD118" i="13"/>
  <c r="AD119" i="13"/>
  <c r="AD23" i="13"/>
  <c r="AD50" i="13"/>
  <c r="AD54" i="13"/>
  <c r="AD25" i="13"/>
  <c r="AD22" i="13"/>
  <c r="AD51" i="13"/>
  <c r="AD53" i="13"/>
  <c r="AD26" i="13"/>
  <c r="AD28" i="13"/>
  <c r="AD109" i="13"/>
  <c r="AD105" i="13"/>
  <c r="AD65" i="13"/>
  <c r="AD64" i="13"/>
  <c r="AD37" i="13"/>
  <c r="AD18" i="13"/>
  <c r="AD15" i="13"/>
  <c r="AD19" i="13"/>
  <c r="AD34" i="13"/>
  <c r="AD36" i="13"/>
  <c r="AD17" i="13"/>
  <c r="AD14" i="13"/>
  <c r="AD33" i="13"/>
  <c r="AD32" i="13"/>
  <c r="AD78" i="13"/>
  <c r="AD79" i="13"/>
  <c r="AD46" i="13"/>
  <c r="AD49" i="13"/>
  <c r="AD75" i="13"/>
  <c r="AD76" i="13"/>
  <c r="AD77" i="13"/>
  <c r="AD41" i="13"/>
  <c r="AD45" i="13"/>
  <c r="AD48" i="13"/>
  <c r="AD47" i="13"/>
  <c r="AD42" i="13"/>
  <c r="AD39" i="13"/>
  <c r="AD43" i="13"/>
  <c r="AD40" i="13"/>
  <c r="AD115" i="13"/>
  <c r="AD113" i="13"/>
  <c r="AD110" i="13"/>
  <c r="AD112" i="13"/>
  <c r="AD111" i="13"/>
  <c r="E37" i="1" a="1"/>
  <c r="E40" i="1" s="1"/>
  <c r="J40" i="1" s="1"/>
  <c r="AD12" i="13"/>
  <c r="AD8" i="13"/>
  <c r="AD9" i="13"/>
  <c r="AD11" i="13"/>
  <c r="AD10" i="13"/>
  <c r="AD13" i="13"/>
  <c r="E39" i="1" l="1"/>
  <c r="J39" i="1" s="1"/>
  <c r="E38" i="1"/>
  <c r="J38" i="1" s="1"/>
  <c r="E41" i="1"/>
  <c r="J41" i="1" s="1"/>
  <c r="E42" i="1"/>
  <c r="J42" i="1" s="1"/>
  <c r="E37" i="1"/>
  <c r="J37" i="1" s="1"/>
  <c r="C2" i="14" a="1"/>
  <c r="C3" i="14" l="1"/>
  <c r="C14" i="14"/>
  <c r="C13" i="14"/>
  <c r="C6" i="14"/>
  <c r="C26" i="14"/>
  <c r="C23" i="14"/>
  <c r="C16" i="14"/>
  <c r="C15" i="14"/>
  <c r="C8" i="14"/>
  <c r="C35" i="14"/>
  <c r="C10" i="14"/>
  <c r="C28" i="14"/>
  <c r="C7" i="14"/>
  <c r="C25" i="14"/>
  <c r="C27" i="14"/>
  <c r="C2" i="14"/>
  <c r="C20" i="14"/>
  <c r="C38" i="14"/>
  <c r="C17" i="14"/>
  <c r="C19" i="14"/>
  <c r="C37" i="14"/>
  <c r="C12" i="14"/>
  <c r="C30" i="14"/>
  <c r="C9" i="14"/>
  <c r="C11" i="14"/>
  <c r="C29" i="14"/>
  <c r="C4" i="14"/>
  <c r="C22" i="14"/>
  <c r="C40" i="14"/>
  <c r="C21" i="14"/>
  <c r="C39" i="14"/>
  <c r="C32" i="14"/>
  <c r="C34" i="14"/>
  <c r="C31" i="14"/>
  <c r="C24" i="14"/>
  <c r="C5" i="14"/>
  <c r="C41" i="14"/>
  <c r="C18" i="14"/>
  <c r="C36" i="14"/>
  <c r="C33" i="14"/>
  <c r="BC12" i="14"/>
  <c r="BD13" i="14"/>
  <c r="BB11" i="14"/>
  <c r="AZ9" i="14"/>
  <c r="AY8" i="14"/>
  <c r="BA10" i="14"/>
  <c r="AX7" i="14"/>
  <c r="AW6" i="14"/>
  <c r="AV5" i="14"/>
  <c r="AT3" i="14"/>
  <c r="AU4" i="14"/>
  <c r="AS2" i="14"/>
  <c r="N3" i="4" l="1"/>
  <c r="BS2" i="13"/>
  <c r="BS3" i="13"/>
  <c r="O3" i="4"/>
  <c r="B2" i="14" a="1"/>
  <c r="B38" i="14" l="1"/>
  <c r="M38" i="15" s="1"/>
  <c r="B34" i="14"/>
  <c r="M34" i="15" s="1"/>
  <c r="B30" i="14"/>
  <c r="M30" i="15" s="1"/>
  <c r="B26" i="14"/>
  <c r="M26" i="15" s="1"/>
  <c r="B22" i="14"/>
  <c r="M22" i="15" s="1"/>
  <c r="B18" i="14"/>
  <c r="M18" i="15" s="1"/>
  <c r="B14" i="14"/>
  <c r="M14" i="15" s="1"/>
  <c r="B10" i="14"/>
  <c r="B6" i="14"/>
  <c r="B2" i="14"/>
  <c r="B39" i="14"/>
  <c r="M39" i="15" s="1"/>
  <c r="B35" i="14"/>
  <c r="M35" i="15" s="1"/>
  <c r="B31" i="14"/>
  <c r="M31" i="15" s="1"/>
  <c r="B27" i="14"/>
  <c r="M27" i="15" s="1"/>
  <c r="B23" i="14"/>
  <c r="M23" i="15" s="1"/>
  <c r="B19" i="14"/>
  <c r="M19" i="15" s="1"/>
  <c r="B15" i="14"/>
  <c r="M15" i="15" s="1"/>
  <c r="B11" i="14"/>
  <c r="M11" i="15" s="1"/>
  <c r="B7" i="14"/>
  <c r="B3" i="14"/>
  <c r="B40" i="14"/>
  <c r="M40" i="15" s="1"/>
  <c r="B36" i="14"/>
  <c r="M36" i="15" s="1"/>
  <c r="B32" i="14"/>
  <c r="M32" i="15" s="1"/>
  <c r="B28" i="14"/>
  <c r="M28" i="15" s="1"/>
  <c r="B24" i="14"/>
  <c r="M24" i="15" s="1"/>
  <c r="B20" i="14"/>
  <c r="M20" i="15" s="1"/>
  <c r="B16" i="14"/>
  <c r="M16" i="15" s="1"/>
  <c r="B12" i="14"/>
  <c r="M12" i="15" s="1"/>
  <c r="B8" i="14"/>
  <c r="B4" i="14"/>
  <c r="B41" i="14"/>
  <c r="M41" i="15" s="1"/>
  <c r="B37" i="14"/>
  <c r="M37" i="15" s="1"/>
  <c r="B33" i="14"/>
  <c r="M33" i="15" s="1"/>
  <c r="B29" i="14"/>
  <c r="M29" i="15" s="1"/>
  <c r="B25" i="14"/>
  <c r="M25" i="15" s="1"/>
  <c r="B21" i="14"/>
  <c r="M21" i="15" s="1"/>
  <c r="B17" i="14"/>
  <c r="M17" i="15" s="1"/>
  <c r="B13" i="14"/>
  <c r="M13" i="15" s="1"/>
  <c r="B9" i="14"/>
  <c r="B5" i="14"/>
  <c r="P6" i="4"/>
  <c r="BS19" i="13"/>
  <c r="BS17" i="13"/>
  <c r="N6" i="4"/>
  <c r="BS18" i="13"/>
  <c r="O6" i="4"/>
  <c r="O7" i="4"/>
  <c r="N7" i="4"/>
  <c r="E47" i="1"/>
  <c r="BS16" i="13"/>
  <c r="N5" i="4"/>
  <c r="O5" i="4"/>
  <c r="BS12" i="13"/>
  <c r="P7" i="4"/>
  <c r="E46" i="1"/>
  <c r="BS14" i="13"/>
  <c r="BS11" i="13"/>
  <c r="BS15" i="13"/>
  <c r="BS13" i="13"/>
  <c r="BS8" i="13"/>
  <c r="BS10" i="13"/>
  <c r="BS9" i="13"/>
  <c r="P5" i="4"/>
  <c r="N4" i="4"/>
  <c r="BS5" i="13"/>
  <c r="E49" i="1"/>
  <c r="O4" i="4"/>
  <c r="E48" i="1"/>
  <c r="BS6" i="13"/>
  <c r="BS4" i="13"/>
  <c r="P4" i="4"/>
  <c r="P3" i="4"/>
  <c r="E51" i="1"/>
  <c r="E50" i="1"/>
  <c r="BS7" i="13"/>
  <c r="BT14" i="13" l="1" a="1"/>
  <c r="F46" i="1" a="1"/>
  <c r="BT2" i="13" a="1"/>
  <c r="BT8" i="13" a="1"/>
  <c r="M9" i="15"/>
  <c r="M8" i="15"/>
  <c r="M6" i="15"/>
  <c r="M5" i="15"/>
  <c r="M4" i="15"/>
  <c r="M3" i="15"/>
  <c r="M2" i="15"/>
  <c r="M10" i="15"/>
  <c r="M7" i="15"/>
  <c r="BT11" i="13" l="1"/>
  <c r="BT10" i="13"/>
  <c r="BT12" i="13"/>
  <c r="BT8" i="13"/>
  <c r="BT9" i="13"/>
  <c r="BT13" i="13"/>
  <c r="F48" i="1"/>
  <c r="F50" i="1"/>
  <c r="F49" i="1"/>
  <c r="F51" i="1"/>
  <c r="F46" i="1"/>
  <c r="F47" i="1"/>
  <c r="BT2" i="13"/>
  <c r="BT5" i="13"/>
  <c r="BT3" i="13"/>
  <c r="BT7" i="13"/>
  <c r="BT4" i="13"/>
  <c r="BT6" i="13"/>
  <c r="BT14" i="13"/>
  <c r="BT16" i="13"/>
  <c r="BT15" i="13"/>
  <c r="BT18" i="13"/>
  <c r="BT19" i="13"/>
  <c r="BT17" i="13"/>
  <c r="H46" i="1" l="1" a="1"/>
  <c r="H47" i="1" s="1"/>
  <c r="BZ14" i="13"/>
  <c r="BU14" i="13" a="1"/>
  <c r="BU2" i="13" a="1"/>
  <c r="CH8" i="13"/>
  <c r="CF8" i="13"/>
  <c r="CB8" i="13"/>
  <c r="BV8" i="13" a="1"/>
  <c r="CC8" i="13"/>
  <c r="CD8" i="13"/>
  <c r="CG8" i="13"/>
  <c r="CA8" i="13"/>
  <c r="BV11" i="13" a="1"/>
  <c r="BY8" i="13"/>
  <c r="CE8" i="13"/>
  <c r="BX8" i="13"/>
  <c r="BZ8" i="13"/>
  <c r="BU8" i="13" a="1"/>
  <c r="CD14" i="13"/>
  <c r="CC14" i="13"/>
  <c r="CE14" i="13"/>
  <c r="BX14" i="13"/>
  <c r="CF14" i="13"/>
  <c r="BV17" i="13" a="1"/>
  <c r="CB14" i="13"/>
  <c r="CH14" i="13"/>
  <c r="BY14" i="13"/>
  <c r="CG14" i="13"/>
  <c r="CA14" i="13"/>
  <c r="BV14" i="13" a="1"/>
  <c r="CB2" i="13"/>
  <c r="BV2" i="13" a="1"/>
  <c r="BZ2" i="13"/>
  <c r="BX2" i="13"/>
  <c r="CE2" i="13"/>
  <c r="CD2" i="13"/>
  <c r="CF2" i="13"/>
  <c r="CG2" i="13"/>
  <c r="CA2" i="13"/>
  <c r="BY2" i="13"/>
  <c r="BV5" i="13" a="1"/>
  <c r="CC2" i="13"/>
  <c r="CH2" i="13"/>
  <c r="H48" i="1" l="1"/>
  <c r="H50" i="1"/>
  <c r="H49" i="1"/>
  <c r="H51" i="1"/>
  <c r="H46" i="1"/>
  <c r="BV3" i="13"/>
  <c r="BV2" i="13"/>
  <c r="BV4" i="13"/>
  <c r="BV16" i="13"/>
  <c r="BV14" i="13"/>
  <c r="BV15" i="13"/>
  <c r="BV18" i="13"/>
  <c r="BV17" i="13"/>
  <c r="BV19" i="13"/>
  <c r="BU10" i="13"/>
  <c r="BU11" i="13"/>
  <c r="BU12" i="13"/>
  <c r="BU9" i="13"/>
  <c r="BU8" i="13"/>
  <c r="BU13" i="13"/>
  <c r="BV9" i="13"/>
  <c r="BV8" i="13"/>
  <c r="BV10" i="13"/>
  <c r="BU7" i="13"/>
  <c r="BU3" i="13"/>
  <c r="BU6" i="13"/>
  <c r="BU5" i="13"/>
  <c r="BU2" i="13"/>
  <c r="BU4" i="13"/>
  <c r="BV7" i="13"/>
  <c r="BV6" i="13"/>
  <c r="BV5" i="13"/>
  <c r="BV13" i="13"/>
  <c r="BV11" i="13"/>
  <c r="BV12" i="13"/>
  <c r="DK9" i="13" s="1"/>
  <c r="BU19" i="13"/>
  <c r="BU16" i="13"/>
  <c r="BU14" i="13"/>
  <c r="BU15" i="13"/>
  <c r="BU18" i="13"/>
  <c r="BU17" i="13"/>
  <c r="N6" i="16"/>
  <c r="DK10" i="13" l="1" a="1"/>
  <c r="CR9" i="13"/>
  <c r="CB9" i="13"/>
  <c r="CB10" i="13" s="1" a="1"/>
  <c r="CG9" i="13"/>
  <c r="CG10" i="13" s="1" a="1"/>
  <c r="CU9" i="13"/>
  <c r="CD9" i="13"/>
  <c r="CD10" i="13" s="1" a="1"/>
  <c r="CN9" i="13"/>
  <c r="CC9" i="13"/>
  <c r="CC10" i="13" s="1" a="1"/>
  <c r="CQ9" i="13"/>
  <c r="BZ9" i="13"/>
  <c r="BZ10" i="13" s="1" a="1"/>
  <c r="CP9" i="13"/>
  <c r="CX9" i="13"/>
  <c r="BY9" i="13"/>
  <c r="BY10" i="13" s="1" a="1"/>
  <c r="CT9" i="13"/>
  <c r="CO9" i="13"/>
  <c r="CH9" i="13"/>
  <c r="CH10" i="13" s="1" a="1"/>
  <c r="CF9" i="13"/>
  <c r="CF10" i="13" s="1" a="1"/>
  <c r="CS9" i="13"/>
  <c r="CV9" i="13"/>
  <c r="CA9" i="13"/>
  <c r="CA10" i="13" s="1" a="1"/>
  <c r="BX9" i="13"/>
  <c r="BX10" i="13" s="1" a="1"/>
  <c r="CW9" i="13"/>
  <c r="CE9" i="13"/>
  <c r="CE10" i="13" s="1" a="1"/>
  <c r="DM9" i="13"/>
  <c r="DO9" i="13"/>
  <c r="DH9" i="13"/>
  <c r="DI9" i="13"/>
  <c r="DQ9" i="13"/>
  <c r="DG9" i="13"/>
  <c r="DL9" i="13"/>
  <c r="DJ9" i="13"/>
  <c r="DP9" i="13"/>
  <c r="DN9" i="13"/>
  <c r="DL15" i="13"/>
  <c r="DJ15" i="13"/>
  <c r="DP15" i="13"/>
  <c r="DO15" i="13"/>
  <c r="DK15" i="13"/>
  <c r="DG15" i="13"/>
  <c r="DM15" i="13"/>
  <c r="DN15" i="13"/>
  <c r="DH15" i="13"/>
  <c r="DQ15" i="13"/>
  <c r="DI15" i="13"/>
  <c r="CF15" i="13"/>
  <c r="CF16" i="13" s="1" a="1"/>
  <c r="CA15" i="13"/>
  <c r="CA16" i="13" s="1" a="1"/>
  <c r="CO15" i="13"/>
  <c r="CG15" i="13"/>
  <c r="CG16" i="13" s="1" a="1"/>
  <c r="BX15" i="13"/>
  <c r="BX16" i="13" s="1" a="1"/>
  <c r="CD15" i="13"/>
  <c r="CD16" i="13" s="1" a="1"/>
  <c r="CP15" i="13"/>
  <c r="CV15" i="13"/>
  <c r="CH15" i="13"/>
  <c r="CH16" i="13" s="1" a="1"/>
  <c r="CN15" i="13"/>
  <c r="CS15" i="13"/>
  <c r="CW15" i="13"/>
  <c r="CR15" i="13"/>
  <c r="CU15" i="13"/>
  <c r="CT15" i="13"/>
  <c r="CX15" i="13"/>
  <c r="CQ15" i="13"/>
  <c r="BY15" i="13"/>
  <c r="BY16" i="13" s="1" a="1"/>
  <c r="CC15" i="13"/>
  <c r="CC16" i="13" s="1" a="1"/>
  <c r="CE15" i="13"/>
  <c r="CE16" i="13" s="1" a="1"/>
  <c r="CB15" i="13"/>
  <c r="CB16" i="13" s="1" a="1"/>
  <c r="BZ15" i="13"/>
  <c r="BZ16" i="13" s="1" a="1"/>
  <c r="EH3" i="13"/>
  <c r="EG3" i="13"/>
  <c r="EB3" i="13"/>
  <c r="EF3" i="13"/>
  <c r="EE3" i="13"/>
  <c r="DZ3" i="13"/>
  <c r="ED3" i="13"/>
  <c r="EC3" i="13"/>
  <c r="EJ3" i="13"/>
  <c r="EA3" i="13"/>
  <c r="EI3" i="13"/>
  <c r="EG9" i="13"/>
  <c r="EI9" i="13"/>
  <c r="EC9" i="13"/>
  <c r="EB9" i="13"/>
  <c r="EH9" i="13"/>
  <c r="DZ9" i="13"/>
  <c r="EJ9" i="13"/>
  <c r="ED9" i="13"/>
  <c r="EE9" i="13"/>
  <c r="EA9" i="13"/>
  <c r="EF9" i="13"/>
  <c r="EA15" i="13"/>
  <c r="ED15" i="13"/>
  <c r="EH15" i="13"/>
  <c r="EE15" i="13"/>
  <c r="EG15" i="13"/>
  <c r="EF15" i="13"/>
  <c r="DZ15" i="13"/>
  <c r="EC15" i="13"/>
  <c r="EI15" i="13"/>
  <c r="EB15" i="13"/>
  <c r="EJ15" i="13"/>
  <c r="CF3" i="13"/>
  <c r="CF4" i="13" s="1" a="1"/>
  <c r="CB3" i="13"/>
  <c r="CB4" i="13" s="1" a="1"/>
  <c r="CU3" i="13"/>
  <c r="CS3" i="13"/>
  <c r="BX3" i="13"/>
  <c r="BX4" i="13" s="1" a="1"/>
  <c r="CH3" i="13"/>
  <c r="CH4" i="13" s="1" a="1"/>
  <c r="CT3" i="13"/>
  <c r="CO3" i="13"/>
  <c r="CE3" i="13"/>
  <c r="CE4" i="13" s="1" a="1"/>
  <c r="CW3" i="13"/>
  <c r="CN3" i="13"/>
  <c r="CP3" i="13"/>
  <c r="CX3" i="13"/>
  <c r="CA3" i="13"/>
  <c r="CA4" i="13" s="1" a="1"/>
  <c r="CV3" i="13"/>
  <c r="CD3" i="13"/>
  <c r="CD4" i="13" s="1" a="1"/>
  <c r="CR3" i="13"/>
  <c r="CQ3" i="13"/>
  <c r="BZ3" i="13"/>
  <c r="BZ4" i="13" s="1" a="1"/>
  <c r="CG3" i="13"/>
  <c r="CG4" i="13" s="1" a="1"/>
  <c r="CC3" i="13"/>
  <c r="CC4" i="13" s="1" a="1"/>
  <c r="BY3" i="13"/>
  <c r="BY4" i="13" s="1" a="1"/>
  <c r="DP3" i="13"/>
  <c r="DK3" i="13"/>
  <c r="DJ3" i="13"/>
  <c r="DQ3" i="13"/>
  <c r="DN3" i="13"/>
  <c r="DL3" i="13"/>
  <c r="DH3" i="13"/>
  <c r="DO3" i="13"/>
  <c r="DG3" i="13"/>
  <c r="DI3" i="13"/>
  <c r="DM3" i="13"/>
  <c r="R7" i="16"/>
  <c r="Q7" i="16"/>
  <c r="K7" i="8"/>
  <c r="O7" i="8"/>
  <c r="P7" i="8"/>
  <c r="R7" i="19"/>
  <c r="J7" i="19"/>
  <c r="T7" i="19"/>
  <c r="S7" i="16"/>
  <c r="P7" i="16"/>
  <c r="L7" i="16"/>
  <c r="J7" i="8"/>
  <c r="Q7" i="8"/>
  <c r="O7" i="19"/>
  <c r="M7" i="19"/>
  <c r="M7" i="16"/>
  <c r="J7" i="16"/>
  <c r="T7" i="16"/>
  <c r="L7" i="8"/>
  <c r="N7" i="8"/>
  <c r="M7" i="8"/>
  <c r="K7" i="19"/>
  <c r="Q7" i="19"/>
  <c r="S7" i="19"/>
  <c r="O7" i="16"/>
  <c r="N7" i="16"/>
  <c r="K7" i="16"/>
  <c r="R7" i="8"/>
  <c r="S7" i="8"/>
  <c r="T7" i="8"/>
  <c r="N7" i="19"/>
  <c r="P7" i="19"/>
  <c r="L7" i="19"/>
  <c r="J6" i="16"/>
  <c r="T6" i="16"/>
  <c r="J6" i="8"/>
  <c r="N6" i="19"/>
  <c r="M6" i="8"/>
  <c r="Q6" i="16"/>
  <c r="K6" i="19"/>
  <c r="T6" i="8"/>
  <c r="S6" i="16"/>
  <c r="P6" i="19"/>
  <c r="L6" i="8"/>
  <c r="P6" i="8"/>
  <c r="O6" i="19"/>
  <c r="R6" i="8"/>
  <c r="S6" i="8"/>
  <c r="M6" i="16"/>
  <c r="O6" i="16"/>
  <c r="K6" i="8"/>
  <c r="O6" i="8"/>
  <c r="N6" i="8"/>
  <c r="R6" i="16"/>
  <c r="S6" i="19"/>
  <c r="P6" i="16"/>
  <c r="M6" i="19"/>
  <c r="L6" i="16"/>
  <c r="L6" i="19"/>
  <c r="K6" i="16"/>
  <c r="Q6" i="19"/>
  <c r="Q6" i="8"/>
  <c r="J6" i="19"/>
  <c r="T6" i="19"/>
  <c r="R6" i="19"/>
  <c r="O5" i="19"/>
  <c r="K5" i="8"/>
  <c r="L5" i="16"/>
  <c r="J5" i="19"/>
  <c r="J5" i="8"/>
  <c r="J5" i="16"/>
  <c r="S5" i="19"/>
  <c r="M5" i="8"/>
  <c r="M5" i="16"/>
  <c r="N5" i="16"/>
  <c r="S5" i="16"/>
  <c r="L5" i="19"/>
  <c r="R5" i="16"/>
  <c r="P5" i="8"/>
  <c r="O5" i="16"/>
  <c r="Q5" i="16"/>
  <c r="N5" i="19"/>
  <c r="S5" i="8"/>
  <c r="M5" i="19"/>
  <c r="T5" i="19"/>
  <c r="L5" i="8"/>
  <c r="K5" i="19"/>
  <c r="R5" i="8"/>
  <c r="N5" i="8"/>
  <c r="T5" i="16"/>
  <c r="K5" i="16"/>
  <c r="P5" i="16"/>
  <c r="O5" i="8"/>
  <c r="P5" i="19"/>
  <c r="R5" i="19"/>
  <c r="Q5" i="19"/>
  <c r="Q5" i="8"/>
  <c r="T5" i="8"/>
  <c r="BY5" i="13" l="1"/>
  <c r="BY4" i="13"/>
  <c r="DM4" i="13" a="1"/>
  <c r="DG4" i="13" a="1"/>
  <c r="DH4" i="13" a="1"/>
  <c r="DN4" i="13" a="1"/>
  <c r="DJ4" i="13" a="1"/>
  <c r="DP4" i="13" a="1"/>
  <c r="CC4" i="13"/>
  <c r="CC5" i="13"/>
  <c r="BZ5" i="13"/>
  <c r="BZ4" i="13"/>
  <c r="CR4" i="13" a="1"/>
  <c r="CV4" i="13" a="1"/>
  <c r="CX4" i="13" a="1"/>
  <c r="CN4" i="13" a="1"/>
  <c r="CE5" i="13"/>
  <c r="CE4" i="13"/>
  <c r="CT4" i="13" a="1"/>
  <c r="BX5" i="13"/>
  <c r="BX4" i="13"/>
  <c r="CU4" i="13" a="1"/>
  <c r="CF5" i="13"/>
  <c r="CF4" i="13"/>
  <c r="EB16" i="13" a="1"/>
  <c r="EC16" i="13" a="1"/>
  <c r="EF16" i="13" a="1"/>
  <c r="EE16" i="13" a="1"/>
  <c r="ED16" i="13" a="1"/>
  <c r="EF10" i="13" a="1"/>
  <c r="EE10" i="13" a="1"/>
  <c r="EJ10" i="13" a="1"/>
  <c r="EH10" i="13" a="1"/>
  <c r="EC10" i="13" a="1"/>
  <c r="EG10" i="13" a="1"/>
  <c r="EA4" i="13" a="1"/>
  <c r="EC4" i="13" a="1"/>
  <c r="DZ4" i="13" a="1"/>
  <c r="EF4" i="13" a="1"/>
  <c r="EG4" i="13" a="1"/>
  <c r="BZ16" i="13"/>
  <c r="BZ17" i="13"/>
  <c r="CE17" i="13"/>
  <c r="CE16" i="13"/>
  <c r="BY17" i="13"/>
  <c r="BY16" i="13"/>
  <c r="CX16" i="13" a="1"/>
  <c r="CU16" i="13" a="1"/>
  <c r="CW16" i="13" a="1"/>
  <c r="CN16" i="13" a="1"/>
  <c r="CV16" i="13" a="1"/>
  <c r="CD17" i="13"/>
  <c r="CD16" i="13"/>
  <c r="CG16" i="13"/>
  <c r="CG17" i="13"/>
  <c r="CA16" i="13"/>
  <c r="CA17" i="13"/>
  <c r="DI16" i="13" a="1"/>
  <c r="DH16" i="13" a="1"/>
  <c r="DM16" i="13" a="1"/>
  <c r="DK16" i="13" a="1"/>
  <c r="DP16" i="13" a="1"/>
  <c r="DL16" i="13" a="1"/>
  <c r="DP10" i="13" a="1"/>
  <c r="DL10" i="13" a="1"/>
  <c r="DQ10" i="13" a="1"/>
  <c r="DH10" i="13" a="1"/>
  <c r="DM10" i="13" a="1"/>
  <c r="CW10" i="13" a="1"/>
  <c r="CA11" i="13"/>
  <c r="CA10" i="13"/>
  <c r="CS10" i="13" a="1"/>
  <c r="CH11" i="13"/>
  <c r="CH10" i="13"/>
  <c r="CT10" i="13" a="1"/>
  <c r="CX10" i="13" a="1"/>
  <c r="BZ11" i="13"/>
  <c r="BZ10" i="13"/>
  <c r="CC11" i="13"/>
  <c r="CC10" i="13"/>
  <c r="CD11" i="13"/>
  <c r="CD10" i="13"/>
  <c r="CG11" i="13"/>
  <c r="CG10" i="13"/>
  <c r="CR10" i="13" a="1"/>
  <c r="DI4" i="13" a="1"/>
  <c r="DO4" i="13" a="1"/>
  <c r="DL4" i="13" a="1"/>
  <c r="DQ4" i="13" a="1"/>
  <c r="DK4" i="13" a="1"/>
  <c r="CG5" i="13"/>
  <c r="CG4" i="13"/>
  <c r="CQ4" i="13" a="1"/>
  <c r="CD5" i="13"/>
  <c r="CD4" i="13"/>
  <c r="CA5" i="13"/>
  <c r="CA4" i="13"/>
  <c r="CP4" i="13" a="1"/>
  <c r="CW4" i="13" a="1"/>
  <c r="CO4" i="13" a="1"/>
  <c r="CH5" i="13"/>
  <c r="CH4" i="13"/>
  <c r="CS4" i="13" a="1"/>
  <c r="CB4" i="13"/>
  <c r="CB5" i="13"/>
  <c r="EJ16" i="13" a="1"/>
  <c r="EI16" i="13" a="1"/>
  <c r="DZ16" i="13" a="1"/>
  <c r="EG16" i="13" a="1"/>
  <c r="EH16" i="13" a="1"/>
  <c r="EA16" i="13" a="1"/>
  <c r="EA10" i="13" a="1"/>
  <c r="ED10" i="13" a="1"/>
  <c r="DZ10" i="13" a="1"/>
  <c r="EB10" i="13" a="1"/>
  <c r="EI10" i="13" a="1"/>
  <c r="EI4" i="13" a="1"/>
  <c r="EJ4" i="13" a="1"/>
  <c r="ED4" i="13" a="1"/>
  <c r="EE4" i="13" a="1"/>
  <c r="EB4" i="13" a="1"/>
  <c r="EH4" i="13" a="1"/>
  <c r="CB16" i="13"/>
  <c r="CB17" i="13"/>
  <c r="CC16" i="13"/>
  <c r="CC17" i="13"/>
  <c r="CQ16" i="13" a="1"/>
  <c r="CT16" i="13" a="1"/>
  <c r="CR16" i="13" a="1"/>
  <c r="CS16" i="13" a="1"/>
  <c r="CH16" i="13"/>
  <c r="CH17" i="13"/>
  <c r="CP16" i="13" a="1"/>
  <c r="BX16" i="13"/>
  <c r="BX17" i="13"/>
  <c r="CO16" i="13" a="1"/>
  <c r="CF17" i="13"/>
  <c r="CF16" i="13"/>
  <c r="DQ16" i="13" a="1"/>
  <c r="DN16" i="13" a="1"/>
  <c r="DG16" i="13" a="1"/>
  <c r="DO16" i="13" a="1"/>
  <c r="DJ16" i="13" a="1"/>
  <c r="DN10" i="13" a="1"/>
  <c r="DJ10" i="13" a="1"/>
  <c r="DG10" i="13" a="1"/>
  <c r="DI10" i="13" a="1"/>
  <c r="DO10" i="13" a="1"/>
  <c r="CE11" i="13"/>
  <c r="CE10" i="13"/>
  <c r="BX10" i="13"/>
  <c r="BX11" i="13"/>
  <c r="CV10" i="13" a="1"/>
  <c r="CF11" i="13"/>
  <c r="CF10" i="13"/>
  <c r="CO10" i="13" a="1"/>
  <c r="BY10" i="13"/>
  <c r="BY11" i="13"/>
  <c r="CP10" i="13" a="1"/>
  <c r="CQ10" i="13" a="1"/>
  <c r="CN10" i="13" a="1"/>
  <c r="CU10" i="13" a="1"/>
  <c r="CB11" i="13"/>
  <c r="CB10" i="13"/>
  <c r="DK11" i="13"/>
  <c r="DK10" i="13"/>
  <c r="CU10" i="13" l="1"/>
  <c r="CU11" i="13"/>
  <c r="CQ11" i="13"/>
  <c r="CQ10" i="13"/>
  <c r="CO10" i="13"/>
  <c r="CO11" i="13"/>
  <c r="DO11" i="13"/>
  <c r="DO10" i="13"/>
  <c r="DG10" i="13"/>
  <c r="DG11" i="13"/>
  <c r="DN11" i="13"/>
  <c r="DN10" i="13"/>
  <c r="DO16" i="13"/>
  <c r="DO17" i="13"/>
  <c r="DN17" i="13"/>
  <c r="DN16" i="13"/>
  <c r="CO17" i="13"/>
  <c r="CO16" i="13"/>
  <c r="CK16" i="13"/>
  <c r="CS16" i="13"/>
  <c r="CS17" i="13"/>
  <c r="CT17" i="13"/>
  <c r="CT16" i="13"/>
  <c r="EH5" i="13"/>
  <c r="EH4" i="13"/>
  <c r="EE5" i="13"/>
  <c r="EE4" i="13"/>
  <c r="EJ4" i="13"/>
  <c r="EJ5" i="13"/>
  <c r="EI11" i="13"/>
  <c r="EI10" i="13"/>
  <c r="DZ10" i="13"/>
  <c r="DZ11" i="13"/>
  <c r="EA11" i="13"/>
  <c r="EA10" i="13"/>
  <c r="EH17" i="13"/>
  <c r="EH16" i="13"/>
  <c r="DZ17" i="13"/>
  <c r="DZ16" i="13"/>
  <c r="EJ16" i="13"/>
  <c r="EJ17" i="13"/>
  <c r="CO4" i="13"/>
  <c r="CO5" i="13"/>
  <c r="CP4" i="13"/>
  <c r="CP5" i="13"/>
  <c r="DK4" i="13"/>
  <c r="DK5" i="13"/>
  <c r="DL5" i="13"/>
  <c r="DL4" i="13"/>
  <c r="DI5" i="13"/>
  <c r="DI4" i="13"/>
  <c r="CX10" i="13"/>
  <c r="CX11" i="13"/>
  <c r="CS10" i="13"/>
  <c r="CS11" i="13"/>
  <c r="DM10" i="13"/>
  <c r="DM11" i="13"/>
  <c r="DQ11" i="13"/>
  <c r="DQ10" i="13"/>
  <c r="DP10" i="13"/>
  <c r="DP11" i="13"/>
  <c r="DP16" i="13"/>
  <c r="DP17" i="13"/>
  <c r="DM16" i="13"/>
  <c r="DM17" i="13"/>
  <c r="DI17" i="13"/>
  <c r="DI16" i="13"/>
  <c r="CN16" i="13"/>
  <c r="CN17" i="13"/>
  <c r="CU17" i="13"/>
  <c r="CU16" i="13"/>
  <c r="EG5" i="13"/>
  <c r="EG4" i="13"/>
  <c r="DZ5" i="13"/>
  <c r="DZ4" i="13"/>
  <c r="EA4" i="13"/>
  <c r="EA5" i="13"/>
  <c r="EC10" i="13"/>
  <c r="EC11" i="13"/>
  <c r="EJ11" i="13"/>
  <c r="EJ10" i="13"/>
  <c r="EF10" i="13"/>
  <c r="EF11" i="13"/>
  <c r="EE16" i="13"/>
  <c r="EE17" i="13"/>
  <c r="EC17" i="13"/>
  <c r="EC16" i="13"/>
  <c r="CU4" i="13"/>
  <c r="CU5" i="13"/>
  <c r="CN5" i="13"/>
  <c r="CN4" i="13"/>
  <c r="CV5" i="13"/>
  <c r="CV4" i="13"/>
  <c r="DP4" i="13"/>
  <c r="DP5" i="13"/>
  <c r="DN4" i="13"/>
  <c r="DN5" i="13"/>
  <c r="DG5" i="13"/>
  <c r="DG4" i="13"/>
  <c r="CN11" i="13"/>
  <c r="CN10" i="13"/>
  <c r="CP11" i="13"/>
  <c r="CP10" i="13"/>
  <c r="CV11" i="13"/>
  <c r="CV10" i="13"/>
  <c r="CK10" i="13"/>
  <c r="DI10" i="13"/>
  <c r="DI11" i="13"/>
  <c r="DJ10" i="13"/>
  <c r="DJ11" i="13"/>
  <c r="DJ16" i="13"/>
  <c r="DJ17" i="13"/>
  <c r="DG17" i="13"/>
  <c r="DG16" i="13"/>
  <c r="DQ16" i="13"/>
  <c r="DQ17" i="13"/>
  <c r="CP17" i="13"/>
  <c r="CP16" i="13"/>
  <c r="CR17" i="13"/>
  <c r="CR16" i="13"/>
  <c r="CQ17" i="13"/>
  <c r="CQ16" i="13"/>
  <c r="EB5" i="13"/>
  <c r="EB4" i="13"/>
  <c r="ED4" i="13"/>
  <c r="ED5" i="13"/>
  <c r="EI4" i="13"/>
  <c r="EI5" i="13"/>
  <c r="EB11" i="13"/>
  <c r="EB10" i="13"/>
  <c r="ED11" i="13"/>
  <c r="ED10" i="13"/>
  <c r="EA16" i="13"/>
  <c r="EA17" i="13"/>
  <c r="EG16" i="13"/>
  <c r="EG17" i="13"/>
  <c r="EI16" i="13"/>
  <c r="EI17" i="13"/>
  <c r="CS4" i="13"/>
  <c r="CS5" i="13"/>
  <c r="CW5" i="13"/>
  <c r="CW4" i="13"/>
  <c r="CQ4" i="13"/>
  <c r="CQ5" i="13"/>
  <c r="DQ4" i="13"/>
  <c r="DQ5" i="13"/>
  <c r="DO5" i="13"/>
  <c r="DO4" i="13"/>
  <c r="CR10" i="13"/>
  <c r="CR11" i="13"/>
  <c r="CT10" i="13"/>
  <c r="CT11" i="13"/>
  <c r="CW10" i="13"/>
  <c r="CW11" i="13"/>
  <c r="DH11" i="13"/>
  <c r="DH10" i="13"/>
  <c r="DL10" i="13"/>
  <c r="DL11" i="13"/>
  <c r="DL17" i="13"/>
  <c r="DL16" i="13"/>
  <c r="DK16" i="13"/>
  <c r="DK17" i="13"/>
  <c r="DH16" i="13"/>
  <c r="DH17" i="13"/>
  <c r="CV16" i="13"/>
  <c r="CV17" i="13"/>
  <c r="CW17" i="13"/>
  <c r="CW16" i="13"/>
  <c r="CX17" i="13"/>
  <c r="CX16" i="13"/>
  <c r="EF4" i="13"/>
  <c r="EF5" i="13"/>
  <c r="EC5" i="13"/>
  <c r="EC4" i="13"/>
  <c r="EG11" i="13"/>
  <c r="EG10" i="13"/>
  <c r="EH11" i="13"/>
  <c r="EH10" i="13"/>
  <c r="EE10" i="13"/>
  <c r="EE11" i="13"/>
  <c r="ED16" i="13"/>
  <c r="ED17" i="13"/>
  <c r="EF17" i="13"/>
  <c r="EF16" i="13"/>
  <c r="EB16" i="13"/>
  <c r="EB17" i="13"/>
  <c r="CK4" i="13"/>
  <c r="CT4" i="13"/>
  <c r="CT5" i="13"/>
  <c r="CX5" i="13"/>
  <c r="CX4" i="13"/>
  <c r="CR4" i="13"/>
  <c r="CR5" i="13"/>
  <c r="DJ5" i="13"/>
  <c r="DJ4" i="13"/>
  <c r="DH5" i="13"/>
  <c r="DH4" i="13"/>
  <c r="DM4" i="13"/>
  <c r="DM5" i="13"/>
  <c r="S3" i="4" l="1"/>
  <c r="S5" i="4" s="1"/>
  <c r="CC13" i="13" s="1"/>
  <c r="DD11" i="13"/>
  <c r="DW17" i="13"/>
  <c r="DD17" i="13"/>
  <c r="EP11" i="13"/>
  <c r="DW5" i="13"/>
  <c r="DD5" i="13"/>
  <c r="EP5" i="13"/>
  <c r="EP17" i="13"/>
  <c r="DW11" i="13"/>
  <c r="D5" i="8" l="1"/>
  <c r="D6" i="8" s="1"/>
  <c r="CR7" i="13" s="1"/>
  <c r="CE7" i="13"/>
  <c r="CB18" i="13"/>
  <c r="CD7" i="13"/>
  <c r="CA18" i="13"/>
  <c r="CB7" i="13"/>
  <c r="BY6" i="13"/>
  <c r="CA19" i="13"/>
  <c r="BZ7" i="13"/>
  <c r="CF13" i="13"/>
  <c r="CE12" i="13"/>
  <c r="CE13" i="13"/>
  <c r="CC12" i="13"/>
  <c r="CH18" i="13"/>
  <c r="CG18" i="13"/>
  <c r="BY12" i="13"/>
  <c r="CG12" i="13"/>
  <c r="CG6" i="13"/>
  <c r="CG13" i="13"/>
  <c r="CA6" i="13"/>
  <c r="CA7" i="13"/>
  <c r="CD12" i="13"/>
  <c r="CF19" i="13"/>
  <c r="CH6" i="13"/>
  <c r="CD6" i="13"/>
  <c r="BZ12" i="13"/>
  <c r="BX6" i="13"/>
  <c r="CB13" i="13"/>
  <c r="BZ13" i="13"/>
  <c r="BX13" i="13"/>
  <c r="BY7" i="13"/>
  <c r="CD13" i="13"/>
  <c r="CB19" i="13"/>
  <c r="CE19" i="13"/>
  <c r="BZ6" i="13"/>
  <c r="CG19" i="13"/>
  <c r="CD18" i="13"/>
  <c r="CH12" i="13"/>
  <c r="CB6" i="13"/>
  <c r="CA13" i="13"/>
  <c r="CC7" i="13"/>
  <c r="CE18" i="13"/>
  <c r="BY19" i="13"/>
  <c r="CF12" i="13"/>
  <c r="BX7" i="13"/>
  <c r="O1" i="12"/>
  <c r="P4" i="12" s="1"/>
  <c r="BX19" i="13"/>
  <c r="CF6" i="13"/>
  <c r="CH7" i="13"/>
  <c r="CF7" i="13"/>
  <c r="BX18" i="13"/>
  <c r="CC19" i="13"/>
  <c r="BY18" i="13"/>
  <c r="CE6" i="13"/>
  <c r="BZ18" i="13"/>
  <c r="CH19" i="13"/>
  <c r="CC6" i="13"/>
  <c r="CH13" i="13"/>
  <c r="CC18" i="13"/>
  <c r="CD19" i="13"/>
  <c r="CB12" i="13"/>
  <c r="BZ19" i="13"/>
  <c r="CF18" i="13"/>
  <c r="CG7" i="13"/>
  <c r="BX12" i="13"/>
  <c r="BY13" i="13"/>
  <c r="CA12" i="13"/>
  <c r="T8" i="12"/>
  <c r="P54" i="12"/>
  <c r="P31" i="12"/>
  <c r="T31" i="12"/>
  <c r="P8" i="12"/>
  <c r="U54" i="12"/>
  <c r="D5" i="19"/>
  <c r="D6" i="19" s="1"/>
  <c r="D5" i="16"/>
  <c r="D6" i="16" s="1"/>
  <c r="CV18" i="13"/>
  <c r="CP18" i="13"/>
  <c r="CT18" i="13"/>
  <c r="CO19" i="13"/>
  <c r="CN18" i="13"/>
  <c r="CN19" i="13"/>
  <c r="CO18" i="13"/>
  <c r="CW18" i="13"/>
  <c r="CP19" i="13"/>
  <c r="CT19" i="13"/>
  <c r="CW12" i="13"/>
  <c r="CX18" i="13"/>
  <c r="CR18" i="13"/>
  <c r="CS18" i="13"/>
  <c r="CS19" i="13"/>
  <c r="CX19" i="13"/>
  <c r="CW19" i="13"/>
  <c r="CQ18" i="13"/>
  <c r="CS13" i="13"/>
  <c r="CQ19" i="13"/>
  <c r="CU19" i="13"/>
  <c r="CU18" i="13"/>
  <c r="CR12" i="13"/>
  <c r="CR19" i="13"/>
  <c r="CV19" i="13"/>
  <c r="T6" i="12"/>
  <c r="U52" i="12"/>
  <c r="P53" i="12"/>
  <c r="P7" i="12"/>
  <c r="P50" i="12"/>
  <c r="T29" i="12"/>
  <c r="T7" i="12"/>
  <c r="T5" i="12"/>
  <c r="P30" i="12"/>
  <c r="T4" i="12"/>
  <c r="P6" i="12"/>
  <c r="U53" i="12"/>
  <c r="T30" i="12"/>
  <c r="U51" i="12"/>
  <c r="U50" i="12"/>
  <c r="T28" i="12"/>
  <c r="P5" i="12"/>
  <c r="CI18" i="13"/>
  <c r="CS12" i="13" l="1"/>
  <c r="CW13" i="13"/>
  <c r="CO13" i="13"/>
  <c r="CN13" i="13"/>
  <c r="CQ6" i="13"/>
  <c r="CQ12" i="13"/>
  <c r="CP13" i="13"/>
  <c r="CO12" i="13"/>
  <c r="CX13" i="13"/>
  <c r="CU13" i="13"/>
  <c r="CN12" i="13"/>
  <c r="CP12" i="13"/>
  <c r="CV13" i="13"/>
  <c r="CT6" i="13"/>
  <c r="CV12" i="13"/>
  <c r="CT12" i="13"/>
  <c r="CX12" i="13"/>
  <c r="CU12" i="13"/>
  <c r="CR13" i="13"/>
  <c r="CQ13" i="13"/>
  <c r="CT13" i="13"/>
  <c r="CJ19" i="13"/>
  <c r="CV6" i="13"/>
  <c r="CP7" i="13"/>
  <c r="CT7" i="13"/>
  <c r="CO6" i="13"/>
  <c r="CP6" i="13"/>
  <c r="CV7" i="13"/>
  <c r="CX6" i="13"/>
  <c r="CR6" i="13"/>
  <c r="CJ13" i="13"/>
  <c r="CW6" i="13"/>
  <c r="CS7" i="13"/>
  <c r="CU7" i="13"/>
  <c r="CO7" i="13"/>
  <c r="CN7" i="13"/>
  <c r="CW7" i="13"/>
  <c r="CN6" i="13"/>
  <c r="CQ7" i="13"/>
  <c r="CU6" i="13"/>
  <c r="CX7" i="13"/>
  <c r="CS6" i="13"/>
  <c r="CI13" i="13"/>
  <c r="CI12" i="13"/>
  <c r="CJ12" i="13"/>
  <c r="CJ18" i="13"/>
  <c r="CI19" i="13"/>
  <c r="P52" i="12"/>
  <c r="T27" i="12"/>
  <c r="V27" i="12" s="1"/>
  <c r="P27" i="12"/>
  <c r="P28" i="12"/>
  <c r="S28" i="12" s="1"/>
  <c r="P29" i="12"/>
  <c r="Q29" i="12" s="1"/>
  <c r="P51" i="12"/>
  <c r="R51" i="12" s="1"/>
  <c r="S51" i="12" s="1"/>
  <c r="CI6" i="13"/>
  <c r="CI7" i="13"/>
  <c r="CJ6" i="13"/>
  <c r="CJ7" i="13"/>
  <c r="X54" i="12"/>
  <c r="Y54" i="12"/>
  <c r="V54" i="12"/>
  <c r="W54" i="12" s="1"/>
  <c r="W31" i="12"/>
  <c r="U31" i="12"/>
  <c r="V31" i="12"/>
  <c r="Q54" i="12"/>
  <c r="T54" i="12"/>
  <c r="R54" i="12"/>
  <c r="S54" i="12" s="1"/>
  <c r="Q8" i="12"/>
  <c r="R8" i="12"/>
  <c r="S8" i="12"/>
  <c r="Q31" i="12"/>
  <c r="R31" i="12"/>
  <c r="S31" i="12"/>
  <c r="U8" i="12"/>
  <c r="W8" i="12"/>
  <c r="V8" i="12"/>
  <c r="R29" i="12"/>
  <c r="U7" i="12"/>
  <c r="W7" i="12"/>
  <c r="V7" i="12"/>
  <c r="R4" i="12"/>
  <c r="S4" i="12"/>
  <c r="Q4" i="12"/>
  <c r="S5" i="12"/>
  <c r="R5" i="12"/>
  <c r="Q5" i="12"/>
  <c r="U28" i="12"/>
  <c r="W28" i="12"/>
  <c r="V28" i="12"/>
  <c r="V50" i="12"/>
  <c r="W50" i="12" s="1"/>
  <c r="Y50" i="12"/>
  <c r="X50" i="12"/>
  <c r="V51" i="12"/>
  <c r="W51" i="12" s="1"/>
  <c r="X51" i="12"/>
  <c r="Y51" i="12"/>
  <c r="W30" i="12"/>
  <c r="V30" i="12"/>
  <c r="U30" i="12"/>
  <c r="R6" i="12"/>
  <c r="S6" i="12"/>
  <c r="Q6" i="12"/>
  <c r="U4" i="12"/>
  <c r="W4" i="12"/>
  <c r="V4" i="12"/>
  <c r="W5" i="12"/>
  <c r="V5" i="12"/>
  <c r="U5" i="12"/>
  <c r="W29" i="12"/>
  <c r="U29" i="12"/>
  <c r="V29" i="12"/>
  <c r="R50" i="12"/>
  <c r="S50" i="12" s="1"/>
  <c r="T50" i="12"/>
  <c r="Q50" i="12"/>
  <c r="R7" i="12"/>
  <c r="Q7" i="12"/>
  <c r="S7" i="12"/>
  <c r="Y52" i="12"/>
  <c r="X52" i="12"/>
  <c r="V52" i="12"/>
  <c r="W52" i="12" s="1"/>
  <c r="DA7" i="13"/>
  <c r="DA6" i="13"/>
  <c r="DA12" i="13"/>
  <c r="DB13" i="13" s="1"/>
  <c r="DP7" i="13"/>
  <c r="DQ19" i="13"/>
  <c r="DL6" i="13"/>
  <c r="DN7" i="13"/>
  <c r="DN18" i="13"/>
  <c r="DP18" i="13"/>
  <c r="DO19" i="13"/>
  <c r="DL7" i="13"/>
  <c r="DP6" i="13"/>
  <c r="DN6" i="13"/>
  <c r="DP19" i="13"/>
  <c r="DJ6" i="13"/>
  <c r="DN19" i="13"/>
  <c r="DL18" i="13"/>
  <c r="DO12" i="13"/>
  <c r="DM13" i="13"/>
  <c r="DG7" i="13"/>
  <c r="DQ12" i="13"/>
  <c r="DK7" i="13"/>
  <c r="DK12" i="13"/>
  <c r="DH19" i="13"/>
  <c r="DI13" i="13"/>
  <c r="DO7" i="13"/>
  <c r="DK13" i="13"/>
  <c r="DO13" i="13"/>
  <c r="DJ7" i="13"/>
  <c r="DP13" i="13"/>
  <c r="DM7" i="13"/>
  <c r="DO6" i="13"/>
  <c r="DI18" i="13"/>
  <c r="DM18" i="13"/>
  <c r="DP12" i="13"/>
  <c r="DH7" i="13"/>
  <c r="DL13" i="13"/>
  <c r="DM12" i="13"/>
  <c r="DG6" i="13"/>
  <c r="DH12" i="13"/>
  <c r="DG18" i="13"/>
  <c r="DG19" i="13"/>
  <c r="DI7" i="13"/>
  <c r="DL19" i="13"/>
  <c r="DJ18" i="13"/>
  <c r="DQ13" i="13"/>
  <c r="DI12" i="13"/>
  <c r="DL12" i="13"/>
  <c r="DH6" i="13"/>
  <c r="DQ6" i="13"/>
  <c r="DH18" i="13"/>
  <c r="DM6" i="13"/>
  <c r="DN13" i="13"/>
  <c r="DN12" i="13"/>
  <c r="DQ18" i="13"/>
  <c r="DQ7" i="13"/>
  <c r="DG12" i="13"/>
  <c r="DH13" i="13"/>
  <c r="DI19" i="13"/>
  <c r="DG13" i="13"/>
  <c r="DM19" i="13"/>
  <c r="DO18" i="13"/>
  <c r="DK18" i="13"/>
  <c r="DJ12" i="13"/>
  <c r="DK6" i="13"/>
  <c r="DK19" i="13"/>
  <c r="DJ19" i="13"/>
  <c r="DJ13" i="13"/>
  <c r="DI6" i="13"/>
  <c r="R52" i="12"/>
  <c r="S52" i="12" s="1"/>
  <c r="Q52" i="12"/>
  <c r="T52" i="12"/>
  <c r="X53" i="12"/>
  <c r="Y53" i="12"/>
  <c r="V53" i="12"/>
  <c r="W53" i="12" s="1"/>
  <c r="Q30" i="12"/>
  <c r="S30" i="12"/>
  <c r="R30" i="12"/>
  <c r="S27" i="12"/>
  <c r="Q27" i="12"/>
  <c r="R27" i="12"/>
  <c r="R53" i="12"/>
  <c r="S53" i="12" s="1"/>
  <c r="T53" i="12"/>
  <c r="Q53" i="12"/>
  <c r="W6" i="12"/>
  <c r="V6" i="12"/>
  <c r="U6" i="12"/>
  <c r="DA13" i="13"/>
  <c r="DC13" i="13" s="1"/>
  <c r="DA19" i="13"/>
  <c r="DC19" i="13" s="1"/>
  <c r="DA18" i="13"/>
  <c r="DB18" i="13" s="1"/>
  <c r="EH6" i="13"/>
  <c r="EE6" i="13"/>
  <c r="EF12" i="13"/>
  <c r="EJ19" i="13"/>
  <c r="EH12" i="13"/>
  <c r="EE19" i="13"/>
  <c r="EG12" i="13"/>
  <c r="DZ13" i="13"/>
  <c r="EA6" i="13"/>
  <c r="EJ7" i="13"/>
  <c r="EE7" i="13"/>
  <c r="EG19" i="13"/>
  <c r="EI18" i="13"/>
  <c r="EB19" i="13"/>
  <c r="EG18" i="13"/>
  <c r="EE18" i="13"/>
  <c r="EC13" i="13"/>
  <c r="EA18" i="13"/>
  <c r="EF6" i="13"/>
  <c r="EI13" i="13"/>
  <c r="EJ13" i="13"/>
  <c r="EI6" i="13"/>
  <c r="EB7" i="13"/>
  <c r="EG7" i="13"/>
  <c r="EB18" i="13"/>
  <c r="ED18" i="13"/>
  <c r="DZ7" i="13"/>
  <c r="DZ12" i="13"/>
  <c r="EH13" i="13"/>
  <c r="EC19" i="13"/>
  <c r="DZ19" i="13"/>
  <c r="EB6" i="13"/>
  <c r="EC18" i="13"/>
  <c r="EG13" i="13"/>
  <c r="EF19" i="13"/>
  <c r="EI19" i="13"/>
  <c r="EH19" i="13"/>
  <c r="EC7" i="13"/>
  <c r="EA12" i="13"/>
  <c r="EH18" i="13"/>
  <c r="EI12" i="13"/>
  <c r="EE12" i="13"/>
  <c r="EB12" i="13"/>
  <c r="EA7" i="13"/>
  <c r="EJ6" i="13"/>
  <c r="EG6" i="13"/>
  <c r="DZ18" i="13"/>
  <c r="EF7" i="13"/>
  <c r="EB13" i="13"/>
  <c r="EA19" i="13"/>
  <c r="ED19" i="13"/>
  <c r="EA13" i="13"/>
  <c r="EF13" i="13"/>
  <c r="EJ18" i="13"/>
  <c r="ED13" i="13"/>
  <c r="EC6" i="13"/>
  <c r="ED12" i="13"/>
  <c r="EC12" i="13"/>
  <c r="EJ12" i="13"/>
  <c r="ED7" i="13"/>
  <c r="DZ6" i="13"/>
  <c r="ED6" i="13"/>
  <c r="EF18" i="13"/>
  <c r="EH7" i="13"/>
  <c r="EI7" i="13"/>
  <c r="EE13" i="13"/>
  <c r="S29" i="12" l="1"/>
  <c r="DB7" i="13"/>
  <c r="T51" i="12"/>
  <c r="U27" i="12"/>
  <c r="Q51" i="12"/>
  <c r="H14" i="15"/>
  <c r="W27" i="12"/>
  <c r="DC6" i="13"/>
  <c r="Q28" i="12"/>
  <c r="H12" i="15"/>
  <c r="H17" i="15" s="1"/>
  <c r="R28" i="12"/>
  <c r="H13" i="15"/>
  <c r="DC7" i="13"/>
  <c r="DB12" i="13"/>
  <c r="DB19" i="13"/>
  <c r="DC18" i="13"/>
  <c r="DC12" i="13"/>
  <c r="EN7" i="13"/>
  <c r="EN6" i="13"/>
  <c r="EM6" i="13"/>
  <c r="EM18" i="13"/>
  <c r="EN18" i="13"/>
  <c r="EN19" i="13"/>
  <c r="EM19" i="13"/>
  <c r="EO19" i="13"/>
  <c r="EO18" i="13"/>
  <c r="EM7" i="13"/>
  <c r="EO6" i="13"/>
  <c r="EO7" i="13"/>
  <c r="DU12" i="13"/>
  <c r="DT12" i="13"/>
  <c r="DU13" i="13"/>
  <c r="DT18" i="13"/>
  <c r="DU19" i="13"/>
  <c r="DU18" i="13"/>
  <c r="DU6" i="13"/>
  <c r="DT6" i="13"/>
  <c r="DU7" i="13"/>
  <c r="DB6" i="13"/>
  <c r="EM12" i="13"/>
  <c r="EN13" i="13"/>
  <c r="EN12" i="13"/>
  <c r="EM13" i="13"/>
  <c r="EO13" i="13"/>
  <c r="EO12" i="13"/>
  <c r="DV13" i="13"/>
  <c r="DV12" i="13"/>
  <c r="DT13" i="13"/>
  <c r="DV19" i="13"/>
  <c r="DT19" i="13"/>
  <c r="DV18" i="13"/>
  <c r="DT7" i="13"/>
  <c r="DV6" i="13"/>
  <c r="DV7" i="13"/>
  <c r="H16" i="15" l="1"/>
  <c r="H19" i="15"/>
  <c r="I18" i="15"/>
  <c r="H18" i="15"/>
  <c r="I16" i="15"/>
  <c r="I17" i="15"/>
  <c r="I19" i="15"/>
  <c r="H23" i="15"/>
  <c r="H33" i="15"/>
  <c r="H42" i="15"/>
  <c r="H44" i="15"/>
  <c r="H22" i="15"/>
  <c r="H24" i="15"/>
  <c r="H34" i="15"/>
  <c r="H32" i="15"/>
  <c r="H43" i="15"/>
  <c r="I36" i="15" l="1"/>
  <c r="H27" i="15"/>
  <c r="H28" i="15" s="1"/>
  <c r="I46" i="15"/>
  <c r="I47" i="15"/>
  <c r="I48" i="15"/>
  <c r="I49" i="15" s="1"/>
  <c r="H37" i="15"/>
  <c r="H38" i="15" s="1"/>
  <c r="H36" i="15"/>
  <c r="H39" i="15" s="1"/>
  <c r="I26" i="15"/>
  <c r="I28" i="15"/>
  <c r="I29" i="15" s="1"/>
  <c r="H46" i="15"/>
  <c r="H49" i="15" s="1"/>
  <c r="H47" i="15"/>
  <c r="H48" i="15" s="1"/>
  <c r="I38" i="15"/>
  <c r="I39" i="15" s="1"/>
  <c r="H26" i="15"/>
  <c r="H29" i="15" s="1"/>
  <c r="I27" i="15"/>
  <c r="I37" i="15"/>
</calcChain>
</file>

<file path=xl/sharedStrings.xml><?xml version="1.0" encoding="utf-8"?>
<sst xmlns="http://schemas.openxmlformats.org/spreadsheetml/2006/main" count="987" uniqueCount="193">
  <si>
    <t>xa</t>
  </si>
  <si>
    <t>x</t>
  </si>
  <si>
    <t>z</t>
  </si>
  <si>
    <t>Knoten</t>
  </si>
  <si>
    <t>a</t>
  </si>
  <si>
    <t>b</t>
  </si>
  <si>
    <t>Element</t>
  </si>
  <si>
    <t>za</t>
  </si>
  <si>
    <t>xb</t>
  </si>
  <si>
    <t>zb</t>
  </si>
  <si>
    <t>EI</t>
  </si>
  <si>
    <t>L</t>
  </si>
  <si>
    <t>EA</t>
  </si>
  <si>
    <t>cos(alpha)</t>
  </si>
  <si>
    <t>sin(alpha)</t>
  </si>
  <si>
    <t>alpha [° ]</t>
  </si>
  <si>
    <t>Transformationsmatrix</t>
  </si>
  <si>
    <t>glob. FG</t>
  </si>
  <si>
    <t>lok. FG</t>
  </si>
  <si>
    <t>Elementsteifigkeitsmatrix in lokalen Freiheitsgraden</t>
  </si>
  <si>
    <t>Elementsteifigkeitsmatrix in globalen Freiheitsgraden</t>
  </si>
  <si>
    <t>u</t>
  </si>
  <si>
    <t>w</t>
  </si>
  <si>
    <t>phi</t>
  </si>
  <si>
    <t>Px</t>
  </si>
  <si>
    <t>Pz</t>
  </si>
  <si>
    <t>My</t>
  </si>
  <si>
    <t>Freiheitsgrad Nummer</t>
  </si>
  <si>
    <t>Knotenlasten</t>
  </si>
  <si>
    <t>Nummer</t>
  </si>
  <si>
    <t>FG</t>
  </si>
  <si>
    <t>Summe</t>
  </si>
  <si>
    <t>Koordinaten</t>
  </si>
  <si>
    <t>Stabendweggrößen</t>
  </si>
  <si>
    <t>global</t>
  </si>
  <si>
    <t>lokal</t>
  </si>
  <si>
    <r>
      <t>u</t>
    </r>
    <r>
      <rPr>
        <vertAlign val="subscript"/>
        <sz val="10"/>
        <rFont val="Arial"/>
        <family val="2"/>
      </rPr>
      <t>a</t>
    </r>
  </si>
  <si>
    <r>
      <t>w</t>
    </r>
    <r>
      <rPr>
        <vertAlign val="subscript"/>
        <sz val="10"/>
        <rFont val="Arial"/>
        <family val="2"/>
      </rPr>
      <t>a</t>
    </r>
  </si>
  <si>
    <r>
      <t>j</t>
    </r>
    <r>
      <rPr>
        <vertAlign val="subscript"/>
        <sz val="10"/>
        <rFont val="Arial"/>
        <family val="2"/>
      </rPr>
      <t>a</t>
    </r>
  </si>
  <si>
    <r>
      <t>u</t>
    </r>
    <r>
      <rPr>
        <vertAlign val="subscript"/>
        <sz val="10"/>
        <rFont val="Arial"/>
        <family val="2"/>
      </rPr>
      <t>b</t>
    </r>
  </si>
  <si>
    <r>
      <t>w</t>
    </r>
    <r>
      <rPr>
        <vertAlign val="subscript"/>
        <sz val="10"/>
        <rFont val="Arial"/>
        <family val="2"/>
      </rPr>
      <t>b</t>
    </r>
  </si>
  <si>
    <r>
      <t>j</t>
    </r>
    <r>
      <rPr>
        <vertAlign val="subscript"/>
        <sz val="10"/>
        <rFont val="Arial"/>
        <family val="2"/>
      </rPr>
      <t>b</t>
    </r>
  </si>
  <si>
    <r>
      <t>N</t>
    </r>
    <r>
      <rPr>
        <vertAlign val="subscript"/>
        <sz val="10"/>
        <rFont val="Arial"/>
        <family val="2"/>
      </rPr>
      <t>a</t>
    </r>
  </si>
  <si>
    <r>
      <t>Q</t>
    </r>
    <r>
      <rPr>
        <vertAlign val="subscript"/>
        <sz val="10"/>
        <rFont val="Arial"/>
        <family val="2"/>
      </rPr>
      <t>a</t>
    </r>
  </si>
  <si>
    <r>
      <t>M</t>
    </r>
    <r>
      <rPr>
        <vertAlign val="subscript"/>
        <sz val="10"/>
        <rFont val="Arial"/>
        <family val="2"/>
      </rPr>
      <t>a</t>
    </r>
  </si>
  <si>
    <r>
      <t>N</t>
    </r>
    <r>
      <rPr>
        <vertAlign val="subscript"/>
        <sz val="10"/>
        <rFont val="Arial"/>
        <family val="2"/>
      </rPr>
      <t>b</t>
    </r>
  </si>
  <si>
    <r>
      <t>Q</t>
    </r>
    <r>
      <rPr>
        <vertAlign val="subscript"/>
        <sz val="10"/>
        <rFont val="Arial"/>
        <family val="2"/>
      </rPr>
      <t>b</t>
    </r>
  </si>
  <si>
    <r>
      <t>M</t>
    </r>
    <r>
      <rPr>
        <vertAlign val="subscript"/>
        <sz val="10"/>
        <rFont val="Arial"/>
        <family val="2"/>
      </rPr>
      <t>b</t>
    </r>
  </si>
  <si>
    <t>Stabendkraftgrößen</t>
  </si>
  <si>
    <t>Skalierung</t>
  </si>
  <si>
    <t>Typ</t>
  </si>
  <si>
    <t>qx</t>
  </si>
  <si>
    <t>qz</t>
  </si>
  <si>
    <r>
      <t>q</t>
    </r>
    <r>
      <rPr>
        <vertAlign val="subscript"/>
        <sz val="10"/>
        <rFont val="Arial"/>
        <family val="2"/>
      </rPr>
      <t>z</t>
    </r>
  </si>
  <si>
    <r>
      <t>q</t>
    </r>
    <r>
      <rPr>
        <vertAlign val="subscript"/>
        <sz val="10"/>
        <rFont val="Arial"/>
        <family val="2"/>
      </rPr>
      <t>x</t>
    </r>
  </si>
  <si>
    <t>Lastvektor</t>
  </si>
  <si>
    <t>Nullzustand</t>
  </si>
  <si>
    <t>Grundele.</t>
  </si>
  <si>
    <t>GE</t>
  </si>
  <si>
    <t>Biegemomente</t>
  </si>
  <si>
    <t>Querkräfte</t>
  </si>
  <si>
    <t>Normalkräfte</t>
  </si>
  <si>
    <t>Vorverformung</t>
  </si>
  <si>
    <t>u0</t>
  </si>
  <si>
    <t>w0</t>
  </si>
  <si>
    <r>
      <t>j</t>
    </r>
    <r>
      <rPr>
        <sz val="10"/>
        <rFont val="Arial"/>
        <family val="2"/>
      </rPr>
      <t>0</t>
    </r>
  </si>
  <si>
    <t>Verschiebung</t>
  </si>
  <si>
    <t>Vorver-</t>
  </si>
  <si>
    <t>formung</t>
  </si>
  <si>
    <t>alpha</t>
  </si>
  <si>
    <t>sin</t>
  </si>
  <si>
    <t>cos</t>
  </si>
  <si>
    <t>T</t>
  </si>
  <si>
    <t>Ke global</t>
  </si>
  <si>
    <t>Ke lokal</t>
  </si>
  <si>
    <t>FG Zuordnung</t>
  </si>
  <si>
    <t>F lok</t>
  </si>
  <si>
    <t>u 0</t>
  </si>
  <si>
    <t>p0</t>
  </si>
  <si>
    <t>MaxDof</t>
  </si>
  <si>
    <t>Inzidenzmatrix</t>
  </si>
  <si>
    <t>Ke</t>
  </si>
  <si>
    <t>Fe</t>
  </si>
  <si>
    <t>F</t>
  </si>
  <si>
    <t>U</t>
  </si>
  <si>
    <t>maxdof</t>
  </si>
  <si>
    <t>Knotenlast</t>
  </si>
  <si>
    <t>Cx</t>
  </si>
  <si>
    <t>Cz</t>
  </si>
  <si>
    <t>r</t>
  </si>
  <si>
    <t>R</t>
  </si>
  <si>
    <t>fac</t>
  </si>
  <si>
    <t>n1</t>
  </si>
  <si>
    <t>n2</t>
  </si>
  <si>
    <t>n3</t>
  </si>
  <si>
    <t>n4</t>
  </si>
  <si>
    <t>u glob</t>
  </si>
  <si>
    <t>u lok</t>
  </si>
  <si>
    <t>Stabendkraft</t>
  </si>
  <si>
    <t>Schnittgrößen</t>
  </si>
  <si>
    <t>w lok</t>
  </si>
  <si>
    <t>w glob</t>
  </si>
  <si>
    <t>x def</t>
  </si>
  <si>
    <t>y def</t>
  </si>
  <si>
    <t>F glob</t>
  </si>
  <si>
    <t>Deformation</t>
  </si>
  <si>
    <t>Moment</t>
  </si>
  <si>
    <t>min</t>
  </si>
  <si>
    <t>max</t>
  </si>
  <si>
    <t>Geometrie</t>
  </si>
  <si>
    <t>Momente</t>
  </si>
  <si>
    <t>y</t>
  </si>
  <si>
    <t>Schnittkraftverläufe</t>
  </si>
  <si>
    <t>Querkraft</t>
  </si>
  <si>
    <t>Normalkraft</t>
  </si>
  <si>
    <t>Größe</t>
  </si>
  <si>
    <t>Lagersymbole, vertikal</t>
  </si>
  <si>
    <t>Lagersymbole, horizontal</t>
  </si>
  <si>
    <t>Lagersymbole, Rotation</t>
  </si>
  <si>
    <t>Verschiebungs-Skalierung</t>
  </si>
  <si>
    <t>Lastsymbole, vertikal</t>
  </si>
  <si>
    <t>Lastsymbole, horizontal</t>
  </si>
  <si>
    <t>Momentensymbole</t>
  </si>
  <si>
    <t>H</t>
  </si>
  <si>
    <t>V</t>
  </si>
  <si>
    <t>A</t>
  </si>
  <si>
    <t>ps</t>
  </si>
  <si>
    <t>pe</t>
  </si>
  <si>
    <t>dp</t>
  </si>
  <si>
    <t>ip</t>
  </si>
  <si>
    <t>pm</t>
  </si>
  <si>
    <t>dpfac</t>
  </si>
  <si>
    <t>Av</t>
  </si>
  <si>
    <t>Ah</t>
  </si>
  <si>
    <t>xc</t>
  </si>
  <si>
    <t>xd</t>
  </si>
  <si>
    <t>zc</t>
  </si>
  <si>
    <t>zd</t>
  </si>
  <si>
    <t>xe</t>
  </si>
  <si>
    <t>xf</t>
  </si>
  <si>
    <t>Hz</t>
  </si>
  <si>
    <t>Vz</t>
  </si>
  <si>
    <t>Hx</t>
  </si>
  <si>
    <t>Vx</t>
  </si>
  <si>
    <t>ze</t>
  </si>
  <si>
    <t>zf</t>
  </si>
  <si>
    <t>xj</t>
  </si>
  <si>
    <t>xk</t>
  </si>
  <si>
    <t>zj</t>
  </si>
  <si>
    <t>zk</t>
  </si>
  <si>
    <t>B</t>
  </si>
  <si>
    <t>x1</t>
  </si>
  <si>
    <t>z1</t>
  </si>
  <si>
    <t>z2</t>
  </si>
  <si>
    <t>z3</t>
  </si>
  <si>
    <t>z4</t>
  </si>
  <si>
    <t>z5</t>
  </si>
  <si>
    <t>z6</t>
  </si>
  <si>
    <t>z7</t>
  </si>
  <si>
    <t>z8</t>
  </si>
  <si>
    <t>z9</t>
  </si>
  <si>
    <t>z10</t>
  </si>
  <si>
    <t>z11</t>
  </si>
  <si>
    <t>z12</t>
  </si>
  <si>
    <t>z13</t>
  </si>
  <si>
    <t>z14</t>
  </si>
  <si>
    <t>z15</t>
  </si>
  <si>
    <t>z16</t>
  </si>
  <si>
    <t>z17</t>
  </si>
  <si>
    <t>x2</t>
  </si>
  <si>
    <t>x3</t>
  </si>
  <si>
    <t>x4</t>
  </si>
  <si>
    <t>x5</t>
  </si>
  <si>
    <t>x6</t>
  </si>
  <si>
    <t>x7</t>
  </si>
  <si>
    <t>x8</t>
  </si>
  <si>
    <t>x9</t>
  </si>
  <si>
    <t>x10</t>
  </si>
  <si>
    <t>x11</t>
  </si>
  <si>
    <t>x12</t>
  </si>
  <si>
    <t>x13</t>
  </si>
  <si>
    <t>x14</t>
  </si>
  <si>
    <t>x15</t>
  </si>
  <si>
    <t>x16</t>
  </si>
  <si>
    <t>x17</t>
  </si>
  <si>
    <t>frot</t>
  </si>
  <si>
    <t>max. M</t>
  </si>
  <si>
    <t>Ref.Größe</t>
  </si>
  <si>
    <t>max. Q</t>
  </si>
  <si>
    <t>max. N</t>
  </si>
  <si>
    <t>Symb.</t>
  </si>
  <si>
    <t>max. Def.</t>
  </si>
  <si>
    <t>Korrektur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</si>
</sst>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0"/>
      <name val="Arial"/>
    </font>
    <font>
      <b/>
      <sz val="10"/>
      <color indexed="10"/>
      <name val="Arial"/>
      <family val="2"/>
    </font>
    <font>
      <sz val="10"/>
      <name val="Arial"/>
      <family val="2"/>
    </font>
    <font>
      <vertAlign val="subscript"/>
      <sz val="10"/>
      <name val="Arial"/>
      <family val="2"/>
    </font>
    <font>
      <sz val="10"/>
      <name val="Symbol"/>
      <family val="1"/>
      <charset val="2"/>
    </font>
    <font>
      <sz val="8"/>
      <name val="Arial"/>
      <family val="2"/>
    </font>
    <font>
      <b/>
      <sz val="10"/>
      <color rgb="FFFF0000"/>
      <name val="Arial"/>
      <family val="2"/>
    </font>
    <font>
      <b/>
      <sz val="10"/>
      <name val="Arial"/>
      <family val="2"/>
    </font>
    <font>
      <sz val="10"/>
      <color rgb="FF969696"/>
      <name val="Arial"/>
      <family val="2"/>
    </font>
    <font>
      <b/>
      <sz val="10"/>
      <color theme="1" tint="4.9989318521683403E-2"/>
      <name val="Arial"/>
      <family val="2"/>
    </font>
    <font>
      <sz val="10"/>
      <color rgb="FFFF0000"/>
      <name val="Arial"/>
      <family val="2"/>
    </font>
    <font>
      <sz val="10"/>
      <color theme="0" tint="-0.249977111117893"/>
      <name val="Arial"/>
      <family val="2"/>
    </font>
    <font>
      <sz val="10"/>
      <color theme="0" tint="-0.34998626667073579"/>
      <name val="Arial"/>
      <family val="2"/>
    </font>
  </fonts>
  <fills count="1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2"/>
        <bgColor indexed="64"/>
      </patternFill>
    </fill>
    <fill>
      <patternFill patternType="solid">
        <fgColor rgb="FFFFCC9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rgb="FFCCECFF"/>
        <bgColor indexed="64"/>
      </patternFill>
    </fill>
    <fill>
      <patternFill patternType="solid">
        <fgColor theme="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double">
        <color indexed="64"/>
      </right>
      <top/>
      <bottom style="double">
        <color indexed="64"/>
      </bottom>
      <diagonal/>
    </border>
    <border>
      <left style="thick">
        <color rgb="FFFF0000"/>
      </left>
      <right style="thick">
        <color rgb="FFFF0000"/>
      </right>
      <top style="thick">
        <color rgb="FFFF0000"/>
      </top>
      <bottom style="thick">
        <color rgb="FFFF0000"/>
      </bottom>
      <diagonal/>
    </border>
    <border>
      <left style="double">
        <color indexed="64"/>
      </left>
      <right style="double">
        <color indexed="64"/>
      </right>
      <top style="thick">
        <color rgb="FFFF0000"/>
      </top>
      <bottom style="double">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rgb="FF969696"/>
      </left>
      <right style="medium">
        <color rgb="FF969696"/>
      </right>
      <top style="medium">
        <color rgb="FF969696"/>
      </top>
      <bottom style="medium">
        <color rgb="FF969696"/>
      </bottom>
      <diagonal/>
    </border>
    <border>
      <left style="thin">
        <color indexed="64"/>
      </left>
      <right/>
      <top style="medium">
        <color indexed="64"/>
      </top>
      <bottom/>
      <diagonal/>
    </border>
    <border>
      <left style="thin">
        <color rgb="FF969696"/>
      </left>
      <right style="thin">
        <color rgb="FF969696"/>
      </right>
      <top style="thin">
        <color rgb="FF969696"/>
      </top>
      <bottom style="thin">
        <color rgb="FF969696"/>
      </bottom>
      <diagonal/>
    </border>
    <border>
      <left style="medium">
        <color rgb="FF969696"/>
      </left>
      <right style="thin">
        <color rgb="FF969696"/>
      </right>
      <top style="medium">
        <color rgb="FF969696"/>
      </top>
      <bottom style="thin">
        <color rgb="FF969696"/>
      </bottom>
      <diagonal/>
    </border>
    <border>
      <left style="thin">
        <color rgb="FF969696"/>
      </left>
      <right style="medium">
        <color rgb="FF969696"/>
      </right>
      <top style="medium">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969696"/>
      </left>
      <right style="medium">
        <color rgb="FF969696"/>
      </right>
      <top style="thin">
        <color rgb="FF969696"/>
      </top>
      <bottom style="thin">
        <color rgb="FF969696"/>
      </bottom>
      <diagonal/>
    </border>
    <border>
      <left style="medium">
        <color rgb="FF969696"/>
      </left>
      <right style="thin">
        <color rgb="FF969696"/>
      </right>
      <top style="thin">
        <color rgb="FF969696"/>
      </top>
      <bottom style="medium">
        <color rgb="FF969696"/>
      </bottom>
      <diagonal/>
    </border>
    <border>
      <left style="thin">
        <color rgb="FF969696"/>
      </left>
      <right style="medium">
        <color rgb="FF969696"/>
      </right>
      <top style="thin">
        <color rgb="FF969696"/>
      </top>
      <bottom style="medium">
        <color rgb="FF969696"/>
      </bottom>
      <diagonal/>
    </border>
    <border>
      <left style="medium">
        <color rgb="FF969696"/>
      </left>
      <right style="thin">
        <color rgb="FF969696"/>
      </right>
      <top style="medium">
        <color rgb="FF969696"/>
      </top>
      <bottom/>
      <diagonal/>
    </border>
    <border>
      <left style="thin">
        <color rgb="FF969696"/>
      </left>
      <right/>
      <top style="medium">
        <color rgb="FF969696"/>
      </top>
      <bottom/>
      <diagonal/>
    </border>
    <border>
      <left style="thin">
        <color rgb="FF969696"/>
      </left>
      <right/>
      <top style="medium">
        <color rgb="FF969696"/>
      </top>
      <bottom style="thin">
        <color rgb="FF969696"/>
      </bottom>
      <diagonal/>
    </border>
    <border>
      <left style="thin">
        <color rgb="FF969696"/>
      </left>
      <right/>
      <top style="thin">
        <color rgb="FF969696"/>
      </top>
      <bottom style="thin">
        <color rgb="FF969696"/>
      </bottom>
      <diagonal/>
    </border>
    <border>
      <left style="thin">
        <color rgb="FF969696"/>
      </left>
      <right/>
      <top style="thin">
        <color rgb="FF969696"/>
      </top>
      <bottom style="medium">
        <color rgb="FF969696"/>
      </bottom>
      <diagonal/>
    </border>
    <border>
      <left style="medium">
        <color rgb="FF969696"/>
      </left>
      <right style="thin">
        <color rgb="FF969696"/>
      </right>
      <top style="medium">
        <color rgb="FF969696"/>
      </top>
      <bottom style="medium">
        <color rgb="FF969696"/>
      </bottom>
      <diagonal/>
    </border>
    <border>
      <left style="thin">
        <color rgb="FF969696"/>
      </left>
      <right style="medium">
        <color rgb="FF969696"/>
      </right>
      <top style="medium">
        <color rgb="FF969696"/>
      </top>
      <bottom style="medium">
        <color rgb="FF969696"/>
      </bottom>
      <diagonal/>
    </border>
    <border>
      <left style="thin">
        <color rgb="FF969696"/>
      </left>
      <right/>
      <top style="medium">
        <color rgb="FF969696"/>
      </top>
      <bottom style="medium">
        <color rgb="FF969696"/>
      </bottom>
      <diagonal/>
    </border>
    <border>
      <left/>
      <right style="thin">
        <color rgb="FF969696"/>
      </right>
      <top style="thin">
        <color rgb="FF969696"/>
      </top>
      <bottom style="thin">
        <color rgb="FF969696"/>
      </bottom>
      <diagonal/>
    </border>
    <border>
      <left style="medium">
        <color rgb="FF969696"/>
      </left>
      <right style="medium">
        <color rgb="FF969696"/>
      </right>
      <top style="medium">
        <color rgb="FF969696"/>
      </top>
      <bottom style="thin">
        <color rgb="FF969696"/>
      </bottom>
      <diagonal/>
    </border>
    <border>
      <left style="medium">
        <color rgb="FF969696"/>
      </left>
      <right style="medium">
        <color rgb="FF969696"/>
      </right>
      <top style="thin">
        <color rgb="FF969696"/>
      </top>
      <bottom style="thin">
        <color rgb="FF969696"/>
      </bottom>
      <diagonal/>
    </border>
    <border>
      <left style="medium">
        <color rgb="FF969696"/>
      </left>
      <right style="medium">
        <color rgb="FF969696"/>
      </right>
      <top style="thin">
        <color rgb="FF969696"/>
      </top>
      <bottom style="medium">
        <color rgb="FF969696"/>
      </bottom>
      <diagonal/>
    </border>
    <border>
      <left style="thin">
        <color rgb="FF969696"/>
      </left>
      <right style="thin">
        <color rgb="FF969696"/>
      </right>
      <top style="medium">
        <color rgb="FF969696"/>
      </top>
      <bottom style="medium">
        <color rgb="FF969696"/>
      </bottom>
      <diagonal/>
    </border>
    <border>
      <left style="thin">
        <color rgb="FF969696"/>
      </left>
      <right style="thin">
        <color rgb="FF969696"/>
      </right>
      <top style="medium">
        <color rgb="FF969696"/>
      </top>
      <bottom style="thin">
        <color rgb="FF969696"/>
      </bottom>
      <diagonal/>
    </border>
    <border>
      <left style="thin">
        <color rgb="FF969696"/>
      </left>
      <right style="thin">
        <color rgb="FF969696"/>
      </right>
      <top style="thin">
        <color rgb="FF969696"/>
      </top>
      <bottom style="medium">
        <color rgb="FF969696"/>
      </bottom>
      <diagonal/>
    </border>
    <border>
      <left/>
      <right style="thin">
        <color rgb="FF969696"/>
      </right>
      <top style="medium">
        <color rgb="FF969696"/>
      </top>
      <bottom style="medium">
        <color rgb="FF969696"/>
      </bottom>
      <diagonal/>
    </border>
    <border>
      <left/>
      <right style="thin">
        <color rgb="FF969696"/>
      </right>
      <top style="medium">
        <color rgb="FF969696"/>
      </top>
      <bottom style="thin">
        <color rgb="FF969696"/>
      </bottom>
      <diagonal/>
    </border>
    <border>
      <left/>
      <right style="thin">
        <color rgb="FF969696"/>
      </right>
      <top style="thin">
        <color rgb="FF969696"/>
      </top>
      <bottom style="medium">
        <color rgb="FF969696"/>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auto="1"/>
      </left>
      <right/>
      <top/>
      <bottom/>
      <diagonal/>
    </border>
  </borders>
  <cellStyleXfs count="2">
    <xf numFmtId="0" fontId="0" fillId="0" borderId="0"/>
    <xf numFmtId="0" fontId="2" fillId="0" borderId="0"/>
  </cellStyleXfs>
  <cellXfs count="49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xf numFmtId="0" fontId="0" fillId="2" borderId="6" xfId="0" applyFill="1" applyBorder="1"/>
    <xf numFmtId="0" fontId="0" fillId="2" borderId="8" xfId="0" applyFill="1" applyBorder="1"/>
    <xf numFmtId="0" fontId="0" fillId="4" borderId="10" xfId="0" applyFill="1" applyBorder="1"/>
    <xf numFmtId="0" fontId="0" fillId="4" borderId="13" xfId="0" applyFill="1" applyBorder="1"/>
    <xf numFmtId="0" fontId="0" fillId="5" borderId="15" xfId="0" applyFill="1" applyBorder="1" applyAlignment="1">
      <alignment horizontal="right"/>
    </xf>
    <xf numFmtId="0" fontId="0" fillId="5" borderId="5" xfId="0" applyFill="1" applyBorder="1"/>
    <xf numFmtId="0" fontId="0" fillId="5" borderId="6" xfId="0" applyFill="1" applyBorder="1"/>
    <xf numFmtId="0" fontId="0" fillId="4" borderId="9" xfId="0" applyFill="1" applyBorder="1"/>
    <xf numFmtId="0" fontId="0" fillId="4" borderId="16" xfId="0" applyFill="1" applyBorder="1" applyAlignment="1">
      <alignment horizontal="right"/>
    </xf>
    <xf numFmtId="0" fontId="0" fillId="4" borderId="15" xfId="0" applyFill="1" applyBorder="1"/>
    <xf numFmtId="0" fontId="0" fillId="4" borderId="17" xfId="0" applyFill="1" applyBorder="1"/>
    <xf numFmtId="0" fontId="0" fillId="4" borderId="18" xfId="0" applyFill="1" applyBorder="1"/>
    <xf numFmtId="0" fontId="0" fillId="0" borderId="19" xfId="0" applyBorder="1"/>
    <xf numFmtId="0" fontId="0" fillId="0" borderId="20" xfId="0" applyBorder="1"/>
    <xf numFmtId="0" fontId="0" fillId="0" borderId="21" xfId="0" applyBorder="1"/>
    <xf numFmtId="0" fontId="0" fillId="0" borderId="0" xfId="0" applyAlignment="1">
      <alignment horizontal="right"/>
    </xf>
    <xf numFmtId="0" fontId="0" fillId="0" borderId="23" xfId="0" applyBorder="1"/>
    <xf numFmtId="0" fontId="0" fillId="0" borderId="25" xfId="0" applyBorder="1"/>
    <xf numFmtId="0" fontId="0" fillId="2" borderId="4" xfId="0" applyFill="1" applyBorder="1"/>
    <xf numFmtId="0" fontId="0" fillId="2" borderId="7" xfId="0" applyFill="1" applyBorder="1"/>
    <xf numFmtId="0" fontId="0" fillId="5" borderId="17" xfId="0" applyFill="1" applyBorder="1" applyAlignment="1">
      <alignment horizontal="center"/>
    </xf>
    <xf numFmtId="0" fontId="0" fillId="5" borderId="18" xfId="0"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0" fillId="5" borderId="4" xfId="0" applyFill="1" applyBorder="1"/>
    <xf numFmtId="0" fontId="0" fillId="4" borderId="27" xfId="0" applyFill="1" applyBorder="1" applyAlignment="1">
      <alignment horizontal="center"/>
    </xf>
    <xf numFmtId="0" fontId="0" fillId="4" borderId="29" xfId="0" applyFill="1" applyBorder="1" applyAlignment="1">
      <alignment horizontal="center"/>
    </xf>
    <xf numFmtId="0" fontId="0" fillId="5" borderId="29" xfId="0" applyFill="1" applyBorder="1" applyAlignment="1">
      <alignment horizontal="center"/>
    </xf>
    <xf numFmtId="0" fontId="0" fillId="4" borderId="30" xfId="0" applyFill="1" applyBorder="1" applyAlignment="1">
      <alignment horizontal="center"/>
    </xf>
    <xf numFmtId="0" fontId="0" fillId="5" borderId="30" xfId="0" applyFill="1" applyBorder="1" applyAlignment="1">
      <alignment horizontal="center"/>
    </xf>
    <xf numFmtId="0" fontId="0" fillId="0" borderId="31" xfId="0" applyBorder="1"/>
    <xf numFmtId="0" fontId="0" fillId="2" borderId="32" xfId="0" applyFill="1" applyBorder="1" applyAlignment="1">
      <alignment horizontal="center"/>
    </xf>
    <xf numFmtId="0" fontId="0" fillId="3" borderId="27" xfId="0" applyFill="1" applyBorder="1" applyAlignment="1">
      <alignment horizontal="center"/>
    </xf>
    <xf numFmtId="0" fontId="0" fillId="2" borderId="14" xfId="0" applyFill="1" applyBorder="1"/>
    <xf numFmtId="0" fontId="0" fillId="2" borderId="34" xfId="0" applyFill="1" applyBorder="1"/>
    <xf numFmtId="0" fontId="0" fillId="2" borderId="35" xfId="0" applyFill="1" applyBorder="1"/>
    <xf numFmtId="0" fontId="0" fillId="2" borderId="36" xfId="0" applyFill="1" applyBorder="1"/>
    <xf numFmtId="0" fontId="0" fillId="3" borderId="14" xfId="0" applyFill="1" applyBorder="1"/>
    <xf numFmtId="0" fontId="0" fillId="3" borderId="37" xfId="0" applyFill="1" applyBorder="1"/>
    <xf numFmtId="0" fontId="0" fillId="3" borderId="34" xfId="0" applyFill="1" applyBorder="1"/>
    <xf numFmtId="0" fontId="0" fillId="5" borderId="38" xfId="0" applyFill="1" applyBorder="1"/>
    <xf numFmtId="0" fontId="0" fillId="5" borderId="39" xfId="0" applyFill="1" applyBorder="1"/>
    <xf numFmtId="0" fontId="0" fillId="4" borderId="41" xfId="0" applyFill="1" applyBorder="1"/>
    <xf numFmtId="0" fontId="0" fillId="4" borderId="16" xfId="0" applyFill="1" applyBorder="1"/>
    <xf numFmtId="0" fontId="0" fillId="5" borderId="21" xfId="0" applyFill="1" applyBorder="1" applyAlignment="1">
      <alignment horizontal="center"/>
    </xf>
    <xf numFmtId="0" fontId="0" fillId="5" borderId="42" xfId="0" applyFill="1" applyBorder="1" applyAlignment="1">
      <alignment horizontal="center"/>
    </xf>
    <xf numFmtId="0" fontId="0" fillId="5" borderId="43" xfId="0" applyFill="1" applyBorder="1" applyAlignment="1">
      <alignment horizontal="center"/>
    </xf>
    <xf numFmtId="0" fontId="0" fillId="0" borderId="15" xfId="0" applyBorder="1"/>
    <xf numFmtId="0" fontId="0" fillId="0" borderId="17" xfId="0" applyBorder="1"/>
    <xf numFmtId="0" fontId="0" fillId="0" borderId="18" xfId="0" applyBorder="1"/>
    <xf numFmtId="0" fontId="0" fillId="3" borderId="29" xfId="0" applyFill="1" applyBorder="1" applyAlignment="1">
      <alignment horizontal="center"/>
    </xf>
    <xf numFmtId="0" fontId="2" fillId="3" borderId="17" xfId="0" applyFont="1" applyFill="1" applyBorder="1" applyAlignment="1">
      <alignment horizontal="center"/>
    </xf>
    <xf numFmtId="0" fontId="2" fillId="3" borderId="30" xfId="0" applyFont="1" applyFill="1" applyBorder="1" applyAlignment="1">
      <alignment horizontal="center"/>
    </xf>
    <xf numFmtId="0" fontId="2" fillId="3" borderId="18" xfId="0" applyFont="1" applyFill="1" applyBorder="1" applyAlignment="1">
      <alignment horizontal="center"/>
    </xf>
    <xf numFmtId="0" fontId="0" fillId="5" borderId="41" xfId="0" applyFill="1" applyBorder="1" applyAlignment="1">
      <alignment horizontal="center"/>
    </xf>
    <xf numFmtId="0" fontId="0" fillId="5" borderId="44" xfId="0" applyFill="1" applyBorder="1" applyAlignment="1">
      <alignment horizontal="center"/>
    </xf>
    <xf numFmtId="0" fontId="0" fillId="4" borderId="27" xfId="0" applyFill="1" applyBorder="1" applyAlignment="1">
      <alignment horizontal="right"/>
    </xf>
    <xf numFmtId="0" fontId="0" fillId="4" borderId="45" xfId="0" applyFill="1" applyBorder="1"/>
    <xf numFmtId="0" fontId="0" fillId="4" borderId="39" xfId="0" applyFill="1" applyBorder="1"/>
    <xf numFmtId="0" fontId="0" fillId="4" borderId="46" xfId="0" applyFill="1" applyBorder="1"/>
    <xf numFmtId="0" fontId="0" fillId="0" borderId="45" xfId="0" applyBorder="1"/>
    <xf numFmtId="0" fontId="0" fillId="0" borderId="39" xfId="0" applyBorder="1"/>
    <xf numFmtId="0" fontId="0" fillId="0" borderId="46" xfId="0" applyBorder="1"/>
    <xf numFmtId="0" fontId="0" fillId="0" borderId="0" xfId="0" applyAlignment="1">
      <alignment horizontal="center"/>
    </xf>
    <xf numFmtId="0" fontId="1" fillId="0" borderId="0" xfId="0" applyFont="1" applyBorder="1"/>
    <xf numFmtId="0" fontId="0" fillId="2" borderId="47" xfId="0" applyFill="1" applyBorder="1" applyAlignment="1">
      <alignment horizontal="center"/>
    </xf>
    <xf numFmtId="0" fontId="2" fillId="2" borderId="42" xfId="0" applyFont="1" applyFill="1" applyBorder="1" applyAlignment="1">
      <alignment horizontal="center"/>
    </xf>
    <xf numFmtId="0" fontId="4" fillId="2" borderId="49" xfId="0" applyFont="1" applyFill="1" applyBorder="1" applyAlignment="1">
      <alignment horizontal="center"/>
    </xf>
    <xf numFmtId="0" fontId="4" fillId="2" borderId="43" xfId="0" applyFont="1" applyFill="1" applyBorder="1" applyAlignment="1">
      <alignment horizontal="center"/>
    </xf>
    <xf numFmtId="0" fontId="0" fillId="2" borderId="50" xfId="0" applyFill="1" applyBorder="1"/>
    <xf numFmtId="0" fontId="0" fillId="2" borderId="24" xfId="0" applyFill="1" applyBorder="1"/>
    <xf numFmtId="0" fontId="0" fillId="2" borderId="51" xfId="0" applyFill="1" applyBorder="1"/>
    <xf numFmtId="0" fontId="0" fillId="2" borderId="52" xfId="0" applyFill="1" applyBorder="1" applyAlignment="1">
      <alignment horizontal="center"/>
    </xf>
    <xf numFmtId="0" fontId="0" fillId="2" borderId="17" xfId="0" applyFill="1" applyBorder="1" applyAlignment="1">
      <alignment horizontal="right"/>
    </xf>
    <xf numFmtId="0" fontId="0" fillId="2" borderId="18" xfId="0" applyFill="1" applyBorder="1" applyAlignment="1">
      <alignment horizontal="right"/>
    </xf>
    <xf numFmtId="0" fontId="0" fillId="2" borderId="29" xfId="0" applyFill="1" applyBorder="1" applyAlignment="1">
      <alignment horizontal="right"/>
    </xf>
    <xf numFmtId="0" fontId="0" fillId="0" borderId="55" xfId="0" applyBorder="1"/>
    <xf numFmtId="0" fontId="0" fillId="0" borderId="1" xfId="0" applyFill="1" applyBorder="1"/>
    <xf numFmtId="0" fontId="0" fillId="0" borderId="0" xfId="0" applyFill="1"/>
    <xf numFmtId="0" fontId="0" fillId="0" borderId="0" xfId="0" applyFill="1" applyBorder="1"/>
    <xf numFmtId="164" fontId="0" fillId="3" borderId="12" xfId="0" applyNumberFormat="1" applyFill="1" applyBorder="1"/>
    <xf numFmtId="164" fontId="0" fillId="2" borderId="2" xfId="0" applyNumberFormat="1" applyFill="1" applyBorder="1"/>
    <xf numFmtId="164" fontId="0" fillId="2" borderId="30" xfId="0" applyNumberFormat="1" applyFill="1" applyBorder="1" applyAlignment="1">
      <alignment horizontal="right"/>
    </xf>
    <xf numFmtId="164" fontId="0" fillId="2" borderId="48" xfId="0" applyNumberFormat="1" applyFill="1" applyBorder="1"/>
    <xf numFmtId="164" fontId="0" fillId="0" borderId="40" xfId="0" applyNumberFormat="1" applyBorder="1"/>
    <xf numFmtId="164" fontId="0" fillId="3" borderId="1" xfId="0" applyNumberFormat="1" applyFill="1" applyBorder="1"/>
    <xf numFmtId="164" fontId="0" fillId="2" borderId="1" xfId="0" applyNumberFormat="1" applyFill="1" applyBorder="1"/>
    <xf numFmtId="164" fontId="0" fillId="2" borderId="8" xfId="0" applyNumberFormat="1" applyFill="1" applyBorder="1"/>
    <xf numFmtId="164" fontId="0" fillId="0" borderId="1" xfId="0" applyNumberFormat="1" applyBorder="1"/>
    <xf numFmtId="164" fontId="0" fillId="0" borderId="11" xfId="0" applyNumberFormat="1" applyBorder="1"/>
    <xf numFmtId="164" fontId="0" fillId="0" borderId="10" xfId="0" applyNumberFormat="1" applyBorder="1"/>
    <xf numFmtId="164" fontId="2" fillId="0" borderId="10" xfId="0" applyNumberFormat="1" applyFont="1" applyBorder="1"/>
    <xf numFmtId="164" fontId="0" fillId="3" borderId="13" xfId="0" applyNumberFormat="1" applyFill="1" applyBorder="1"/>
    <xf numFmtId="164" fontId="0" fillId="2" borderId="12" xfId="0" applyNumberFormat="1" applyFill="1" applyBorder="1"/>
    <xf numFmtId="164" fontId="0" fillId="0" borderId="2" xfId="0" applyNumberFormat="1" applyBorder="1"/>
    <xf numFmtId="164" fontId="0" fillId="0" borderId="48" xfId="0" applyNumberFormat="1" applyBorder="1"/>
    <xf numFmtId="164" fontId="0" fillId="2" borderId="40" xfId="0" applyNumberFormat="1" applyFill="1" applyBorder="1"/>
    <xf numFmtId="164" fontId="0" fillId="0" borderId="8" xfId="0" applyNumberFormat="1" applyBorder="1"/>
    <xf numFmtId="164" fontId="0" fillId="2" borderId="10" xfId="0" applyNumberFormat="1" applyFill="1" applyBorder="1"/>
    <xf numFmtId="164" fontId="0" fillId="2" borderId="13" xfId="0" applyNumberFormat="1" applyFill="1" applyBorder="1"/>
    <xf numFmtId="164" fontId="0" fillId="2" borderId="19" xfId="0" applyNumberFormat="1" applyFill="1" applyBorder="1"/>
    <xf numFmtId="164" fontId="0" fillId="2" borderId="20" xfId="0" applyNumberFormat="1" applyFill="1" applyBorder="1"/>
    <xf numFmtId="164" fontId="0" fillId="3" borderId="56" xfId="0" applyNumberFormat="1" applyFill="1" applyBorder="1"/>
    <xf numFmtId="164" fontId="0" fillId="4" borderId="41" xfId="0" applyNumberFormat="1" applyFill="1" applyBorder="1" applyAlignment="1">
      <alignment horizontal="center"/>
    </xf>
    <xf numFmtId="164" fontId="0" fillId="4" borderId="44" xfId="0" applyNumberFormat="1" applyFill="1" applyBorder="1" applyAlignment="1">
      <alignment horizontal="center"/>
    </xf>
    <xf numFmtId="164" fontId="0" fillId="4" borderId="15" xfId="0" applyNumberFormat="1" applyFill="1" applyBorder="1"/>
    <xf numFmtId="164" fontId="0" fillId="4" borderId="17" xfId="0" applyNumberFormat="1" applyFill="1" applyBorder="1"/>
    <xf numFmtId="164" fontId="0" fillId="4" borderId="18" xfId="0" applyNumberFormat="1" applyFill="1" applyBorder="1"/>
    <xf numFmtId="164" fontId="0" fillId="0" borderId="0" xfId="0" applyNumberFormat="1"/>
    <xf numFmtId="164" fontId="0" fillId="5" borderId="41" xfId="0" applyNumberFormat="1" applyFill="1" applyBorder="1" applyAlignment="1">
      <alignment horizontal="center"/>
    </xf>
    <xf numFmtId="164" fontId="0" fillId="5" borderId="44" xfId="0" applyNumberFormat="1" applyFill="1" applyBorder="1" applyAlignment="1">
      <alignment horizontal="center"/>
    </xf>
    <xf numFmtId="164" fontId="0" fillId="5" borderId="15" xfId="0" applyNumberFormat="1" applyFill="1" applyBorder="1"/>
    <xf numFmtId="164" fontId="0" fillId="5" borderId="17" xfId="0" applyNumberFormat="1" applyFill="1" applyBorder="1"/>
    <xf numFmtId="164" fontId="0" fillId="5" borderId="18" xfId="0" applyNumberFormat="1" applyFill="1" applyBorder="1"/>
    <xf numFmtId="164" fontId="0" fillId="2" borderId="15" xfId="0" applyNumberFormat="1" applyFill="1" applyBorder="1" applyAlignment="1">
      <alignment horizontal="right"/>
    </xf>
    <xf numFmtId="164" fontId="0" fillId="2" borderId="57" xfId="0" applyNumberFormat="1" applyFill="1" applyBorder="1"/>
    <xf numFmtId="164" fontId="0" fillId="2" borderId="17" xfId="0" applyNumberFormat="1" applyFill="1" applyBorder="1" applyAlignment="1">
      <alignment horizontal="right"/>
    </xf>
    <xf numFmtId="164" fontId="0" fillId="2" borderId="50" xfId="0" applyNumberFormat="1" applyFill="1" applyBorder="1"/>
    <xf numFmtId="164" fontId="0" fillId="2" borderId="58" xfId="0" applyNumberFormat="1" applyFill="1" applyBorder="1"/>
    <xf numFmtId="164" fontId="0" fillId="3" borderId="47" xfId="0" applyNumberFormat="1" applyFill="1" applyBorder="1"/>
    <xf numFmtId="164" fontId="0" fillId="3" borderId="15" xfId="0" applyNumberFormat="1" applyFill="1" applyBorder="1"/>
    <xf numFmtId="164" fontId="0" fillId="3" borderId="42" xfId="0" applyNumberFormat="1" applyFill="1" applyBorder="1"/>
    <xf numFmtId="164" fontId="0" fillId="3" borderId="17" xfId="0" applyNumberFormat="1" applyFill="1" applyBorder="1"/>
    <xf numFmtId="164" fontId="0" fillId="3" borderId="49" xfId="0" applyNumberFormat="1" applyFill="1" applyBorder="1"/>
    <xf numFmtId="164" fontId="0" fillId="3" borderId="30" xfId="0" applyNumberFormat="1" applyFill="1" applyBorder="1"/>
    <xf numFmtId="164" fontId="0" fillId="3" borderId="29" xfId="0" applyNumberFormat="1" applyFill="1" applyBorder="1"/>
    <xf numFmtId="164" fontId="0" fillId="3" borderId="43" xfId="0" applyNumberFormat="1" applyFill="1" applyBorder="1"/>
    <xf numFmtId="164" fontId="0" fillId="3" borderId="18" xfId="0" applyNumberFormat="1" applyFill="1" applyBorder="1"/>
    <xf numFmtId="164" fontId="0" fillId="2" borderId="4" xfId="0" applyNumberFormat="1" applyFill="1" applyBorder="1"/>
    <xf numFmtId="164" fontId="0" fillId="2" borderId="5" xfId="0" applyNumberFormat="1" applyFill="1" applyBorder="1"/>
    <xf numFmtId="164" fontId="0" fillId="2" borderId="7" xfId="0" applyNumberFormat="1" applyFill="1" applyBorder="1"/>
    <xf numFmtId="0" fontId="0" fillId="5" borderId="59" xfId="0" applyFill="1" applyBorder="1"/>
    <xf numFmtId="0" fontId="0" fillId="0" borderId="40" xfId="0" applyBorder="1"/>
    <xf numFmtId="0" fontId="0" fillId="0" borderId="13" xfId="0" applyBorder="1"/>
    <xf numFmtId="0" fontId="4" fillId="4" borderId="46" xfId="0" applyFont="1" applyFill="1" applyBorder="1"/>
    <xf numFmtId="0" fontId="0" fillId="0" borderId="3" xfId="0" applyFill="1" applyBorder="1"/>
    <xf numFmtId="0" fontId="4" fillId="0" borderId="3" xfId="0" applyFont="1" applyFill="1" applyBorder="1"/>
    <xf numFmtId="0" fontId="0" fillId="0" borderId="61" xfId="0" applyBorder="1"/>
    <xf numFmtId="0" fontId="0" fillId="0" borderId="62" xfId="0" applyBorder="1"/>
    <xf numFmtId="0" fontId="0" fillId="0" borderId="62" xfId="0" applyFill="1" applyBorder="1"/>
    <xf numFmtId="0" fontId="2" fillId="0" borderId="0" xfId="0" applyFont="1" applyFill="1" applyBorder="1" applyAlignment="1">
      <alignment horizontal="right"/>
    </xf>
    <xf numFmtId="0" fontId="0" fillId="2" borderId="41" xfId="0" applyFill="1" applyBorder="1" applyAlignment="1">
      <alignment horizontal="center"/>
    </xf>
    <xf numFmtId="0" fontId="0" fillId="2" borderId="44" xfId="0" applyFill="1" applyBorder="1" applyAlignment="1">
      <alignment horizontal="center"/>
    </xf>
    <xf numFmtId="0" fontId="0" fillId="2" borderId="15" xfId="0" applyFill="1" applyBorder="1"/>
    <xf numFmtId="0" fontId="0" fillId="2" borderId="17" xfId="0" applyFill="1" applyBorder="1"/>
    <xf numFmtId="0" fontId="0" fillId="2" borderId="18" xfId="0" applyFill="1" applyBorder="1"/>
    <xf numFmtId="0" fontId="0" fillId="5" borderId="65" xfId="0" applyFill="1" applyBorder="1" applyAlignment="1">
      <alignment horizontal="center"/>
    </xf>
    <xf numFmtId="0" fontId="0" fillId="5" borderId="54" xfId="0" applyFill="1" applyBorder="1" applyAlignment="1">
      <alignment horizontal="center"/>
    </xf>
    <xf numFmtId="0" fontId="0" fillId="4" borderId="29" xfId="0" applyFill="1" applyBorder="1"/>
    <xf numFmtId="0" fontId="0" fillId="4" borderId="41" xfId="0" applyFill="1" applyBorder="1" applyAlignment="1">
      <alignment horizontal="center"/>
    </xf>
    <xf numFmtId="0" fontId="0" fillId="4" borderId="44" xfId="0" applyFill="1" applyBorder="1" applyAlignment="1">
      <alignment horizontal="center"/>
    </xf>
    <xf numFmtId="0" fontId="0" fillId="5" borderId="17" xfId="0" applyFill="1" applyBorder="1" applyAlignment="1">
      <alignment horizontal="right"/>
    </xf>
    <xf numFmtId="0" fontId="0" fillId="5" borderId="18" xfId="0" applyFill="1" applyBorder="1" applyAlignment="1">
      <alignment horizontal="right"/>
    </xf>
    <xf numFmtId="0" fontId="2" fillId="0" borderId="9" xfId="0" applyFont="1" applyBorder="1"/>
    <xf numFmtId="0" fontId="0" fillId="0" borderId="67" xfId="0" applyBorder="1"/>
    <xf numFmtId="0" fontId="0" fillId="0" borderId="48" xfId="0" applyBorder="1"/>
    <xf numFmtId="0" fontId="0" fillId="0" borderId="0" xfId="0" quotePrefix="1"/>
    <xf numFmtId="0" fontId="0" fillId="3" borderId="31" xfId="0" applyFill="1" applyBorder="1" applyAlignment="1">
      <alignment horizontal="center"/>
    </xf>
    <xf numFmtId="0" fontId="0" fillId="5" borderId="28" xfId="0" applyFill="1" applyBorder="1" applyAlignment="1">
      <alignment horizontal="center"/>
    </xf>
    <xf numFmtId="0" fontId="2" fillId="0" borderId="0" xfId="0" applyFont="1"/>
    <xf numFmtId="0" fontId="2" fillId="0" borderId="1" xfId="0" applyFont="1" applyBorder="1"/>
    <xf numFmtId="0" fontId="0" fillId="0" borderId="70" xfId="0" applyBorder="1"/>
    <xf numFmtId="0" fontId="2" fillId="0" borderId="31" xfId="0" applyFont="1" applyBorder="1"/>
    <xf numFmtId="0" fontId="0" fillId="0" borderId="72" xfId="0" applyBorder="1" applyAlignment="1">
      <alignment horizontal="right"/>
    </xf>
    <xf numFmtId="0" fontId="0" fillId="0" borderId="32" xfId="0" applyBorder="1"/>
    <xf numFmtId="0" fontId="0" fillId="0" borderId="43" xfId="0" applyBorder="1"/>
    <xf numFmtId="0" fontId="0" fillId="6" borderId="4" xfId="0" applyFill="1" applyBorder="1"/>
    <xf numFmtId="0" fontId="0" fillId="6" borderId="1" xfId="0" applyFill="1" applyBorder="1"/>
    <xf numFmtId="0" fontId="0" fillId="6" borderId="13" xfId="0" applyFill="1" applyBorder="1"/>
    <xf numFmtId="164" fontId="0" fillId="0" borderId="5" xfId="0" applyNumberFormat="1" applyBorder="1"/>
    <xf numFmtId="164" fontId="0" fillId="0" borderId="6" xfId="0" applyNumberFormat="1" applyBorder="1"/>
    <xf numFmtId="164" fontId="0" fillId="0" borderId="7" xfId="0" applyNumberFormat="1" applyBorder="1"/>
    <xf numFmtId="164" fontId="0" fillId="0" borderId="9" xfId="0" applyNumberFormat="1" applyBorder="1"/>
    <xf numFmtId="0" fontId="0" fillId="6" borderId="67" xfId="0" applyFill="1" applyBorder="1"/>
    <xf numFmtId="0" fontId="2" fillId="0" borderId="25" xfId="0" applyFont="1" applyBorder="1"/>
    <xf numFmtId="0" fontId="0" fillId="0" borderId="56" xfId="0" applyBorder="1"/>
    <xf numFmtId="0" fontId="0" fillId="0" borderId="60" xfId="0" applyBorder="1"/>
    <xf numFmtId="0" fontId="0" fillId="6" borderId="56" xfId="0" applyFill="1" applyBorder="1"/>
    <xf numFmtId="0" fontId="0" fillId="0" borderId="14" xfId="0" applyFill="1" applyBorder="1"/>
    <xf numFmtId="0" fontId="0" fillId="0" borderId="37" xfId="0" applyFill="1" applyBorder="1"/>
    <xf numFmtId="0" fontId="0" fillId="0" borderId="34" xfId="0" applyFill="1" applyBorder="1"/>
    <xf numFmtId="0" fontId="0" fillId="3" borderId="15" xfId="0" applyFill="1" applyBorder="1"/>
    <xf numFmtId="0" fontId="0" fillId="5" borderId="15" xfId="0" applyFill="1" applyBorder="1"/>
    <xf numFmtId="0" fontId="0" fillId="3" borderId="17" xfId="0" applyFill="1" applyBorder="1"/>
    <xf numFmtId="0" fontId="0" fillId="5" borderId="17" xfId="0" applyFill="1" applyBorder="1"/>
    <xf numFmtId="0" fontId="0" fillId="3" borderId="18" xfId="0" applyFill="1" applyBorder="1"/>
    <xf numFmtId="0" fontId="0" fillId="5" borderId="18" xfId="0" applyFill="1" applyBorder="1"/>
    <xf numFmtId="0" fontId="7" fillId="0" borderId="0" xfId="0" applyFont="1"/>
    <xf numFmtId="0" fontId="2" fillId="0" borderId="0" xfId="0" applyFont="1" applyFill="1" applyBorder="1"/>
    <xf numFmtId="0" fontId="7" fillId="0" borderId="0" xfId="0" applyFont="1" applyFill="1" applyBorder="1"/>
    <xf numFmtId="164" fontId="0" fillId="0" borderId="0" xfId="0" applyNumberFormat="1" applyFill="1" applyBorder="1"/>
    <xf numFmtId="0" fontId="2" fillId="0" borderId="24" xfId="0" applyFont="1"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9" borderId="20" xfId="0" applyFill="1" applyBorder="1"/>
    <xf numFmtId="0" fontId="0" fillId="7" borderId="31" xfId="0" applyFill="1" applyBorder="1" applyAlignment="1">
      <alignment horizontal="center"/>
    </xf>
    <xf numFmtId="0" fontId="0" fillId="7" borderId="15" xfId="0" applyFill="1" applyBorder="1"/>
    <xf numFmtId="0" fontId="0" fillId="7" borderId="17" xfId="0" applyFill="1" applyBorder="1"/>
    <xf numFmtId="0" fontId="0" fillId="7" borderId="18" xfId="0" applyFill="1" applyBorder="1"/>
    <xf numFmtId="0" fontId="0" fillId="8" borderId="4" xfId="0" applyFill="1" applyBorder="1"/>
    <xf numFmtId="0" fontId="0" fillId="8" borderId="6" xfId="0" applyFill="1" applyBorder="1"/>
    <xf numFmtId="0" fontId="0" fillId="8" borderId="7" xfId="0" applyFill="1" applyBorder="1"/>
    <xf numFmtId="0" fontId="0" fillId="8" borderId="8" xfId="0" applyFill="1" applyBorder="1"/>
    <xf numFmtId="0" fontId="0" fillId="8" borderId="9" xfId="0" applyFill="1" applyBorder="1"/>
    <xf numFmtId="0" fontId="0" fillId="8" borderId="13" xfId="0" applyFill="1" applyBorder="1"/>
    <xf numFmtId="0" fontId="0" fillId="10" borderId="7" xfId="0" applyFill="1" applyBorder="1"/>
    <xf numFmtId="0" fontId="0" fillId="10" borderId="9" xfId="0" applyFill="1" applyBorder="1"/>
    <xf numFmtId="0" fontId="0" fillId="8" borderId="45" xfId="0" applyFill="1" applyBorder="1" applyAlignment="1">
      <alignment horizontal="center"/>
    </xf>
    <xf numFmtId="0" fontId="0" fillId="8" borderId="46" xfId="0" applyFill="1" applyBorder="1" applyAlignment="1">
      <alignment horizontal="center"/>
    </xf>
    <xf numFmtId="0" fontId="0" fillId="9" borderId="45" xfId="0" applyFill="1" applyBorder="1" applyAlignment="1">
      <alignment horizontal="center"/>
    </xf>
    <xf numFmtId="0" fontId="0" fillId="9" borderId="46" xfId="0" applyFill="1" applyBorder="1" applyAlignment="1">
      <alignment horizontal="center"/>
    </xf>
    <xf numFmtId="0" fontId="0" fillId="10" borderId="45" xfId="0" applyFill="1" applyBorder="1" applyAlignment="1">
      <alignment horizontal="center"/>
    </xf>
    <xf numFmtId="0" fontId="0" fillId="10" borderId="46" xfId="0" applyFill="1" applyBorder="1" applyAlignment="1">
      <alignment horizontal="center"/>
    </xf>
    <xf numFmtId="0" fontId="0" fillId="11" borderId="27" xfId="0" applyFill="1" applyBorder="1" applyAlignment="1">
      <alignment horizontal="center"/>
    </xf>
    <xf numFmtId="0" fontId="0" fillId="5" borderId="27" xfId="0" applyFill="1" applyBorder="1" applyAlignment="1">
      <alignment horizontal="center"/>
    </xf>
    <xf numFmtId="0" fontId="8" fillId="13" borderId="78" xfId="0" applyFont="1" applyFill="1" applyBorder="1"/>
    <xf numFmtId="0" fontId="8" fillId="13" borderId="81" xfId="0" applyFont="1" applyFill="1" applyBorder="1"/>
    <xf numFmtId="0" fontId="8" fillId="13" borderId="82" xfId="0" applyFont="1" applyFill="1" applyBorder="1"/>
    <xf numFmtId="0" fontId="8" fillId="13" borderId="83" xfId="0" applyFont="1" applyFill="1" applyBorder="1"/>
    <xf numFmtId="0" fontId="8" fillId="13" borderId="84" xfId="0" applyFont="1" applyFill="1" applyBorder="1"/>
    <xf numFmtId="0" fontId="8" fillId="13" borderId="85" xfId="0" applyFont="1" applyFill="1" applyBorder="1" applyAlignment="1">
      <alignment horizontal="center"/>
    </xf>
    <xf numFmtId="0" fontId="8" fillId="13" borderId="79" xfId="0" applyFont="1" applyFill="1" applyBorder="1"/>
    <xf numFmtId="0" fontId="8" fillId="13" borderId="80" xfId="0" applyFont="1" applyFill="1" applyBorder="1"/>
    <xf numFmtId="0" fontId="8" fillId="13" borderId="86" xfId="0" applyFont="1" applyFill="1" applyBorder="1" applyAlignment="1">
      <alignment horizontal="center"/>
    </xf>
    <xf numFmtId="0" fontId="8" fillId="13" borderId="87" xfId="0" applyFont="1" applyFill="1" applyBorder="1"/>
    <xf numFmtId="0" fontId="8" fillId="13" borderId="88" xfId="0" applyFont="1" applyFill="1" applyBorder="1"/>
    <xf numFmtId="0" fontId="8" fillId="13" borderId="89" xfId="0" applyFont="1" applyFill="1" applyBorder="1"/>
    <xf numFmtId="0" fontId="8" fillId="13" borderId="90" xfId="0" applyFont="1" applyFill="1" applyBorder="1" applyAlignment="1">
      <alignment horizontal="center"/>
    </xf>
    <xf numFmtId="0" fontId="8" fillId="13" borderId="91" xfId="0" applyFont="1" applyFill="1" applyBorder="1" applyAlignment="1">
      <alignment horizontal="center"/>
    </xf>
    <xf numFmtId="0" fontId="8" fillId="13" borderId="92" xfId="0" applyFont="1" applyFill="1" applyBorder="1" applyAlignment="1">
      <alignment horizontal="center"/>
    </xf>
    <xf numFmtId="0" fontId="8" fillId="13" borderId="93" xfId="0" applyFont="1" applyFill="1" applyBorder="1"/>
    <xf numFmtId="0" fontId="8" fillId="13" borderId="76" xfId="0" applyFont="1" applyFill="1" applyBorder="1" applyAlignment="1">
      <alignment horizontal="center"/>
    </xf>
    <xf numFmtId="0" fontId="8" fillId="13" borderId="94" xfId="0" applyFont="1" applyFill="1" applyBorder="1"/>
    <xf numFmtId="0" fontId="8" fillId="13" borderId="95" xfId="0" applyFont="1" applyFill="1" applyBorder="1"/>
    <xf numFmtId="0" fontId="8" fillId="13" borderId="96" xfId="0" applyFont="1" applyFill="1" applyBorder="1"/>
    <xf numFmtId="0" fontId="8" fillId="13" borderId="98" xfId="0" applyFont="1" applyFill="1" applyBorder="1"/>
    <xf numFmtId="0" fontId="8" fillId="13" borderId="99" xfId="0" applyFont="1" applyFill="1" applyBorder="1"/>
    <xf numFmtId="0" fontId="8" fillId="13" borderId="101" xfId="0" applyFont="1" applyFill="1" applyBorder="1"/>
    <xf numFmtId="0" fontId="8" fillId="13" borderId="102" xfId="0" applyFont="1" applyFill="1" applyBorder="1"/>
    <xf numFmtId="0" fontId="8" fillId="13" borderId="97" xfId="0" applyFont="1" applyFill="1" applyBorder="1" applyAlignment="1">
      <alignment horizontal="center"/>
    </xf>
    <xf numFmtId="0" fontId="2" fillId="9" borderId="1" xfId="0" applyFont="1" applyFill="1" applyBorder="1"/>
    <xf numFmtId="0" fontId="2" fillId="8" borderId="1" xfId="0" applyFont="1" applyFill="1" applyBorder="1"/>
    <xf numFmtId="0" fontId="2" fillId="12" borderId="1" xfId="0" applyFont="1" applyFill="1" applyBorder="1"/>
    <xf numFmtId="0" fontId="0" fillId="12" borderId="1" xfId="0" applyFill="1" applyBorder="1"/>
    <xf numFmtId="0" fontId="2" fillId="11" borderId="1" xfId="0" applyFont="1" applyFill="1" applyBorder="1"/>
    <xf numFmtId="0" fontId="2" fillId="10" borderId="33" xfId="0" applyFont="1" applyFill="1" applyBorder="1" applyAlignment="1">
      <alignment horizontal="center"/>
    </xf>
    <xf numFmtId="0" fontId="0" fillId="11" borderId="40" xfId="0" applyFill="1" applyBorder="1"/>
    <xf numFmtId="0" fontId="2" fillId="12" borderId="31" xfId="0" applyFont="1" applyFill="1" applyBorder="1"/>
    <xf numFmtId="0" fontId="0" fillId="12" borderId="28" xfId="0" applyFill="1" applyBorder="1"/>
    <xf numFmtId="0" fontId="0" fillId="4" borderId="21" xfId="0" applyFill="1" applyBorder="1"/>
    <xf numFmtId="0" fontId="0" fillId="4" borderId="42" xfId="0" applyFill="1" applyBorder="1"/>
    <xf numFmtId="0" fontId="0" fillId="4" borderId="22" xfId="0" applyFill="1" applyBorder="1"/>
    <xf numFmtId="0" fontId="0" fillId="2" borderId="14" xfId="0" applyFill="1" applyBorder="1" applyAlignment="1">
      <alignment horizontal="center"/>
    </xf>
    <xf numFmtId="0" fontId="0" fillId="2" borderId="77" xfId="0" applyFill="1" applyBorder="1" applyAlignment="1">
      <alignment horizontal="center"/>
    </xf>
    <xf numFmtId="0" fontId="2" fillId="9" borderId="27" xfId="0" applyFont="1" applyFill="1" applyBorder="1" applyAlignment="1">
      <alignment horizontal="center"/>
    </xf>
    <xf numFmtId="0" fontId="2" fillId="0" borderId="4" xfId="0" applyFont="1" applyFill="1" applyBorder="1"/>
    <xf numFmtId="0" fontId="0" fillId="0" borderId="5" xfId="0" applyFill="1" applyBorder="1"/>
    <xf numFmtId="0" fontId="2" fillId="0" borderId="7" xfId="0" applyFont="1" applyBorder="1"/>
    <xf numFmtId="0" fontId="2" fillId="0" borderId="46" xfId="0" applyFont="1" applyBorder="1" applyAlignment="1" applyProtection="1">
      <alignment horizontal="right"/>
    </xf>
    <xf numFmtId="0" fontId="2" fillId="0" borderId="6" xfId="0" applyFont="1" applyBorder="1" applyProtection="1"/>
    <xf numFmtId="0" fontId="2" fillId="0" borderId="13" xfId="0" applyFont="1" applyBorder="1" applyProtection="1"/>
    <xf numFmtId="0" fontId="6" fillId="0" borderId="71" xfId="0" applyFont="1" applyBorder="1" applyProtection="1">
      <protection locked="0"/>
    </xf>
    <xf numFmtId="0" fontId="2" fillId="7" borderId="12" xfId="0" applyFont="1" applyFill="1" applyBorder="1" applyAlignment="1">
      <alignment horizontal="center"/>
    </xf>
    <xf numFmtId="0" fontId="2" fillId="8" borderId="1" xfId="0" applyFont="1" applyFill="1" applyBorder="1" applyAlignment="1">
      <alignment horizontal="center"/>
    </xf>
    <xf numFmtId="0" fontId="2" fillId="12" borderId="12" xfId="0" applyFont="1" applyFill="1" applyBorder="1" applyAlignment="1">
      <alignment horizontal="center"/>
    </xf>
    <xf numFmtId="0" fontId="2" fillId="7" borderId="1" xfId="0" applyFont="1" applyFill="1" applyBorder="1"/>
    <xf numFmtId="0" fontId="0" fillId="0" borderId="21" xfId="0" applyFill="1" applyBorder="1"/>
    <xf numFmtId="0" fontId="0" fillId="0" borderId="42" xfId="0" applyFill="1" applyBorder="1"/>
    <xf numFmtId="0" fontId="0" fillId="0" borderId="43" xfId="0" applyFill="1" applyBorder="1"/>
    <xf numFmtId="0" fontId="0" fillId="0" borderId="42" xfId="0" applyBorder="1"/>
    <xf numFmtId="0" fontId="2" fillId="0" borderId="0" xfId="0" applyFont="1" applyAlignment="1"/>
    <xf numFmtId="0" fontId="2" fillId="0" borderId="15" xfId="0" applyFont="1" applyBorder="1" applyAlignment="1">
      <alignment horizontal="right"/>
    </xf>
    <xf numFmtId="0" fontId="2" fillId="0" borderId="17" xfId="0" applyFont="1" applyBorder="1" applyAlignment="1">
      <alignment horizontal="right"/>
    </xf>
    <xf numFmtId="0" fontId="2" fillId="0" borderId="17" xfId="0" applyFont="1" applyFill="1" applyBorder="1" applyAlignment="1">
      <alignment horizontal="right"/>
    </xf>
    <xf numFmtId="0" fontId="2" fillId="0" borderId="8" xfId="0" applyFont="1" applyBorder="1"/>
    <xf numFmtId="0" fontId="2" fillId="0" borderId="21" xfId="0" applyFont="1" applyBorder="1" applyAlignment="1">
      <alignment horizontal="right"/>
    </xf>
    <xf numFmtId="0" fontId="2" fillId="0" borderId="42" xfId="0" applyFont="1" applyBorder="1" applyAlignment="1">
      <alignment horizontal="right"/>
    </xf>
    <xf numFmtId="0" fontId="2" fillId="0" borderId="42" xfId="0" applyFont="1" applyFill="1" applyBorder="1" applyAlignment="1">
      <alignment horizontal="right"/>
    </xf>
    <xf numFmtId="0" fontId="2" fillId="8" borderId="42" xfId="0" applyFont="1" applyFill="1" applyBorder="1" applyAlignment="1">
      <alignment horizontal="right"/>
    </xf>
    <xf numFmtId="0" fontId="2" fillId="8" borderId="43" xfId="0" applyFont="1" applyFill="1" applyBorder="1" applyAlignment="1">
      <alignment horizontal="right"/>
    </xf>
    <xf numFmtId="0" fontId="0" fillId="8" borderId="10" xfId="0" applyFill="1" applyBorder="1"/>
    <xf numFmtId="0" fontId="2" fillId="8" borderId="17" xfId="0" applyFont="1" applyFill="1" applyBorder="1" applyAlignment="1">
      <alignment horizontal="right"/>
    </xf>
    <xf numFmtId="0" fontId="2" fillId="8" borderId="18" xfId="0" applyFont="1" applyFill="1" applyBorder="1" applyAlignment="1">
      <alignment horizontal="right"/>
    </xf>
    <xf numFmtId="0" fontId="2" fillId="0" borderId="45" xfId="0" applyFont="1" applyBorder="1"/>
    <xf numFmtId="0" fontId="0" fillId="0" borderId="15" xfId="0" applyNumberFormat="1" applyFill="1" applyBorder="1"/>
    <xf numFmtId="0" fontId="2" fillId="0" borderId="25" xfId="0" applyNumberFormat="1" applyFont="1" applyBorder="1"/>
    <xf numFmtId="0" fontId="0" fillId="0" borderId="17" xfId="0" applyNumberFormat="1" applyFill="1" applyBorder="1"/>
    <xf numFmtId="0" fontId="0" fillId="0" borderId="18" xfId="0" applyNumberFormat="1" applyFill="1" applyBorder="1"/>
    <xf numFmtId="0" fontId="0" fillId="0" borderId="0" xfId="0" applyNumberFormat="1" applyFill="1" applyBorder="1"/>
    <xf numFmtId="0" fontId="0" fillId="0" borderId="0" xfId="0" applyNumberFormat="1"/>
    <xf numFmtId="0" fontId="0" fillId="8" borderId="20" xfId="0" applyFill="1" applyBorder="1"/>
    <xf numFmtId="0" fontId="0" fillId="8" borderId="56" xfId="0" applyFill="1" applyBorder="1"/>
    <xf numFmtId="0" fontId="0" fillId="0" borderId="66" xfId="0" applyBorder="1"/>
    <xf numFmtId="0" fontId="0" fillId="0" borderId="69" xfId="0" applyBorder="1"/>
    <xf numFmtId="0" fontId="0" fillId="0" borderId="52" xfId="0" applyBorder="1"/>
    <xf numFmtId="0" fontId="0" fillId="0" borderId="103" xfId="0" applyBorder="1"/>
    <xf numFmtId="0" fontId="2" fillId="0" borderId="52" xfId="0" applyFont="1" applyBorder="1"/>
    <xf numFmtId="0" fontId="2" fillId="0" borderId="103" xfId="0" applyFont="1" applyBorder="1"/>
    <xf numFmtId="0" fontId="9" fillId="0" borderId="0" xfId="0" applyFont="1" applyBorder="1"/>
    <xf numFmtId="0" fontId="2" fillId="0" borderId="0" xfId="0" applyFont="1" applyBorder="1"/>
    <xf numFmtId="0" fontId="0" fillId="8" borderId="5" xfId="0" applyFill="1" applyBorder="1"/>
    <xf numFmtId="0" fontId="0" fillId="8" borderId="53" xfId="0" applyFill="1" applyBorder="1"/>
    <xf numFmtId="0" fontId="0" fillId="10" borderId="67" xfId="0" applyFill="1" applyBorder="1"/>
    <xf numFmtId="0" fontId="2" fillId="10" borderId="27" xfId="0" applyFont="1" applyFill="1" applyBorder="1"/>
    <xf numFmtId="0" fontId="0" fillId="10" borderId="47" xfId="0" applyFill="1" applyBorder="1"/>
    <xf numFmtId="0" fontId="0" fillId="10" borderId="42" xfId="0" applyFill="1" applyBorder="1"/>
    <xf numFmtId="0" fontId="0" fillId="10" borderId="43" xfId="0" applyFill="1" applyBorder="1"/>
    <xf numFmtId="0" fontId="0" fillId="8" borderId="104" xfId="0" applyFill="1" applyBorder="1"/>
    <xf numFmtId="0" fontId="0" fillId="8" borderId="37" xfId="0" applyFill="1" applyBorder="1"/>
    <xf numFmtId="0" fontId="0" fillId="8" borderId="34" xfId="0" applyFill="1" applyBorder="1"/>
    <xf numFmtId="0" fontId="0" fillId="0" borderId="65" xfId="0" applyBorder="1"/>
    <xf numFmtId="0" fontId="0" fillId="0" borderId="59" xfId="0" applyBorder="1"/>
    <xf numFmtId="0" fontId="2" fillId="0" borderId="45" xfId="0" applyFont="1" applyBorder="1" applyAlignment="1">
      <alignment horizontal="right"/>
    </xf>
    <xf numFmtId="0" fontId="0" fillId="0" borderId="33" xfId="0" applyBorder="1"/>
    <xf numFmtId="0" fontId="2" fillId="0" borderId="54" xfId="0" applyFont="1" applyBorder="1"/>
    <xf numFmtId="0" fontId="6" fillId="0" borderId="1" xfId="0" applyFont="1" applyBorder="1"/>
    <xf numFmtId="0" fontId="2" fillId="0" borderId="73" xfId="0" applyFont="1" applyBorder="1" applyAlignment="1"/>
    <xf numFmtId="0" fontId="2" fillId="0" borderId="54" xfId="0" applyFont="1" applyBorder="1" applyAlignment="1"/>
    <xf numFmtId="0" fontId="2" fillId="0" borderId="55" xfId="0" applyFont="1" applyBorder="1" applyAlignment="1"/>
    <xf numFmtId="0" fontId="2" fillId="0" borderId="0" xfId="0" applyFont="1" applyBorder="1" applyAlignment="1"/>
    <xf numFmtId="0" fontId="0" fillId="9" borderId="106" xfId="0" applyFill="1" applyBorder="1"/>
    <xf numFmtId="0" fontId="0" fillId="9" borderId="107" xfId="0" applyFill="1" applyBorder="1"/>
    <xf numFmtId="0" fontId="0" fillId="9" borderId="108" xfId="0" applyFill="1" applyBorder="1"/>
    <xf numFmtId="0" fontId="0" fillId="0" borderId="54" xfId="0" applyBorder="1"/>
    <xf numFmtId="0" fontId="2" fillId="0" borderId="1" xfId="0" applyFont="1" applyBorder="1" applyAlignment="1">
      <alignment horizontal="right"/>
    </xf>
    <xf numFmtId="0" fontId="2" fillId="0" borderId="38" xfId="0" applyFont="1" applyBorder="1" applyAlignment="1">
      <alignment horizontal="right"/>
    </xf>
    <xf numFmtId="0" fontId="2" fillId="0" borderId="55" xfId="0" applyFont="1" applyBorder="1"/>
    <xf numFmtId="0" fontId="2" fillId="0" borderId="20" xfId="0" applyFont="1" applyBorder="1"/>
    <xf numFmtId="0" fontId="0" fillId="0" borderId="41" xfId="0" applyBorder="1"/>
    <xf numFmtId="0" fontId="2" fillId="0" borderId="105" xfId="0" applyFont="1" applyBorder="1"/>
    <xf numFmtId="0" fontId="0" fillId="0" borderId="105" xfId="0" applyBorder="1"/>
    <xf numFmtId="0" fontId="0" fillId="0" borderId="44" xfId="0" applyBorder="1"/>
    <xf numFmtId="0" fontId="11" fillId="0" borderId="110" xfId="0" applyFont="1" applyBorder="1"/>
    <xf numFmtId="0" fontId="11" fillId="0" borderId="111" xfId="0" applyFont="1" applyBorder="1"/>
    <xf numFmtId="0" fontId="2" fillId="0" borderId="17" xfId="0" applyFont="1" applyBorder="1"/>
    <xf numFmtId="0" fontId="11" fillId="0" borderId="109" xfId="0" applyFont="1" applyBorder="1" applyAlignment="1">
      <alignment horizontal="right"/>
    </xf>
    <xf numFmtId="0" fontId="2" fillId="0" borderId="27" xfId="0" applyFont="1" applyBorder="1" applyAlignment="1">
      <alignment horizontal="right"/>
    </xf>
    <xf numFmtId="0" fontId="12" fillId="0" borderId="112" xfId="0" applyFont="1" applyBorder="1"/>
    <xf numFmtId="0" fontId="12" fillId="0" borderId="113" xfId="0" applyFont="1" applyBorder="1"/>
    <xf numFmtId="0" fontId="12" fillId="0" borderId="114" xfId="0" applyFont="1" applyBorder="1"/>
    <xf numFmtId="0" fontId="12" fillId="0" borderId="115" xfId="0" applyFont="1" applyBorder="1"/>
    <xf numFmtId="0" fontId="12" fillId="0" borderId="116" xfId="0" applyFont="1" applyBorder="1"/>
    <xf numFmtId="0" fontId="12" fillId="0" borderId="117" xfId="0" applyFont="1" applyBorder="1"/>
    <xf numFmtId="0" fontId="0" fillId="2" borderId="4" xfId="0" applyFill="1" applyBorder="1" applyProtection="1">
      <protection locked="0"/>
    </xf>
    <xf numFmtId="0" fontId="0" fillId="2" borderId="6"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0" fontId="0" fillId="5" borderId="53" xfId="0" applyFill="1" applyBorder="1" applyProtection="1">
      <protection locked="0"/>
    </xf>
    <xf numFmtId="0" fontId="0" fillId="5" borderId="5" xfId="0" applyFill="1" applyBorder="1" applyProtection="1">
      <protection locked="0"/>
    </xf>
    <xf numFmtId="0" fontId="0" fillId="5" borderId="60" xfId="0" applyFill="1" applyBorder="1" applyProtection="1">
      <protection locked="0"/>
    </xf>
    <xf numFmtId="0" fontId="0" fillId="4" borderId="4" xfId="0" applyFill="1" applyBorder="1" applyProtection="1">
      <protection locked="0"/>
    </xf>
    <xf numFmtId="0" fontId="0" fillId="4" borderId="5" xfId="0" applyFill="1" applyBorder="1" applyProtection="1">
      <protection locked="0"/>
    </xf>
    <xf numFmtId="0" fontId="0" fillId="4" borderId="60"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2" fillId="3" borderId="7" xfId="0" applyFont="1" applyFill="1" applyBorder="1" applyProtection="1">
      <protection locked="0"/>
    </xf>
    <xf numFmtId="0" fontId="2" fillId="3" borderId="1" xfId="0" applyFont="1" applyFill="1" applyBorder="1" applyProtection="1">
      <protection locked="0"/>
    </xf>
    <xf numFmtId="0" fontId="2" fillId="3" borderId="8" xfId="0" applyFont="1" applyFill="1" applyBorder="1" applyProtection="1">
      <protection locked="0"/>
    </xf>
    <xf numFmtId="0" fontId="2" fillId="5" borderId="40" xfId="0" applyFont="1" applyFill="1" applyBorder="1" applyProtection="1">
      <protection locked="0"/>
    </xf>
    <xf numFmtId="0" fontId="0" fillId="5" borderId="2" xfId="0" applyFill="1" applyBorder="1" applyProtection="1">
      <protection locked="0"/>
    </xf>
    <xf numFmtId="0" fontId="0" fillId="5" borderId="20" xfId="0" applyFill="1" applyBorder="1" applyProtection="1">
      <protection locked="0"/>
    </xf>
    <xf numFmtId="0" fontId="0" fillId="4" borderId="7" xfId="0" applyFill="1" applyBorder="1" applyProtection="1">
      <protection locked="0"/>
    </xf>
    <xf numFmtId="0" fontId="0" fillId="4" borderId="1" xfId="0" applyFill="1" applyBorder="1" applyProtection="1">
      <protection locked="0"/>
    </xf>
    <xf numFmtId="0" fontId="0" fillId="4" borderId="20" xfId="0" applyFill="1" applyBorder="1" applyProtection="1">
      <protection locked="0"/>
    </xf>
    <xf numFmtId="0" fontId="0" fillId="2" borderId="35" xfId="0" applyFill="1" applyBorder="1" applyProtection="1">
      <protection locked="0"/>
    </xf>
    <xf numFmtId="0" fontId="0" fillId="2" borderId="36" xfId="0" applyFill="1" applyBorder="1" applyProtection="1">
      <protection locked="0"/>
    </xf>
    <xf numFmtId="0" fontId="0" fillId="3" borderId="7" xfId="0" applyFill="1" applyBorder="1" applyProtection="1">
      <protection locked="0"/>
    </xf>
    <xf numFmtId="0" fontId="0" fillId="3" borderId="2" xfId="0" applyFill="1" applyBorder="1" applyProtection="1">
      <protection locked="0"/>
    </xf>
    <xf numFmtId="0" fontId="2" fillId="3" borderId="36" xfId="0" applyFont="1" applyFill="1" applyBorder="1" applyProtection="1">
      <protection locked="0"/>
    </xf>
    <xf numFmtId="0" fontId="0" fillId="5" borderId="40" xfId="0" applyFill="1" applyBorder="1" applyProtection="1">
      <protection locked="0"/>
    </xf>
    <xf numFmtId="0" fontId="0" fillId="3" borderId="1" xfId="0" applyFill="1" applyBorder="1" applyProtection="1">
      <protection locked="0"/>
    </xf>
    <xf numFmtId="0" fontId="0" fillId="3" borderId="8" xfId="0" applyFill="1" applyBorder="1" applyProtection="1">
      <protection locked="0"/>
    </xf>
    <xf numFmtId="0" fontId="0" fillId="5" borderId="1" xfId="0" applyFill="1" applyBorder="1" applyProtection="1">
      <protection locked="0"/>
    </xf>
    <xf numFmtId="0" fontId="0" fillId="2" borderId="9" xfId="0" applyFill="1" applyBorder="1" applyProtection="1">
      <protection locked="0"/>
    </xf>
    <xf numFmtId="0" fontId="0" fillId="2" borderId="13" xfId="0" applyFill="1" applyBorder="1" applyProtection="1">
      <protection locked="0"/>
    </xf>
    <xf numFmtId="0" fontId="0" fillId="3" borderId="9" xfId="0" applyFill="1" applyBorder="1" applyProtection="1">
      <protection locked="0"/>
    </xf>
    <xf numFmtId="0" fontId="0" fillId="3" borderId="10" xfId="0" applyFill="1" applyBorder="1" applyProtection="1">
      <protection locked="0"/>
    </xf>
    <xf numFmtId="0" fontId="0" fillId="3" borderId="13" xfId="0" applyFill="1" applyBorder="1" applyProtection="1">
      <protection locked="0"/>
    </xf>
    <xf numFmtId="0" fontId="0" fillId="5" borderId="11" xfId="0" applyFill="1" applyBorder="1" applyProtection="1">
      <protection locked="0"/>
    </xf>
    <xf numFmtId="0" fontId="0" fillId="5" borderId="10" xfId="0" applyFill="1" applyBorder="1" applyProtection="1">
      <protection locked="0"/>
    </xf>
    <xf numFmtId="0" fontId="0" fillId="5" borderId="56" xfId="0" applyFill="1" applyBorder="1" applyProtection="1">
      <protection locked="0"/>
    </xf>
    <xf numFmtId="0" fontId="0" fillId="4" borderId="9" xfId="0" applyFill="1" applyBorder="1" applyProtection="1">
      <protection locked="0"/>
    </xf>
    <xf numFmtId="0" fontId="0" fillId="4" borderId="10" xfId="0" applyFill="1" applyBorder="1" applyProtection="1">
      <protection locked="0"/>
    </xf>
    <xf numFmtId="0" fontId="0" fillId="4" borderId="56" xfId="0" applyFill="1" applyBorder="1" applyProtection="1">
      <protection locked="0"/>
    </xf>
    <xf numFmtId="0" fontId="0" fillId="0" borderId="46" xfId="0" applyBorder="1" applyProtection="1">
      <protection locked="0"/>
    </xf>
    <xf numFmtId="0" fontId="0" fillId="0" borderId="7" xfId="0" applyFill="1" applyBorder="1"/>
    <xf numFmtId="0" fontId="0" fillId="0" borderId="8" xfId="0" applyFill="1" applyBorder="1"/>
    <xf numFmtId="0" fontId="0" fillId="0" borderId="9" xfId="0" applyFill="1" applyBorder="1"/>
    <xf numFmtId="0" fontId="0" fillId="0" borderId="10" xfId="0" applyFill="1" applyBorder="1"/>
    <xf numFmtId="0" fontId="0" fillId="0" borderId="13" xfId="0" applyFill="1" applyBorder="1"/>
    <xf numFmtId="0" fontId="0" fillId="0" borderId="67" xfId="0" applyFill="1" applyBorder="1"/>
    <xf numFmtId="0" fontId="0" fillId="0" borderId="2" xfId="0" applyFill="1" applyBorder="1"/>
    <xf numFmtId="0" fontId="0" fillId="0" borderId="48" xfId="0" applyFill="1" applyBorder="1"/>
    <xf numFmtId="0" fontId="0" fillId="0" borderId="45" xfId="0" applyFill="1" applyBorder="1"/>
    <xf numFmtId="0" fontId="0" fillId="0" borderId="39" xfId="0" applyFill="1" applyBorder="1"/>
    <xf numFmtId="0" fontId="0" fillId="0" borderId="46" xfId="0" applyFill="1" applyBorder="1"/>
    <xf numFmtId="164" fontId="2" fillId="0" borderId="0" xfId="1" applyNumberFormat="1" applyFont="1" applyFill="1" applyBorder="1"/>
    <xf numFmtId="0" fontId="0" fillId="8" borderId="4" xfId="0" applyFill="1" applyBorder="1" applyProtection="1">
      <protection locked="0"/>
    </xf>
    <xf numFmtId="0" fontId="0" fillId="8" borderId="6" xfId="0" applyFill="1" applyBorder="1" applyProtection="1">
      <protection locked="0"/>
    </xf>
    <xf numFmtId="0" fontId="0" fillId="9" borderId="4" xfId="0" applyFill="1" applyBorder="1" applyProtection="1">
      <protection locked="0"/>
    </xf>
    <xf numFmtId="0" fontId="0" fillId="9" borderId="6" xfId="0" applyFill="1" applyBorder="1" applyProtection="1">
      <protection locked="0"/>
    </xf>
    <xf numFmtId="0" fontId="0" fillId="10" borderId="4" xfId="0" applyFill="1" applyBorder="1" applyProtection="1">
      <protection locked="0"/>
    </xf>
    <xf numFmtId="0" fontId="0" fillId="10" borderId="6" xfId="0" applyFill="1" applyBorder="1" applyProtection="1">
      <protection locked="0"/>
    </xf>
    <xf numFmtId="0" fontId="2" fillId="11" borderId="15" xfId="0" applyFont="1" applyFill="1" applyBorder="1" applyAlignment="1" applyProtection="1">
      <alignment horizontal="center"/>
      <protection locked="0"/>
    </xf>
    <xf numFmtId="0" fontId="0" fillId="8" borderId="7" xfId="0" applyFill="1" applyBorder="1" applyProtection="1">
      <protection locked="0"/>
    </xf>
    <xf numFmtId="0" fontId="0" fillId="8" borderId="8" xfId="0" applyFill="1" applyBorder="1" applyProtection="1">
      <protection locked="0"/>
    </xf>
    <xf numFmtId="0" fontId="0" fillId="9" borderId="7" xfId="0" applyFill="1" applyBorder="1" applyProtection="1">
      <protection locked="0"/>
    </xf>
    <xf numFmtId="0" fontId="0" fillId="9" borderId="8" xfId="0" applyFill="1" applyBorder="1" applyProtection="1">
      <protection locked="0"/>
    </xf>
    <xf numFmtId="0" fontId="0" fillId="10" borderId="7" xfId="0" applyFill="1" applyBorder="1" applyProtection="1">
      <protection locked="0"/>
    </xf>
    <xf numFmtId="0" fontId="0" fillId="10" borderId="8" xfId="0" applyFill="1" applyBorder="1" applyProtection="1">
      <protection locked="0"/>
    </xf>
    <xf numFmtId="0" fontId="0" fillId="11" borderId="17" xfId="0" applyFill="1" applyBorder="1" applyAlignment="1" applyProtection="1">
      <alignment horizontal="center"/>
      <protection locked="0"/>
    </xf>
    <xf numFmtId="0" fontId="0" fillId="8" borderId="9" xfId="0" applyFill="1" applyBorder="1" applyProtection="1">
      <protection locked="0"/>
    </xf>
    <xf numFmtId="0" fontId="0" fillId="8" borderId="13" xfId="0" applyFill="1" applyBorder="1" applyProtection="1">
      <protection locked="0"/>
    </xf>
    <xf numFmtId="0" fontId="0" fillId="9" borderId="9" xfId="0" applyFill="1" applyBorder="1" applyProtection="1">
      <protection locked="0"/>
    </xf>
    <xf numFmtId="0" fontId="0" fillId="9" borderId="13" xfId="0" applyFill="1" applyBorder="1" applyProtection="1">
      <protection locked="0"/>
    </xf>
    <xf numFmtId="0" fontId="0" fillId="10" borderId="9" xfId="0" applyFill="1" applyBorder="1" applyProtection="1">
      <protection locked="0"/>
    </xf>
    <xf numFmtId="0" fontId="0" fillId="10" borderId="13" xfId="0" applyFill="1" applyBorder="1" applyProtection="1">
      <protection locked="0"/>
    </xf>
    <xf numFmtId="0" fontId="0" fillId="11" borderId="18" xfId="0" applyFill="1" applyBorder="1" applyAlignment="1" applyProtection="1">
      <alignment horizontal="center"/>
      <protection locked="0"/>
    </xf>
    <xf numFmtId="0" fontId="2" fillId="0" borderId="2" xfId="0" applyFont="1" applyBorder="1" applyProtection="1"/>
    <xf numFmtId="0" fontId="0" fillId="0" borderId="12" xfId="0" applyBorder="1" applyProtection="1"/>
    <xf numFmtId="0" fontId="0" fillId="0" borderId="63" xfId="0" applyBorder="1" applyProtection="1"/>
    <xf numFmtId="0" fontId="0" fillId="0" borderId="2" xfId="0" applyBorder="1" applyProtection="1"/>
    <xf numFmtId="0" fontId="2" fillId="0" borderId="1" xfId="0" applyFont="1" applyBorder="1" applyProtection="1"/>
    <xf numFmtId="0" fontId="0" fillId="0" borderId="40" xfId="0" applyBorder="1" applyProtection="1"/>
    <xf numFmtId="0" fontId="0" fillId="0" borderId="1" xfId="0" applyBorder="1" applyProtection="1"/>
    <xf numFmtId="0" fontId="0" fillId="0" borderId="64" xfId="0" applyBorder="1" applyProtection="1"/>
    <xf numFmtId="0" fontId="0" fillId="0" borderId="0" xfId="0" applyProtection="1"/>
    <xf numFmtId="164" fontId="2" fillId="0" borderId="0" xfId="1" applyNumberFormat="1" applyFill="1" applyBorder="1"/>
    <xf numFmtId="0" fontId="0" fillId="0" borderId="107" xfId="0" applyBorder="1"/>
    <xf numFmtId="0" fontId="0" fillId="0" borderId="103" xfId="0" applyFill="1" applyBorder="1"/>
    <xf numFmtId="0" fontId="0" fillId="0" borderId="23" xfId="0" applyFill="1" applyBorder="1"/>
    <xf numFmtId="0" fontId="0" fillId="0" borderId="17" xfId="0" applyFill="1" applyBorder="1"/>
    <xf numFmtId="0" fontId="0" fillId="0" borderId="18" xfId="0" applyFill="1" applyBorder="1"/>
    <xf numFmtId="0" fontId="2" fillId="0" borderId="18" xfId="0" applyFont="1" applyFill="1" applyBorder="1"/>
    <xf numFmtId="0" fontId="10" fillId="0" borderId="0" xfId="0" applyFont="1" applyFill="1" applyBorder="1"/>
    <xf numFmtId="0" fontId="0" fillId="0" borderId="0" xfId="0" applyFill="1" applyBorder="1" applyAlignment="1">
      <alignment horizontal="center"/>
    </xf>
    <xf numFmtId="0" fontId="2" fillId="0" borderId="0" xfId="0" applyFont="1" applyFill="1" applyBorder="1" applyAlignment="1">
      <alignment horizontal="center"/>
    </xf>
    <xf numFmtId="0" fontId="0" fillId="12" borderId="2" xfId="0" applyFill="1" applyBorder="1"/>
    <xf numFmtId="0" fontId="0" fillId="12" borderId="118" xfId="0" applyFill="1" applyBorder="1"/>
    <xf numFmtId="0" fontId="0" fillId="2" borderId="31" xfId="0" applyFill="1" applyBorder="1" applyAlignment="1">
      <alignment horizontal="center"/>
    </xf>
    <xf numFmtId="0" fontId="0" fillId="2" borderId="28" xfId="0" applyFill="1" applyBorder="1" applyAlignment="1">
      <alignment horizontal="center"/>
    </xf>
    <xf numFmtId="0" fontId="0" fillId="4" borderId="45" xfId="0" applyFill="1" applyBorder="1" applyAlignment="1">
      <alignment horizontal="center"/>
    </xf>
    <xf numFmtId="0" fontId="0" fillId="4" borderId="39" xfId="0" applyFill="1" applyBorder="1" applyAlignment="1">
      <alignment horizontal="center"/>
    </xf>
    <xf numFmtId="0" fontId="0" fillId="4" borderId="46" xfId="0" applyFill="1" applyBorder="1" applyAlignment="1">
      <alignment horizontal="center"/>
    </xf>
    <xf numFmtId="0" fontId="0" fillId="0" borderId="0" xfId="0" applyFill="1" applyBorder="1" applyAlignment="1">
      <alignment horizontal="right"/>
    </xf>
    <xf numFmtId="0" fontId="0" fillId="0" borderId="45" xfId="0" applyBorder="1" applyAlignment="1">
      <alignment horizontal="center"/>
    </xf>
    <xf numFmtId="0" fontId="0" fillId="0" borderId="39" xfId="0" applyBorder="1" applyAlignment="1">
      <alignment horizontal="center"/>
    </xf>
    <xf numFmtId="0" fontId="0" fillId="0" borderId="46" xfId="0" applyBorder="1" applyAlignment="1">
      <alignment horizontal="center"/>
    </xf>
    <xf numFmtId="0" fontId="0" fillId="3" borderId="31" xfId="0" applyFill="1" applyBorder="1" applyAlignment="1">
      <alignment horizontal="center"/>
    </xf>
    <xf numFmtId="0" fontId="0" fillId="3" borderId="68" xfId="0" applyFill="1" applyBorder="1" applyAlignment="1">
      <alignment horizontal="center"/>
    </xf>
    <xf numFmtId="0" fontId="0" fillId="3" borderId="28" xfId="0" applyFill="1" applyBorder="1" applyAlignment="1">
      <alignment horizontal="center"/>
    </xf>
    <xf numFmtId="0" fontId="0" fillId="5" borderId="31" xfId="0" applyFill="1" applyBorder="1" applyAlignment="1">
      <alignment horizontal="center"/>
    </xf>
    <xf numFmtId="0" fontId="0" fillId="5" borderId="68" xfId="0" applyFill="1" applyBorder="1" applyAlignment="1">
      <alignment horizontal="center"/>
    </xf>
    <xf numFmtId="0" fontId="8" fillId="13" borderId="100" xfId="0" applyFont="1" applyFill="1" applyBorder="1" applyAlignment="1">
      <alignment horizontal="center"/>
    </xf>
    <xf numFmtId="0" fontId="8" fillId="13" borderId="97" xfId="0" applyFont="1" applyFill="1" applyBorder="1" applyAlignment="1">
      <alignment horizontal="center"/>
    </xf>
    <xf numFmtId="0" fontId="8" fillId="13" borderId="91" xfId="0" applyFont="1" applyFill="1" applyBorder="1" applyAlignment="1">
      <alignment horizontal="center"/>
    </xf>
    <xf numFmtId="0" fontId="0" fillId="0" borderId="31" xfId="0" applyBorder="1" applyAlignment="1">
      <alignment horizontal="center"/>
    </xf>
    <xf numFmtId="0" fontId="0" fillId="0" borderId="68" xfId="0" applyBorder="1" applyAlignment="1">
      <alignment horizontal="center"/>
    </xf>
    <xf numFmtId="0" fontId="0" fillId="0" borderId="28" xfId="0" applyBorder="1" applyAlignment="1">
      <alignment horizontal="center"/>
    </xf>
    <xf numFmtId="0" fontId="0" fillId="4" borderId="66" xfId="0" applyFill="1" applyBorder="1" applyAlignment="1">
      <alignment horizontal="center"/>
    </xf>
    <xf numFmtId="0" fontId="0" fillId="4" borderId="65" xfId="0" applyFill="1" applyBorder="1" applyAlignment="1">
      <alignment horizontal="center"/>
    </xf>
    <xf numFmtId="0" fontId="0" fillId="4" borderId="69" xfId="0" applyFill="1" applyBorder="1" applyAlignment="1">
      <alignment horizontal="center"/>
    </xf>
    <xf numFmtId="0" fontId="0" fillId="5" borderId="28" xfId="0" applyFill="1" applyBorder="1" applyAlignment="1">
      <alignment horizontal="center"/>
    </xf>
    <xf numFmtId="0" fontId="0" fillId="2" borderId="68" xfId="0" applyFill="1" applyBorder="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xf>
    <xf numFmtId="0" fontId="2" fillId="0" borderId="7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74" xfId="0" applyFont="1" applyBorder="1" applyAlignment="1">
      <alignment horizontal="center"/>
    </xf>
    <xf numFmtId="0" fontId="0" fillId="0" borderId="75" xfId="0" applyBorder="1" applyAlignment="1">
      <alignment horizontal="center"/>
    </xf>
    <xf numFmtId="0" fontId="0" fillId="0" borderId="26" xfId="0" applyBorder="1" applyAlignment="1">
      <alignment horizontal="center"/>
    </xf>
    <xf numFmtId="0" fontId="2" fillId="0" borderId="20" xfId="0" applyFont="1" applyBorder="1" applyAlignment="1">
      <alignment horizontal="center"/>
    </xf>
    <xf numFmtId="0" fontId="0" fillId="0" borderId="50" xfId="0" applyBorder="1" applyAlignment="1">
      <alignment horizontal="center"/>
    </xf>
    <xf numFmtId="0" fontId="0" fillId="0" borderId="40" xfId="0"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cellXfs>
  <cellStyles count="2">
    <cellStyle name="Standard" xfId="0" builtinId="0"/>
    <cellStyle name="Standard 2" xfId="1"/>
  </cellStyles>
  <dxfs count="10">
    <dxf>
      <fill>
        <patternFill>
          <bgColor rgb="FFFFCCCC"/>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numFmt numFmtId="2" formatCode="0.00"/>
      <fill>
        <patternFill patternType="none">
          <bgColor auto="1"/>
        </patternFill>
      </fill>
      <border>
        <left style="thin">
          <color auto="1"/>
        </left>
        <right/>
        <top/>
        <bottom/>
        <vertical/>
        <horizontal/>
      </border>
    </dxf>
    <dxf>
      <font>
        <color theme="0"/>
      </font>
      <fill>
        <patternFill patternType="none">
          <bgColor auto="1"/>
        </patternFill>
      </fill>
      <border>
        <left style="thin">
          <color auto="1"/>
        </left>
        <right style="thin">
          <color auto="1"/>
        </right>
        <top/>
        <bottom/>
      </border>
    </dxf>
  </dxfs>
  <tableStyles count="0" defaultTableStyle="TableStyleMedium2" defaultPivotStyle="PivotStyleLight16"/>
  <colors>
    <mruColors>
      <color rgb="FFCCECFF"/>
      <color rgb="FFFFFF99"/>
      <color rgb="FFCCFFFF"/>
      <color rgb="FFFFCC99"/>
      <color rgb="FFFFCCCC"/>
      <color rgb="FFCCFFCC"/>
      <color rgb="FF969696"/>
      <color rgb="FFC0C0C0"/>
      <color rgb="FFDDDDDD"/>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2288971371766539E-2"/>
          <c:y val="3.1758814591681471E-2"/>
          <c:w val="0.95945446873636708"/>
          <c:h val="0.93484114366706383"/>
        </c:manualLayout>
      </c:layout>
      <c:scatterChart>
        <c:scatterStyle val="lineMarker"/>
        <c:varyColors val="0"/>
        <c:ser>
          <c:idx val="0"/>
          <c:order val="0"/>
          <c:spPr>
            <a:ln w="25400">
              <a:solidFill>
                <a:srgbClr val="000080"/>
              </a:solidFill>
              <a:prstDash val="solid"/>
            </a:ln>
          </c:spPr>
          <c:marker>
            <c:symbol val="none"/>
          </c:marker>
          <c:xVal>
            <c:numRef>
              <c:f>EleData!$BX$6:$CH$6</c:f>
              <c:numCache>
                <c:formatCode>General</c:formatCode>
                <c:ptCount val="11"/>
                <c:pt idx="0">
                  <c:v>0</c:v>
                </c:pt>
                <c:pt idx="1">
                  <c:v>6.6508465320784541E-2</c:v>
                </c:pt>
                <c:pt idx="2">
                  <c:v>0.13237312292231601</c:v>
                </c:pt>
                <c:pt idx="3">
                  <c:v>0.19695016508534127</c:v>
                </c:pt>
                <c:pt idx="4">
                  <c:v>0.25959578409060735</c:v>
                </c:pt>
                <c:pt idx="5">
                  <c:v>0.31966617221886107</c:v>
                </c:pt>
                <c:pt idx="6">
                  <c:v>0.37651752175084935</c:v>
                </c:pt>
                <c:pt idx="7">
                  <c:v>0.42950602496731927</c:v>
                </c:pt>
                <c:pt idx="8">
                  <c:v>0.4779878741490175</c:v>
                </c:pt>
                <c:pt idx="9">
                  <c:v>0.52131926157669106</c:v>
                </c:pt>
                <c:pt idx="10">
                  <c:v>0.55885637953108702</c:v>
                </c:pt>
              </c:numCache>
            </c:numRef>
          </c:xVal>
          <c:yVal>
            <c:numRef>
              <c:f>EleData!$BX$7:$CH$7</c:f>
              <c:numCache>
                <c:formatCode>General</c:formatCode>
                <c:ptCount val="11"/>
                <c:pt idx="0">
                  <c:v>0.75</c:v>
                </c:pt>
                <c:pt idx="1">
                  <c:v>0.73573079423080523</c:v>
                </c:pt>
                <c:pt idx="2">
                  <c:v>0.72081778074235736</c:v>
                </c:pt>
                <c:pt idx="3">
                  <c:v>0.70461715181540296</c:v>
                </c:pt>
                <c:pt idx="4">
                  <c:v>0.68648509973068972</c:v>
                </c:pt>
                <c:pt idx="5">
                  <c:v>0.66577781676896419</c:v>
                </c:pt>
                <c:pt idx="6">
                  <c:v>0.64185149521097318</c:v>
                </c:pt>
                <c:pt idx="7">
                  <c:v>0.61406232733746358</c:v>
                </c:pt>
                <c:pt idx="8">
                  <c:v>0.5817665054291824</c:v>
                </c:pt>
                <c:pt idx="9">
                  <c:v>0.54432022176687667</c:v>
                </c:pt>
                <c:pt idx="10">
                  <c:v>0.50107966863129316</c:v>
                </c:pt>
              </c:numCache>
            </c:numRef>
          </c:yVal>
          <c:smooth val="0"/>
        </c:ser>
        <c:ser>
          <c:idx val="1"/>
          <c:order val="1"/>
          <c:spPr>
            <a:ln w="25400">
              <a:solidFill>
                <a:srgbClr val="000080"/>
              </a:solidFill>
              <a:prstDash val="solid"/>
            </a:ln>
          </c:spPr>
          <c:marker>
            <c:symbol val="none"/>
          </c:marker>
          <c:xVal>
            <c:numRef>
              <c:f>EleData!$BX$12:$CH$12</c:f>
              <c:numCache>
                <c:formatCode>General</c:formatCode>
                <c:ptCount val="11"/>
                <c:pt idx="0">
                  <c:v>0.55885637953108702</c:v>
                </c:pt>
                <c:pt idx="1">
                  <c:v>0.60297074157797836</c:v>
                </c:pt>
                <c:pt idx="2">
                  <c:v>0.64708510362486971</c:v>
                </c:pt>
                <c:pt idx="3">
                  <c:v>0.69119946567176083</c:v>
                </c:pt>
                <c:pt idx="4">
                  <c:v>0.73531382771865217</c:v>
                </c:pt>
                <c:pt idx="5">
                  <c:v>0.77942818976554351</c:v>
                </c:pt>
                <c:pt idx="6">
                  <c:v>0.82354255181243485</c:v>
                </c:pt>
                <c:pt idx="7">
                  <c:v>0.86765691385932608</c:v>
                </c:pt>
                <c:pt idx="8">
                  <c:v>0.91177127590621743</c:v>
                </c:pt>
                <c:pt idx="9">
                  <c:v>0.95588563795310866</c:v>
                </c:pt>
                <c:pt idx="10">
                  <c:v>1</c:v>
                </c:pt>
              </c:numCache>
            </c:numRef>
          </c:xVal>
          <c:yVal>
            <c:numRef>
              <c:f>EleData!$BX$13:$CH$13</c:f>
              <c:numCache>
                <c:formatCode>General</c:formatCode>
                <c:ptCount val="11"/>
                <c:pt idx="0">
                  <c:v>0.50107966863129327</c:v>
                </c:pt>
                <c:pt idx="1">
                  <c:v>0.49284045662661347</c:v>
                </c:pt>
                <c:pt idx="2">
                  <c:v>0.48008327662499195</c:v>
                </c:pt>
                <c:pt idx="3">
                  <c:v>0.46292990467699591</c:v>
                </c:pt>
                <c:pt idx="4">
                  <c:v>0.44159739247704899</c:v>
                </c:pt>
                <c:pt idx="5">
                  <c:v>0.41639806736343077</c:v>
                </c:pt>
                <c:pt idx="6">
                  <c:v>0.38773953231827751</c:v>
                </c:pt>
                <c:pt idx="7">
                  <c:v>0.3561246659675813</c:v>
                </c:pt>
                <c:pt idx="8">
                  <c:v>0.32215162258119046</c:v>
                </c:pt>
                <c:pt idx="9">
                  <c:v>0.28651383207280973</c:v>
                </c:pt>
                <c:pt idx="10">
                  <c:v>0.25</c:v>
                </c:pt>
              </c:numCache>
            </c:numRef>
          </c:yVal>
          <c:smooth val="0"/>
        </c:ser>
        <c:ser>
          <c:idx val="2"/>
          <c:order val="2"/>
          <c:spPr>
            <a:ln w="25400">
              <a:solidFill>
                <a:srgbClr val="000080"/>
              </a:solidFill>
              <a:prstDash val="solid"/>
            </a:ln>
          </c:spPr>
          <c:marker>
            <c:symbol val="none"/>
          </c:marker>
          <c:xVal>
            <c:numRef>
              <c:f>EleData!$BX$18:$CH$18</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EleData!$BX$19:$CH$19</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3"/>
          <c:order val="3"/>
          <c:spPr>
            <a:ln w="25400">
              <a:solidFill>
                <a:srgbClr val="000080"/>
              </a:solidFill>
              <a:prstDash val="solid"/>
            </a:ln>
          </c:spPr>
          <c:marker>
            <c:symbol val="none"/>
          </c:marker>
          <c:xVal>
            <c:numRef>
              <c:f>EleData!$BX$24:$CH$24</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EleData!$BX$25:$CH$25</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4"/>
          <c:order val="4"/>
          <c:spPr>
            <a:ln w="25400">
              <a:solidFill>
                <a:srgbClr val="000080"/>
              </a:solidFill>
              <a:prstDash val="solid"/>
            </a:ln>
          </c:spPr>
          <c:marker>
            <c:symbol val="none"/>
          </c:marker>
          <c:xVal>
            <c:numRef>
              <c:f>EleData!$BX$30:$CH$30</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EleData!$BX$31:$CH$31</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5"/>
          <c:order val="5"/>
          <c:spPr>
            <a:ln w="25400">
              <a:solidFill>
                <a:srgbClr val="000080"/>
              </a:solidFill>
              <a:prstDash val="solid"/>
            </a:ln>
          </c:spPr>
          <c:marker>
            <c:symbol val="none"/>
          </c:marker>
          <c:xVal>
            <c:numRef>
              <c:f>EleData!$BX$36:$CH$36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EleData!$BX$37:$CH$37</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6"/>
          <c:order val="6"/>
          <c:spPr>
            <a:ln w="25400">
              <a:solidFill>
                <a:srgbClr val="000080"/>
              </a:solidFill>
              <a:prstDash val="solid"/>
            </a:ln>
          </c:spPr>
          <c:marker>
            <c:symbol val="none"/>
          </c:marker>
          <c:xVal>
            <c:numRef>
              <c:f>EleData!$BX$42:$CH$42</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EleData!$BX$43:$CH$43</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7"/>
          <c:order val="7"/>
          <c:marker>
            <c:symbol val="none"/>
          </c:marker>
          <c:xVal>
            <c:numRef>
              <c:f>EleData!$BX$48:$CH$48</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EleData!$BX$49:$CH$49</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8"/>
          <c:order val="8"/>
          <c:marker>
            <c:symbol val="none"/>
          </c:marker>
          <c:xVal>
            <c:numRef>
              <c:f>EleData!$BX$54:$CH$54</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EleData!$BX$55:$CH$55</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9"/>
          <c:order val="9"/>
          <c:marker>
            <c:symbol val="none"/>
          </c:marker>
          <c:xVal>
            <c:numRef>
              <c:f>EleData!$BX$60:$CH$60</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EleData!$BX$61:$CH$61</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0"/>
          <c:order val="10"/>
          <c:marker>
            <c:symbol val="none"/>
          </c:marker>
          <c:xVal>
            <c:numRef>
              <c:f>EleData!$BX$66:$CH$66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EleData!$BX$67:$CH$67</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1"/>
          <c:order val="11"/>
          <c:marker>
            <c:symbol val="none"/>
          </c:marker>
          <c:xVal>
            <c:numRef>
              <c:f>EleData!$BX$72:$CH$72</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EleData!$BX$73:$CH$73</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2"/>
          <c:order val="12"/>
          <c:marker>
            <c:symbol val="none"/>
          </c:marker>
          <c:xVal>
            <c:numRef>
              <c:f>EleData!$BX$78:$CH$78</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EleData!$BX$79:$CH$79</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3"/>
          <c:order val="13"/>
          <c:marker>
            <c:symbol val="none"/>
          </c:marker>
          <c:xVal>
            <c:numRef>
              <c:f>EleData!$BX$84:$CH$84</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EleData!$BX$85:$CH$85</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4"/>
          <c:order val="14"/>
          <c:marker>
            <c:symbol val="none"/>
          </c:marker>
          <c:xVal>
            <c:numRef>
              <c:f>EleData!$BX$90:$CH$90</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EleData!$BX$91:$CH$91</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5"/>
          <c:order val="15"/>
          <c:marker>
            <c:symbol val="none"/>
          </c:marker>
          <c:xVal>
            <c:numRef>
              <c:f>EleData!$BX$96:$CH$96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EleData!$BX$97:$CH$97</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6"/>
          <c:order val="16"/>
          <c:marker>
            <c:symbol val="none"/>
          </c:marker>
          <c:xVal>
            <c:numRef>
              <c:f>EleData!$BX$102:$CH$102</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EleData!$BX$103:$CH$103</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7"/>
          <c:order val="17"/>
          <c:marker>
            <c:symbol val="none"/>
          </c:marker>
          <c:xVal>
            <c:numRef>
              <c:f>EleData!$BX$108:$CH$108</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EleData!$BX$109:$CH$109</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8"/>
          <c:order val="18"/>
          <c:marker>
            <c:symbol val="none"/>
          </c:marker>
          <c:xVal>
            <c:numRef>
              <c:f>EleData!$BX$114:$CH$114</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EleData!$BX$115:$CH$115</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9"/>
          <c:order val="19"/>
          <c:marker>
            <c:symbol val="none"/>
          </c:marker>
          <c:xVal>
            <c:numRef>
              <c:f>EleData!$BX$120:$CH$120</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EleData!$BX$121:$CH$121</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20"/>
          <c:order val="20"/>
          <c:spPr>
            <a:ln w="3175">
              <a:solidFill>
                <a:sysClr val="window" lastClr="FFFFFF">
                  <a:lumMod val="75000"/>
                </a:sysClr>
              </a:solidFill>
            </a:ln>
          </c:spPr>
          <c:marker>
            <c:symbol val="none"/>
          </c:marker>
          <c:xVal>
            <c:numRef>
              <c:f>KnotenData!$H$16:$H$19</c:f>
              <c:numCache>
                <c:formatCode>General</c:formatCode>
                <c:ptCount val="4"/>
                <c:pt idx="0">
                  <c:v>-5.9016994374947451E-2</c:v>
                </c:pt>
                <c:pt idx="1">
                  <c:v>1.0590169943749475</c:v>
                </c:pt>
                <c:pt idx="2">
                  <c:v>1.0590169943749475</c:v>
                </c:pt>
                <c:pt idx="3">
                  <c:v>-5.9016994374947451E-2</c:v>
                </c:pt>
              </c:numCache>
            </c:numRef>
          </c:xVal>
          <c:yVal>
            <c:numRef>
              <c:f>KnotenData!$I$16:$I$19</c:f>
              <c:numCache>
                <c:formatCode>General</c:formatCode>
                <c:ptCount val="4"/>
                <c:pt idx="0">
                  <c:v>1.0590169943749475</c:v>
                </c:pt>
                <c:pt idx="1">
                  <c:v>1.0590169943749475</c:v>
                </c:pt>
                <c:pt idx="2">
                  <c:v>-5.9016994374947451E-2</c:v>
                </c:pt>
                <c:pt idx="3">
                  <c:v>-5.9016994374947451E-2</c:v>
                </c:pt>
              </c:numCache>
            </c:numRef>
          </c:yVal>
          <c:smooth val="0"/>
        </c:ser>
        <c:ser>
          <c:idx val="21"/>
          <c:order val="21"/>
          <c:tx>
            <c:v>LagerV1</c:v>
          </c:tx>
          <c:spPr>
            <a:ln w="12700">
              <a:solidFill>
                <a:srgbClr val="808080"/>
              </a:solidFill>
              <a:prstDash val="solid"/>
            </a:ln>
          </c:spPr>
          <c:marker>
            <c:symbol val="none"/>
          </c:marker>
          <c:xVal>
            <c:numRef>
              <c:f>Symbole!$P$4:$S$4</c:f>
              <c:numCache>
                <c:formatCode>General</c:formatCode>
                <c:ptCount val="4"/>
                <c:pt idx="0">
                  <c:v>0</c:v>
                </c:pt>
                <c:pt idx="1">
                  <c:v>3.1384958578911652E-2</c:v>
                </c:pt>
                <c:pt idx="2">
                  <c:v>-3.1384958578911652E-2</c:v>
                </c:pt>
                <c:pt idx="3">
                  <c:v>0</c:v>
                </c:pt>
              </c:numCache>
            </c:numRef>
          </c:xVal>
          <c:yVal>
            <c:numRef>
              <c:f>Symbole!$T$4:$W$4</c:f>
              <c:numCache>
                <c:formatCode>General</c:formatCode>
                <c:ptCount val="4"/>
                <c:pt idx="0">
                  <c:v>0.75</c:v>
                </c:pt>
                <c:pt idx="1">
                  <c:v>0.80435874825867493</c:v>
                </c:pt>
                <c:pt idx="2">
                  <c:v>0.80435874825867493</c:v>
                </c:pt>
                <c:pt idx="3">
                  <c:v>0.75</c:v>
                </c:pt>
              </c:numCache>
            </c:numRef>
          </c:yVal>
          <c:smooth val="0"/>
        </c:ser>
        <c:ser>
          <c:idx val="22"/>
          <c:order val="22"/>
          <c:tx>
            <c:v>LagerV2</c:v>
          </c:tx>
          <c:spPr>
            <a:ln w="12700">
              <a:solidFill>
                <a:srgbClr val="808080"/>
              </a:solidFill>
              <a:prstDash val="solid"/>
            </a:ln>
          </c:spPr>
          <c:marker>
            <c:symbol val="none"/>
          </c:marker>
          <c:xVal>
            <c:numRef>
              <c:f>Symbole!$P$5:$S$5</c:f>
              <c:numCache>
                <c:formatCode>General</c:formatCode>
                <c:ptCount val="4"/>
                <c:pt idx="0">
                  <c:v>0.55885637953108702</c:v>
                </c:pt>
                <c:pt idx="1">
                  <c:v>0.55885637953108702</c:v>
                </c:pt>
                <c:pt idx="2">
                  <c:v>0.55885637953108702</c:v>
                </c:pt>
                <c:pt idx="3">
                  <c:v>0.55885637953108702</c:v>
                </c:pt>
              </c:numCache>
            </c:numRef>
          </c:xVal>
          <c:yVal>
            <c:numRef>
              <c:f>Symbole!$T$5:$W$5</c:f>
              <c:numCache>
                <c:formatCode>General</c:formatCode>
                <c:ptCount val="4"/>
                <c:pt idx="0">
                  <c:v>0.50107966863129327</c:v>
                </c:pt>
                <c:pt idx="1">
                  <c:v>0.50107966863129327</c:v>
                </c:pt>
                <c:pt idx="2">
                  <c:v>0.50107966863129327</c:v>
                </c:pt>
                <c:pt idx="3">
                  <c:v>0.50107966863129327</c:v>
                </c:pt>
              </c:numCache>
            </c:numRef>
          </c:yVal>
          <c:smooth val="0"/>
        </c:ser>
        <c:ser>
          <c:idx val="23"/>
          <c:order val="23"/>
          <c:tx>
            <c:v>LagerV3</c:v>
          </c:tx>
          <c:spPr>
            <a:ln w="12700">
              <a:solidFill>
                <a:srgbClr val="808080"/>
              </a:solidFill>
              <a:prstDash val="solid"/>
            </a:ln>
          </c:spPr>
          <c:marker>
            <c:symbol val="none"/>
          </c:marker>
          <c:xVal>
            <c:numRef>
              <c:f>Symbole!$P$6:$S$6</c:f>
              <c:numCache>
                <c:formatCode>General</c:formatCode>
                <c:ptCount val="4"/>
                <c:pt idx="0">
                  <c:v>1</c:v>
                </c:pt>
                <c:pt idx="1">
                  <c:v>1.0313849585789117</c:v>
                </c:pt>
                <c:pt idx="2">
                  <c:v>0.96861504142108834</c:v>
                </c:pt>
                <c:pt idx="3">
                  <c:v>1</c:v>
                </c:pt>
              </c:numCache>
            </c:numRef>
          </c:xVal>
          <c:yVal>
            <c:numRef>
              <c:f>Symbole!$T$6:$W$6</c:f>
              <c:numCache>
                <c:formatCode>General</c:formatCode>
                <c:ptCount val="4"/>
                <c:pt idx="0">
                  <c:v>0.25</c:v>
                </c:pt>
                <c:pt idx="1">
                  <c:v>0.30435874825867498</c:v>
                </c:pt>
                <c:pt idx="2">
                  <c:v>0.30435874825867498</c:v>
                </c:pt>
                <c:pt idx="3">
                  <c:v>0.25</c:v>
                </c:pt>
              </c:numCache>
            </c:numRef>
          </c:yVal>
          <c:smooth val="0"/>
        </c:ser>
        <c:ser>
          <c:idx val="24"/>
          <c:order val="24"/>
          <c:tx>
            <c:v>LagerV4</c:v>
          </c:tx>
          <c:spPr>
            <a:ln w="12700">
              <a:solidFill>
                <a:srgbClr val="808080"/>
              </a:solidFill>
              <a:prstDash val="solid"/>
            </a:ln>
          </c:spPr>
          <c:marker>
            <c:symbol val="none"/>
          </c:marker>
          <c:xVal>
            <c:numRef>
              <c:f>Symbole!$P$7:$S$7</c:f>
              <c:numCache>
                <c:formatCode>General</c:formatCode>
                <c:ptCount val="4"/>
                <c:pt idx="0">
                  <c:v>0.5</c:v>
                </c:pt>
                <c:pt idx="1">
                  <c:v>0.5</c:v>
                </c:pt>
                <c:pt idx="2">
                  <c:v>0.5</c:v>
                </c:pt>
                <c:pt idx="3">
                  <c:v>0.5</c:v>
                </c:pt>
              </c:numCache>
            </c:numRef>
          </c:xVal>
          <c:yVal>
            <c:numRef>
              <c:f>Symbole!$T$7:$W$7</c:f>
              <c:numCache>
                <c:formatCode>General</c:formatCode>
                <c:ptCount val="4"/>
                <c:pt idx="0">
                  <c:v>0.47499999999999998</c:v>
                </c:pt>
                <c:pt idx="1">
                  <c:v>0.47499999999999998</c:v>
                </c:pt>
                <c:pt idx="2">
                  <c:v>0.47499999999999998</c:v>
                </c:pt>
                <c:pt idx="3">
                  <c:v>0.47499999999999998</c:v>
                </c:pt>
              </c:numCache>
            </c:numRef>
          </c:yVal>
          <c:smooth val="0"/>
        </c:ser>
        <c:ser>
          <c:idx val="25"/>
          <c:order val="25"/>
          <c:tx>
            <c:v>LagerV5</c:v>
          </c:tx>
          <c:spPr>
            <a:ln w="12700">
              <a:solidFill>
                <a:srgbClr val="808080"/>
              </a:solidFill>
              <a:prstDash val="solid"/>
            </a:ln>
          </c:spPr>
          <c:marker>
            <c:symbol val="none"/>
          </c:marker>
          <c:xVal>
            <c:numRef>
              <c:f>Symbole!$P$8:$S$8</c:f>
              <c:numCache>
                <c:formatCode>General</c:formatCode>
                <c:ptCount val="4"/>
                <c:pt idx="0">
                  <c:v>0.5</c:v>
                </c:pt>
                <c:pt idx="1">
                  <c:v>0.5</c:v>
                </c:pt>
                <c:pt idx="2">
                  <c:v>0.5</c:v>
                </c:pt>
                <c:pt idx="3">
                  <c:v>0.5</c:v>
                </c:pt>
              </c:numCache>
            </c:numRef>
          </c:xVal>
          <c:yVal>
            <c:numRef>
              <c:f>Symbole!$T$8:$W$8</c:f>
              <c:numCache>
                <c:formatCode>General</c:formatCode>
                <c:ptCount val="4"/>
                <c:pt idx="0">
                  <c:v>0.47499999999999998</c:v>
                </c:pt>
                <c:pt idx="1">
                  <c:v>0.47499999999999998</c:v>
                </c:pt>
                <c:pt idx="2">
                  <c:v>0.47499999999999998</c:v>
                </c:pt>
                <c:pt idx="3">
                  <c:v>0.47499999999999998</c:v>
                </c:pt>
              </c:numCache>
            </c:numRef>
          </c:yVal>
          <c:smooth val="0"/>
        </c:ser>
        <c:ser>
          <c:idx val="26"/>
          <c:order val="26"/>
          <c:tx>
            <c:v>LagerV6</c:v>
          </c:tx>
          <c:spPr>
            <a:ln w="12700">
              <a:solidFill>
                <a:srgbClr val="808080"/>
              </a:solidFill>
              <a:prstDash val="solid"/>
            </a:ln>
          </c:spPr>
          <c:marker>
            <c:symbol val="none"/>
          </c:marker>
          <c:xVal>
            <c:numRef>
              <c:f>Symbole!$P$9:$S$9</c:f>
              <c:numCache>
                <c:formatCode>General</c:formatCode>
                <c:ptCount val="4"/>
                <c:pt idx="0">
                  <c:v>0.5</c:v>
                </c:pt>
                <c:pt idx="1">
                  <c:v>0.5</c:v>
                </c:pt>
                <c:pt idx="2">
                  <c:v>0.5</c:v>
                </c:pt>
                <c:pt idx="3">
                  <c:v>0.5</c:v>
                </c:pt>
              </c:numCache>
            </c:numRef>
          </c:xVal>
          <c:yVal>
            <c:numRef>
              <c:f>Symbole!$T$9:$W$9</c:f>
              <c:numCache>
                <c:formatCode>General</c:formatCode>
                <c:ptCount val="4"/>
                <c:pt idx="0">
                  <c:v>0.47499999999999998</c:v>
                </c:pt>
                <c:pt idx="1">
                  <c:v>0.47499999999999998</c:v>
                </c:pt>
                <c:pt idx="2">
                  <c:v>0.47499999999999998</c:v>
                </c:pt>
                <c:pt idx="3">
                  <c:v>0.47499999999999998</c:v>
                </c:pt>
              </c:numCache>
            </c:numRef>
          </c:yVal>
          <c:smooth val="0"/>
        </c:ser>
        <c:ser>
          <c:idx val="27"/>
          <c:order val="27"/>
          <c:tx>
            <c:v>LagerV7</c:v>
          </c:tx>
          <c:spPr>
            <a:ln w="12700">
              <a:solidFill>
                <a:srgbClr val="808080"/>
              </a:solidFill>
              <a:prstDash val="solid"/>
            </a:ln>
          </c:spPr>
          <c:marker>
            <c:symbol val="none"/>
          </c:marker>
          <c:xVal>
            <c:numRef>
              <c:f>Symbole!$P$10:$S$10</c:f>
              <c:numCache>
                <c:formatCode>General</c:formatCode>
                <c:ptCount val="4"/>
                <c:pt idx="0">
                  <c:v>0.5</c:v>
                </c:pt>
                <c:pt idx="1">
                  <c:v>0.5</c:v>
                </c:pt>
                <c:pt idx="2">
                  <c:v>0.5</c:v>
                </c:pt>
                <c:pt idx="3">
                  <c:v>0.5</c:v>
                </c:pt>
              </c:numCache>
            </c:numRef>
          </c:xVal>
          <c:yVal>
            <c:numRef>
              <c:f>Symbole!$T$10:$W$10</c:f>
              <c:numCache>
                <c:formatCode>General</c:formatCode>
                <c:ptCount val="4"/>
                <c:pt idx="0">
                  <c:v>0.47499999999999998</c:v>
                </c:pt>
                <c:pt idx="1">
                  <c:v>0.47499999999999998</c:v>
                </c:pt>
                <c:pt idx="2">
                  <c:v>0.47499999999999998</c:v>
                </c:pt>
                <c:pt idx="3">
                  <c:v>0.47499999999999998</c:v>
                </c:pt>
              </c:numCache>
            </c:numRef>
          </c:yVal>
          <c:smooth val="0"/>
        </c:ser>
        <c:ser>
          <c:idx val="28"/>
          <c:order val="28"/>
          <c:tx>
            <c:v>LagerV8</c:v>
          </c:tx>
          <c:spPr>
            <a:ln w="12700">
              <a:solidFill>
                <a:srgbClr val="808080"/>
              </a:solidFill>
              <a:prstDash val="solid"/>
            </a:ln>
          </c:spPr>
          <c:marker>
            <c:symbol val="none"/>
          </c:marker>
          <c:xVal>
            <c:numRef>
              <c:f>Symbole!$P$11:$S$11</c:f>
              <c:numCache>
                <c:formatCode>General</c:formatCode>
                <c:ptCount val="4"/>
                <c:pt idx="0">
                  <c:v>0.5</c:v>
                </c:pt>
                <c:pt idx="1">
                  <c:v>0.5</c:v>
                </c:pt>
                <c:pt idx="2">
                  <c:v>0.5</c:v>
                </c:pt>
                <c:pt idx="3">
                  <c:v>0.5</c:v>
                </c:pt>
              </c:numCache>
            </c:numRef>
          </c:xVal>
          <c:yVal>
            <c:numRef>
              <c:f>Symbole!$T$11:$W$11</c:f>
              <c:numCache>
                <c:formatCode>General</c:formatCode>
                <c:ptCount val="4"/>
                <c:pt idx="0">
                  <c:v>0.47499999999999998</c:v>
                </c:pt>
                <c:pt idx="1">
                  <c:v>0.47499999999999998</c:v>
                </c:pt>
                <c:pt idx="2">
                  <c:v>0.47499999999999998</c:v>
                </c:pt>
                <c:pt idx="3">
                  <c:v>0.47499999999999998</c:v>
                </c:pt>
              </c:numCache>
            </c:numRef>
          </c:yVal>
          <c:smooth val="0"/>
        </c:ser>
        <c:ser>
          <c:idx val="29"/>
          <c:order val="29"/>
          <c:tx>
            <c:v>LagerV9</c:v>
          </c:tx>
          <c:spPr>
            <a:ln w="12700">
              <a:solidFill>
                <a:srgbClr val="808080"/>
              </a:solidFill>
              <a:prstDash val="solid"/>
            </a:ln>
          </c:spPr>
          <c:marker>
            <c:symbol val="none"/>
          </c:marker>
          <c:xVal>
            <c:numRef>
              <c:f>Symbole!$P$12:$S$12</c:f>
              <c:numCache>
                <c:formatCode>General</c:formatCode>
                <c:ptCount val="4"/>
                <c:pt idx="0">
                  <c:v>0.5</c:v>
                </c:pt>
                <c:pt idx="1">
                  <c:v>0.5</c:v>
                </c:pt>
                <c:pt idx="2">
                  <c:v>0.5</c:v>
                </c:pt>
                <c:pt idx="3">
                  <c:v>0.5</c:v>
                </c:pt>
              </c:numCache>
            </c:numRef>
          </c:xVal>
          <c:yVal>
            <c:numRef>
              <c:f>Symbole!$T$12:$W$12</c:f>
              <c:numCache>
                <c:formatCode>General</c:formatCode>
                <c:ptCount val="4"/>
                <c:pt idx="0">
                  <c:v>0.47499999999999998</c:v>
                </c:pt>
                <c:pt idx="1">
                  <c:v>0.47499999999999998</c:v>
                </c:pt>
                <c:pt idx="2">
                  <c:v>0.47499999999999998</c:v>
                </c:pt>
                <c:pt idx="3">
                  <c:v>0.47499999999999998</c:v>
                </c:pt>
              </c:numCache>
            </c:numRef>
          </c:yVal>
          <c:smooth val="0"/>
        </c:ser>
        <c:ser>
          <c:idx val="30"/>
          <c:order val="30"/>
          <c:tx>
            <c:v>LagerV10</c:v>
          </c:tx>
          <c:spPr>
            <a:ln w="12700">
              <a:solidFill>
                <a:srgbClr val="808080"/>
              </a:solidFill>
              <a:prstDash val="solid"/>
            </a:ln>
          </c:spPr>
          <c:marker>
            <c:symbol val="none"/>
          </c:marker>
          <c:xVal>
            <c:numRef>
              <c:f>Symbole!$P$13:$S$13</c:f>
              <c:numCache>
                <c:formatCode>General</c:formatCode>
                <c:ptCount val="4"/>
                <c:pt idx="0">
                  <c:v>0.5</c:v>
                </c:pt>
                <c:pt idx="1">
                  <c:v>0.5</c:v>
                </c:pt>
                <c:pt idx="2">
                  <c:v>0.5</c:v>
                </c:pt>
                <c:pt idx="3">
                  <c:v>0.5</c:v>
                </c:pt>
              </c:numCache>
            </c:numRef>
          </c:xVal>
          <c:yVal>
            <c:numRef>
              <c:f>Symbole!$T$13:$W$13</c:f>
              <c:numCache>
                <c:formatCode>General</c:formatCode>
                <c:ptCount val="4"/>
                <c:pt idx="0">
                  <c:v>0.47499999999999998</c:v>
                </c:pt>
                <c:pt idx="1">
                  <c:v>0.47499999999999998</c:v>
                </c:pt>
                <c:pt idx="2">
                  <c:v>0.47499999999999998</c:v>
                </c:pt>
                <c:pt idx="3">
                  <c:v>0.47499999999999998</c:v>
                </c:pt>
              </c:numCache>
            </c:numRef>
          </c:yVal>
          <c:smooth val="0"/>
        </c:ser>
        <c:ser>
          <c:idx val="31"/>
          <c:order val="31"/>
          <c:tx>
            <c:v>LagerV11</c:v>
          </c:tx>
          <c:spPr>
            <a:ln w="12700">
              <a:solidFill>
                <a:srgbClr val="808080"/>
              </a:solidFill>
              <a:prstDash val="solid"/>
            </a:ln>
          </c:spPr>
          <c:marker>
            <c:symbol val="none"/>
          </c:marker>
          <c:xVal>
            <c:numRef>
              <c:f>Symbole!$P$14:$S$14</c:f>
              <c:numCache>
                <c:formatCode>General</c:formatCode>
                <c:ptCount val="4"/>
                <c:pt idx="0">
                  <c:v>0.5</c:v>
                </c:pt>
                <c:pt idx="1">
                  <c:v>0.5</c:v>
                </c:pt>
                <c:pt idx="2">
                  <c:v>0.5</c:v>
                </c:pt>
                <c:pt idx="3">
                  <c:v>0.5</c:v>
                </c:pt>
              </c:numCache>
            </c:numRef>
          </c:xVal>
          <c:yVal>
            <c:numRef>
              <c:f>Symbole!$T$14:$W$14</c:f>
              <c:numCache>
                <c:formatCode>General</c:formatCode>
                <c:ptCount val="4"/>
                <c:pt idx="0">
                  <c:v>0.47499999999999998</c:v>
                </c:pt>
                <c:pt idx="1">
                  <c:v>0.47499999999999998</c:v>
                </c:pt>
                <c:pt idx="2">
                  <c:v>0.47499999999999998</c:v>
                </c:pt>
                <c:pt idx="3">
                  <c:v>0.47499999999999998</c:v>
                </c:pt>
              </c:numCache>
            </c:numRef>
          </c:yVal>
          <c:smooth val="0"/>
        </c:ser>
        <c:ser>
          <c:idx val="32"/>
          <c:order val="32"/>
          <c:tx>
            <c:v>LagerV12</c:v>
          </c:tx>
          <c:spPr>
            <a:ln w="12700">
              <a:solidFill>
                <a:srgbClr val="808080"/>
              </a:solidFill>
              <a:prstDash val="solid"/>
            </a:ln>
          </c:spPr>
          <c:marker>
            <c:symbol val="none"/>
          </c:marker>
          <c:xVal>
            <c:numRef>
              <c:f>Symbole!$P$15:$S$15</c:f>
              <c:numCache>
                <c:formatCode>General</c:formatCode>
                <c:ptCount val="4"/>
                <c:pt idx="0">
                  <c:v>0.5</c:v>
                </c:pt>
                <c:pt idx="1">
                  <c:v>0.5</c:v>
                </c:pt>
                <c:pt idx="2">
                  <c:v>0.5</c:v>
                </c:pt>
                <c:pt idx="3">
                  <c:v>0.5</c:v>
                </c:pt>
              </c:numCache>
            </c:numRef>
          </c:xVal>
          <c:yVal>
            <c:numRef>
              <c:f>Symbole!$T$15:$W$15</c:f>
              <c:numCache>
                <c:formatCode>General</c:formatCode>
                <c:ptCount val="4"/>
                <c:pt idx="0">
                  <c:v>0.47499999999999998</c:v>
                </c:pt>
                <c:pt idx="1">
                  <c:v>0.47499999999999998</c:v>
                </c:pt>
                <c:pt idx="2">
                  <c:v>0.47499999999999998</c:v>
                </c:pt>
                <c:pt idx="3">
                  <c:v>0.47499999999999998</c:v>
                </c:pt>
              </c:numCache>
            </c:numRef>
          </c:yVal>
          <c:smooth val="0"/>
        </c:ser>
        <c:ser>
          <c:idx val="33"/>
          <c:order val="33"/>
          <c:tx>
            <c:v>LagerV13</c:v>
          </c:tx>
          <c:spPr>
            <a:ln w="12700">
              <a:solidFill>
                <a:srgbClr val="808080"/>
              </a:solidFill>
              <a:prstDash val="solid"/>
            </a:ln>
          </c:spPr>
          <c:marker>
            <c:symbol val="none"/>
          </c:marker>
          <c:xVal>
            <c:numRef>
              <c:f>Symbole!$P$16:$S$16</c:f>
              <c:numCache>
                <c:formatCode>General</c:formatCode>
                <c:ptCount val="4"/>
                <c:pt idx="0">
                  <c:v>0.5</c:v>
                </c:pt>
                <c:pt idx="1">
                  <c:v>0.5</c:v>
                </c:pt>
                <c:pt idx="2">
                  <c:v>0.5</c:v>
                </c:pt>
                <c:pt idx="3">
                  <c:v>0.5</c:v>
                </c:pt>
              </c:numCache>
            </c:numRef>
          </c:xVal>
          <c:yVal>
            <c:numRef>
              <c:f>Symbole!$T$16:$W$16</c:f>
              <c:numCache>
                <c:formatCode>General</c:formatCode>
                <c:ptCount val="4"/>
                <c:pt idx="0">
                  <c:v>0.47499999999999998</c:v>
                </c:pt>
                <c:pt idx="1">
                  <c:v>0.47499999999999998</c:v>
                </c:pt>
                <c:pt idx="2">
                  <c:v>0.47499999999999998</c:v>
                </c:pt>
                <c:pt idx="3">
                  <c:v>0.47499999999999998</c:v>
                </c:pt>
              </c:numCache>
            </c:numRef>
          </c:yVal>
          <c:smooth val="0"/>
        </c:ser>
        <c:ser>
          <c:idx val="34"/>
          <c:order val="34"/>
          <c:tx>
            <c:v>LagerV14</c:v>
          </c:tx>
          <c:spPr>
            <a:ln w="12700">
              <a:solidFill>
                <a:srgbClr val="808080"/>
              </a:solidFill>
              <a:prstDash val="solid"/>
            </a:ln>
          </c:spPr>
          <c:marker>
            <c:symbol val="none"/>
          </c:marker>
          <c:xVal>
            <c:numRef>
              <c:f>Symbole!$P$17:$S$17</c:f>
              <c:numCache>
                <c:formatCode>General</c:formatCode>
                <c:ptCount val="4"/>
                <c:pt idx="0">
                  <c:v>0.5</c:v>
                </c:pt>
                <c:pt idx="1">
                  <c:v>0.5</c:v>
                </c:pt>
                <c:pt idx="2">
                  <c:v>0.5</c:v>
                </c:pt>
                <c:pt idx="3">
                  <c:v>0.5</c:v>
                </c:pt>
              </c:numCache>
            </c:numRef>
          </c:xVal>
          <c:yVal>
            <c:numRef>
              <c:f>Symbole!$T$17:$W$17</c:f>
              <c:numCache>
                <c:formatCode>General</c:formatCode>
                <c:ptCount val="4"/>
                <c:pt idx="0">
                  <c:v>0.47499999999999998</c:v>
                </c:pt>
                <c:pt idx="1">
                  <c:v>0.47499999999999998</c:v>
                </c:pt>
                <c:pt idx="2">
                  <c:v>0.47499999999999998</c:v>
                </c:pt>
                <c:pt idx="3">
                  <c:v>0.47499999999999998</c:v>
                </c:pt>
              </c:numCache>
            </c:numRef>
          </c:yVal>
          <c:smooth val="0"/>
        </c:ser>
        <c:ser>
          <c:idx val="35"/>
          <c:order val="35"/>
          <c:tx>
            <c:v>LagerV15</c:v>
          </c:tx>
          <c:spPr>
            <a:ln w="12700">
              <a:solidFill>
                <a:srgbClr val="808080"/>
              </a:solidFill>
              <a:prstDash val="solid"/>
            </a:ln>
          </c:spPr>
          <c:marker>
            <c:symbol val="none"/>
          </c:marker>
          <c:xVal>
            <c:numRef>
              <c:f>Symbole!$P$18:$S$18</c:f>
              <c:numCache>
                <c:formatCode>General</c:formatCode>
                <c:ptCount val="4"/>
                <c:pt idx="0">
                  <c:v>0.5</c:v>
                </c:pt>
                <c:pt idx="1">
                  <c:v>0.5</c:v>
                </c:pt>
                <c:pt idx="2">
                  <c:v>0.5</c:v>
                </c:pt>
                <c:pt idx="3">
                  <c:v>0.5</c:v>
                </c:pt>
              </c:numCache>
            </c:numRef>
          </c:xVal>
          <c:yVal>
            <c:numRef>
              <c:f>Symbole!$T$18:$W$18</c:f>
              <c:numCache>
                <c:formatCode>General</c:formatCode>
                <c:ptCount val="4"/>
                <c:pt idx="0">
                  <c:v>0.47499999999999998</c:v>
                </c:pt>
                <c:pt idx="1">
                  <c:v>0.47499999999999998</c:v>
                </c:pt>
                <c:pt idx="2">
                  <c:v>0.47499999999999998</c:v>
                </c:pt>
                <c:pt idx="3">
                  <c:v>0.47499999999999998</c:v>
                </c:pt>
              </c:numCache>
            </c:numRef>
          </c:yVal>
          <c:smooth val="0"/>
        </c:ser>
        <c:ser>
          <c:idx val="36"/>
          <c:order val="36"/>
          <c:tx>
            <c:v>LagerV16</c:v>
          </c:tx>
          <c:spPr>
            <a:ln w="12700">
              <a:solidFill>
                <a:srgbClr val="808080"/>
              </a:solidFill>
              <a:prstDash val="solid"/>
            </a:ln>
          </c:spPr>
          <c:marker>
            <c:symbol val="none"/>
          </c:marker>
          <c:xVal>
            <c:numRef>
              <c:f>Symbole!$P$19:$S$19</c:f>
              <c:numCache>
                <c:formatCode>General</c:formatCode>
                <c:ptCount val="4"/>
                <c:pt idx="0">
                  <c:v>0.5</c:v>
                </c:pt>
                <c:pt idx="1">
                  <c:v>0.5</c:v>
                </c:pt>
                <c:pt idx="2">
                  <c:v>0.5</c:v>
                </c:pt>
                <c:pt idx="3">
                  <c:v>0.5</c:v>
                </c:pt>
              </c:numCache>
            </c:numRef>
          </c:xVal>
          <c:yVal>
            <c:numRef>
              <c:f>Symbole!$T$19:$W$19</c:f>
              <c:numCache>
                <c:formatCode>General</c:formatCode>
                <c:ptCount val="4"/>
                <c:pt idx="0">
                  <c:v>0.47499999999999998</c:v>
                </c:pt>
                <c:pt idx="1">
                  <c:v>0.47499999999999998</c:v>
                </c:pt>
                <c:pt idx="2">
                  <c:v>0.47499999999999998</c:v>
                </c:pt>
                <c:pt idx="3">
                  <c:v>0.47499999999999998</c:v>
                </c:pt>
              </c:numCache>
            </c:numRef>
          </c:yVal>
          <c:smooth val="0"/>
        </c:ser>
        <c:ser>
          <c:idx val="37"/>
          <c:order val="37"/>
          <c:tx>
            <c:v>LagerV17</c:v>
          </c:tx>
          <c:spPr>
            <a:ln w="12700">
              <a:solidFill>
                <a:srgbClr val="808080"/>
              </a:solidFill>
              <a:prstDash val="solid"/>
            </a:ln>
          </c:spPr>
          <c:marker>
            <c:symbol val="none"/>
          </c:marker>
          <c:xVal>
            <c:numRef>
              <c:f>Symbole!$P$20:$S$20</c:f>
              <c:numCache>
                <c:formatCode>General</c:formatCode>
                <c:ptCount val="4"/>
                <c:pt idx="0">
                  <c:v>0.5</c:v>
                </c:pt>
                <c:pt idx="1">
                  <c:v>0.5</c:v>
                </c:pt>
                <c:pt idx="2">
                  <c:v>0.5</c:v>
                </c:pt>
                <c:pt idx="3">
                  <c:v>0.5</c:v>
                </c:pt>
              </c:numCache>
            </c:numRef>
          </c:xVal>
          <c:yVal>
            <c:numRef>
              <c:f>Symbole!$T$20:$W$20</c:f>
              <c:numCache>
                <c:formatCode>General</c:formatCode>
                <c:ptCount val="4"/>
                <c:pt idx="0">
                  <c:v>0.47499999999999998</c:v>
                </c:pt>
                <c:pt idx="1">
                  <c:v>0.47499999999999998</c:v>
                </c:pt>
                <c:pt idx="2">
                  <c:v>0.47499999999999998</c:v>
                </c:pt>
                <c:pt idx="3">
                  <c:v>0.47499999999999998</c:v>
                </c:pt>
              </c:numCache>
            </c:numRef>
          </c:yVal>
          <c:smooth val="0"/>
        </c:ser>
        <c:ser>
          <c:idx val="38"/>
          <c:order val="38"/>
          <c:tx>
            <c:v>LagerV18</c:v>
          </c:tx>
          <c:spPr>
            <a:ln w="12700">
              <a:solidFill>
                <a:srgbClr val="808080"/>
              </a:solidFill>
              <a:prstDash val="solid"/>
            </a:ln>
          </c:spPr>
          <c:marker>
            <c:symbol val="none"/>
          </c:marker>
          <c:xVal>
            <c:numRef>
              <c:f>Symbole!$P$21:$S$21</c:f>
              <c:numCache>
                <c:formatCode>General</c:formatCode>
                <c:ptCount val="4"/>
                <c:pt idx="0">
                  <c:v>0.5</c:v>
                </c:pt>
                <c:pt idx="1">
                  <c:v>0.5</c:v>
                </c:pt>
                <c:pt idx="2">
                  <c:v>0.5</c:v>
                </c:pt>
                <c:pt idx="3">
                  <c:v>0.5</c:v>
                </c:pt>
              </c:numCache>
            </c:numRef>
          </c:xVal>
          <c:yVal>
            <c:numRef>
              <c:f>Symbole!$T$21:$W$21</c:f>
              <c:numCache>
                <c:formatCode>General</c:formatCode>
                <c:ptCount val="4"/>
                <c:pt idx="0">
                  <c:v>0.47499999999999998</c:v>
                </c:pt>
                <c:pt idx="1">
                  <c:v>0.47499999999999998</c:v>
                </c:pt>
                <c:pt idx="2">
                  <c:v>0.47499999999999998</c:v>
                </c:pt>
                <c:pt idx="3">
                  <c:v>0.47499999999999998</c:v>
                </c:pt>
              </c:numCache>
            </c:numRef>
          </c:yVal>
          <c:smooth val="0"/>
        </c:ser>
        <c:ser>
          <c:idx val="39"/>
          <c:order val="39"/>
          <c:tx>
            <c:v>LagerV19</c:v>
          </c:tx>
          <c:spPr>
            <a:ln w="12700">
              <a:solidFill>
                <a:srgbClr val="808080"/>
              </a:solidFill>
              <a:prstDash val="solid"/>
            </a:ln>
          </c:spPr>
          <c:marker>
            <c:symbol val="none"/>
          </c:marker>
          <c:xVal>
            <c:numRef>
              <c:f>Symbole!$P$22:$S$22</c:f>
              <c:numCache>
                <c:formatCode>General</c:formatCode>
                <c:ptCount val="4"/>
                <c:pt idx="0">
                  <c:v>0.5</c:v>
                </c:pt>
                <c:pt idx="1">
                  <c:v>0.5</c:v>
                </c:pt>
                <c:pt idx="2">
                  <c:v>0.5</c:v>
                </c:pt>
                <c:pt idx="3">
                  <c:v>0.5</c:v>
                </c:pt>
              </c:numCache>
            </c:numRef>
          </c:xVal>
          <c:yVal>
            <c:numRef>
              <c:f>Symbole!$T$22:$W$22</c:f>
              <c:numCache>
                <c:formatCode>General</c:formatCode>
                <c:ptCount val="4"/>
                <c:pt idx="0">
                  <c:v>0.47499999999999998</c:v>
                </c:pt>
                <c:pt idx="1">
                  <c:v>0.47499999999999998</c:v>
                </c:pt>
                <c:pt idx="2">
                  <c:v>0.47499999999999998</c:v>
                </c:pt>
                <c:pt idx="3">
                  <c:v>0.47499999999999998</c:v>
                </c:pt>
              </c:numCache>
            </c:numRef>
          </c:yVal>
          <c:smooth val="0"/>
        </c:ser>
        <c:ser>
          <c:idx val="40"/>
          <c:order val="40"/>
          <c:tx>
            <c:v>LagerV20</c:v>
          </c:tx>
          <c:spPr>
            <a:ln w="12700">
              <a:solidFill>
                <a:srgbClr val="808080"/>
              </a:solidFill>
              <a:prstDash val="solid"/>
            </a:ln>
          </c:spPr>
          <c:marker>
            <c:symbol val="none"/>
          </c:marker>
          <c:xVal>
            <c:numRef>
              <c:f>Symbole!$P$23:$S$23</c:f>
              <c:numCache>
                <c:formatCode>General</c:formatCode>
                <c:ptCount val="4"/>
                <c:pt idx="0">
                  <c:v>0.5</c:v>
                </c:pt>
                <c:pt idx="1">
                  <c:v>0.5</c:v>
                </c:pt>
                <c:pt idx="2">
                  <c:v>0.5</c:v>
                </c:pt>
                <c:pt idx="3">
                  <c:v>0.5</c:v>
                </c:pt>
              </c:numCache>
            </c:numRef>
          </c:xVal>
          <c:yVal>
            <c:numRef>
              <c:f>Symbole!$T$23:$W$23</c:f>
              <c:numCache>
                <c:formatCode>General</c:formatCode>
                <c:ptCount val="4"/>
                <c:pt idx="0">
                  <c:v>0.47499999999999998</c:v>
                </c:pt>
                <c:pt idx="1">
                  <c:v>0.47499999999999998</c:v>
                </c:pt>
                <c:pt idx="2">
                  <c:v>0.47499999999999998</c:v>
                </c:pt>
                <c:pt idx="3">
                  <c:v>0.47499999999999998</c:v>
                </c:pt>
              </c:numCache>
            </c:numRef>
          </c:yVal>
          <c:smooth val="0"/>
        </c:ser>
        <c:ser>
          <c:idx val="41"/>
          <c:order val="41"/>
          <c:tx>
            <c:v>LagerH1</c:v>
          </c:tx>
          <c:spPr>
            <a:ln w="12700">
              <a:solidFill>
                <a:srgbClr val="808080"/>
              </a:solidFill>
              <a:prstDash val="solid"/>
            </a:ln>
          </c:spPr>
          <c:marker>
            <c:symbol val="none"/>
          </c:marker>
          <c:xVal>
            <c:numRef>
              <c:f>Symbole!$P$27:$S$27</c:f>
              <c:numCache>
                <c:formatCode>General</c:formatCode>
                <c:ptCount val="4"/>
                <c:pt idx="0">
                  <c:v>0</c:v>
                </c:pt>
                <c:pt idx="1">
                  <c:v>-5.4358748258674983E-2</c:v>
                </c:pt>
                <c:pt idx="2">
                  <c:v>-5.4358748258674983E-2</c:v>
                </c:pt>
                <c:pt idx="3">
                  <c:v>0</c:v>
                </c:pt>
              </c:numCache>
            </c:numRef>
          </c:xVal>
          <c:yVal>
            <c:numRef>
              <c:f>Symbole!$T$27:$W$27</c:f>
              <c:numCache>
                <c:formatCode>General</c:formatCode>
                <c:ptCount val="4"/>
                <c:pt idx="0">
                  <c:v>0.75</c:v>
                </c:pt>
                <c:pt idx="1">
                  <c:v>0.78138495857891166</c:v>
                </c:pt>
                <c:pt idx="2">
                  <c:v>0.71861504142108834</c:v>
                </c:pt>
                <c:pt idx="3">
                  <c:v>0.75</c:v>
                </c:pt>
              </c:numCache>
            </c:numRef>
          </c:yVal>
          <c:smooth val="0"/>
        </c:ser>
        <c:ser>
          <c:idx val="42"/>
          <c:order val="42"/>
          <c:tx>
            <c:v>LagerH2</c:v>
          </c:tx>
          <c:spPr>
            <a:ln w="12700">
              <a:solidFill>
                <a:srgbClr val="808080"/>
              </a:solidFill>
              <a:prstDash val="solid"/>
            </a:ln>
          </c:spPr>
          <c:marker>
            <c:symbol val="none"/>
          </c:marker>
          <c:xVal>
            <c:numRef>
              <c:f>Symbole!$P$28:$S$28</c:f>
              <c:numCache>
                <c:formatCode>General</c:formatCode>
                <c:ptCount val="4"/>
                <c:pt idx="0">
                  <c:v>0.55885637953108702</c:v>
                </c:pt>
                <c:pt idx="1">
                  <c:v>0.55885637953108702</c:v>
                </c:pt>
                <c:pt idx="2">
                  <c:v>0.55885637953108702</c:v>
                </c:pt>
                <c:pt idx="3">
                  <c:v>0.55885637953108702</c:v>
                </c:pt>
              </c:numCache>
            </c:numRef>
          </c:xVal>
          <c:yVal>
            <c:numRef>
              <c:f>Symbole!$T$28:$W$28</c:f>
              <c:numCache>
                <c:formatCode>General</c:formatCode>
                <c:ptCount val="4"/>
                <c:pt idx="0">
                  <c:v>0.50107966863129327</c:v>
                </c:pt>
                <c:pt idx="1">
                  <c:v>0.50107966863129327</c:v>
                </c:pt>
                <c:pt idx="2">
                  <c:v>0.50107966863129327</c:v>
                </c:pt>
                <c:pt idx="3">
                  <c:v>0.50107966863129327</c:v>
                </c:pt>
              </c:numCache>
            </c:numRef>
          </c:yVal>
          <c:smooth val="0"/>
        </c:ser>
        <c:ser>
          <c:idx val="43"/>
          <c:order val="43"/>
          <c:tx>
            <c:v>LagerH3</c:v>
          </c:tx>
          <c:spPr>
            <a:ln w="12700">
              <a:solidFill>
                <a:srgbClr val="808080"/>
              </a:solidFill>
              <a:prstDash val="solid"/>
            </a:ln>
          </c:spPr>
          <c:marker>
            <c:symbol val="none"/>
          </c:marker>
          <c:xVal>
            <c:numRef>
              <c:f>Symbole!$P$29:$S$29</c:f>
              <c:numCache>
                <c:formatCode>General</c:formatCode>
                <c:ptCount val="4"/>
                <c:pt idx="0">
                  <c:v>1</c:v>
                </c:pt>
                <c:pt idx="1">
                  <c:v>0.94564125174132507</c:v>
                </c:pt>
                <c:pt idx="2">
                  <c:v>0.94564125174132507</c:v>
                </c:pt>
                <c:pt idx="3">
                  <c:v>1</c:v>
                </c:pt>
              </c:numCache>
            </c:numRef>
          </c:xVal>
          <c:yVal>
            <c:numRef>
              <c:f>Symbole!$T$29:$W$29</c:f>
              <c:numCache>
                <c:formatCode>General</c:formatCode>
                <c:ptCount val="4"/>
                <c:pt idx="0">
                  <c:v>0.25</c:v>
                </c:pt>
                <c:pt idx="1">
                  <c:v>0.28138495857891166</c:v>
                </c:pt>
                <c:pt idx="2">
                  <c:v>0.21861504142108834</c:v>
                </c:pt>
                <c:pt idx="3">
                  <c:v>0.25</c:v>
                </c:pt>
              </c:numCache>
            </c:numRef>
          </c:yVal>
          <c:smooth val="0"/>
        </c:ser>
        <c:ser>
          <c:idx val="44"/>
          <c:order val="44"/>
          <c:tx>
            <c:v>LagerH4</c:v>
          </c:tx>
          <c:spPr>
            <a:ln w="12700">
              <a:solidFill>
                <a:srgbClr val="808080"/>
              </a:solidFill>
              <a:prstDash val="solid"/>
            </a:ln>
          </c:spPr>
          <c:marker>
            <c:symbol val="none"/>
          </c:marker>
          <c:xVal>
            <c:numRef>
              <c:f>Symbole!$P$30:$S$30</c:f>
              <c:numCache>
                <c:formatCode>General</c:formatCode>
                <c:ptCount val="4"/>
                <c:pt idx="0">
                  <c:v>0.5</c:v>
                </c:pt>
                <c:pt idx="1">
                  <c:v>0.5</c:v>
                </c:pt>
                <c:pt idx="2">
                  <c:v>0.5</c:v>
                </c:pt>
                <c:pt idx="3">
                  <c:v>0.5</c:v>
                </c:pt>
              </c:numCache>
            </c:numRef>
          </c:xVal>
          <c:yVal>
            <c:numRef>
              <c:f>Symbole!$T$30:$W$30</c:f>
              <c:numCache>
                <c:formatCode>General</c:formatCode>
                <c:ptCount val="4"/>
                <c:pt idx="0">
                  <c:v>0.47499999999999998</c:v>
                </c:pt>
                <c:pt idx="1">
                  <c:v>0.47499999999999998</c:v>
                </c:pt>
                <c:pt idx="2">
                  <c:v>0.47499999999999998</c:v>
                </c:pt>
                <c:pt idx="3">
                  <c:v>0.47499999999999998</c:v>
                </c:pt>
              </c:numCache>
            </c:numRef>
          </c:yVal>
          <c:smooth val="0"/>
        </c:ser>
        <c:ser>
          <c:idx val="45"/>
          <c:order val="45"/>
          <c:tx>
            <c:v>LagerH5</c:v>
          </c:tx>
          <c:spPr>
            <a:ln w="12700">
              <a:solidFill>
                <a:srgbClr val="808080"/>
              </a:solidFill>
              <a:prstDash val="solid"/>
            </a:ln>
          </c:spPr>
          <c:marker>
            <c:symbol val="none"/>
          </c:marker>
          <c:xVal>
            <c:numRef>
              <c:f>Symbole!$P$31:$S$31</c:f>
              <c:numCache>
                <c:formatCode>General</c:formatCode>
                <c:ptCount val="4"/>
                <c:pt idx="0">
                  <c:v>0.5</c:v>
                </c:pt>
                <c:pt idx="1">
                  <c:v>0.5</c:v>
                </c:pt>
                <c:pt idx="2">
                  <c:v>0.5</c:v>
                </c:pt>
                <c:pt idx="3">
                  <c:v>0.5</c:v>
                </c:pt>
              </c:numCache>
            </c:numRef>
          </c:xVal>
          <c:yVal>
            <c:numRef>
              <c:f>Symbole!$T$31:$W$31</c:f>
              <c:numCache>
                <c:formatCode>General</c:formatCode>
                <c:ptCount val="4"/>
                <c:pt idx="0">
                  <c:v>0.47499999999999998</c:v>
                </c:pt>
                <c:pt idx="1">
                  <c:v>0.47499999999999998</c:v>
                </c:pt>
                <c:pt idx="2">
                  <c:v>0.47499999999999998</c:v>
                </c:pt>
                <c:pt idx="3">
                  <c:v>0.47499999999999998</c:v>
                </c:pt>
              </c:numCache>
            </c:numRef>
          </c:yVal>
          <c:smooth val="0"/>
        </c:ser>
        <c:ser>
          <c:idx val="46"/>
          <c:order val="46"/>
          <c:tx>
            <c:v>LagerH6</c:v>
          </c:tx>
          <c:spPr>
            <a:ln w="12700">
              <a:solidFill>
                <a:srgbClr val="808080"/>
              </a:solidFill>
              <a:prstDash val="solid"/>
            </a:ln>
          </c:spPr>
          <c:marker>
            <c:symbol val="none"/>
          </c:marker>
          <c:xVal>
            <c:numRef>
              <c:f>Symbole!$P$32:$S$32</c:f>
              <c:numCache>
                <c:formatCode>General</c:formatCode>
                <c:ptCount val="4"/>
                <c:pt idx="0">
                  <c:v>0.5</c:v>
                </c:pt>
                <c:pt idx="1">
                  <c:v>0.5</c:v>
                </c:pt>
                <c:pt idx="2">
                  <c:v>0.5</c:v>
                </c:pt>
                <c:pt idx="3">
                  <c:v>0.5</c:v>
                </c:pt>
              </c:numCache>
            </c:numRef>
          </c:xVal>
          <c:yVal>
            <c:numRef>
              <c:f>Symbole!$T$32:$W$32</c:f>
              <c:numCache>
                <c:formatCode>General</c:formatCode>
                <c:ptCount val="4"/>
                <c:pt idx="0">
                  <c:v>0.47499999999999998</c:v>
                </c:pt>
                <c:pt idx="1">
                  <c:v>0.47499999999999998</c:v>
                </c:pt>
                <c:pt idx="2">
                  <c:v>0.47499999999999998</c:v>
                </c:pt>
                <c:pt idx="3">
                  <c:v>0.47499999999999998</c:v>
                </c:pt>
              </c:numCache>
            </c:numRef>
          </c:yVal>
          <c:smooth val="0"/>
        </c:ser>
        <c:ser>
          <c:idx val="47"/>
          <c:order val="47"/>
          <c:tx>
            <c:v>LagerH7</c:v>
          </c:tx>
          <c:spPr>
            <a:ln w="12700">
              <a:solidFill>
                <a:srgbClr val="808080"/>
              </a:solidFill>
              <a:prstDash val="solid"/>
            </a:ln>
          </c:spPr>
          <c:marker>
            <c:symbol val="none"/>
          </c:marker>
          <c:xVal>
            <c:numRef>
              <c:f>Symbole!$P$33:$S$33</c:f>
              <c:numCache>
                <c:formatCode>General</c:formatCode>
                <c:ptCount val="4"/>
                <c:pt idx="0">
                  <c:v>0.5</c:v>
                </c:pt>
                <c:pt idx="1">
                  <c:v>0.5</c:v>
                </c:pt>
                <c:pt idx="2">
                  <c:v>0.5</c:v>
                </c:pt>
                <c:pt idx="3">
                  <c:v>0.5</c:v>
                </c:pt>
              </c:numCache>
            </c:numRef>
          </c:xVal>
          <c:yVal>
            <c:numRef>
              <c:f>Symbole!$T$33:$W$33</c:f>
              <c:numCache>
                <c:formatCode>General</c:formatCode>
                <c:ptCount val="4"/>
                <c:pt idx="0">
                  <c:v>0.47499999999999998</c:v>
                </c:pt>
                <c:pt idx="1">
                  <c:v>0.47499999999999998</c:v>
                </c:pt>
                <c:pt idx="2">
                  <c:v>0.47499999999999998</c:v>
                </c:pt>
                <c:pt idx="3">
                  <c:v>0.47499999999999998</c:v>
                </c:pt>
              </c:numCache>
            </c:numRef>
          </c:yVal>
          <c:smooth val="0"/>
        </c:ser>
        <c:ser>
          <c:idx val="48"/>
          <c:order val="48"/>
          <c:tx>
            <c:v>LagerH8</c:v>
          </c:tx>
          <c:spPr>
            <a:ln w="12700">
              <a:solidFill>
                <a:srgbClr val="808080"/>
              </a:solidFill>
              <a:prstDash val="solid"/>
            </a:ln>
          </c:spPr>
          <c:marker>
            <c:symbol val="none"/>
          </c:marker>
          <c:xVal>
            <c:numRef>
              <c:f>Symbole!$P$34:$S$34</c:f>
              <c:numCache>
                <c:formatCode>General</c:formatCode>
                <c:ptCount val="4"/>
                <c:pt idx="0">
                  <c:v>0.5</c:v>
                </c:pt>
                <c:pt idx="1">
                  <c:v>0.5</c:v>
                </c:pt>
                <c:pt idx="2">
                  <c:v>0.5</c:v>
                </c:pt>
                <c:pt idx="3">
                  <c:v>0.5</c:v>
                </c:pt>
              </c:numCache>
            </c:numRef>
          </c:xVal>
          <c:yVal>
            <c:numRef>
              <c:f>Symbole!$T$34:$W$34</c:f>
              <c:numCache>
                <c:formatCode>General</c:formatCode>
                <c:ptCount val="4"/>
                <c:pt idx="0">
                  <c:v>0.47499999999999998</c:v>
                </c:pt>
                <c:pt idx="1">
                  <c:v>0.47499999999999998</c:v>
                </c:pt>
                <c:pt idx="2">
                  <c:v>0.47499999999999998</c:v>
                </c:pt>
                <c:pt idx="3">
                  <c:v>0.47499999999999998</c:v>
                </c:pt>
              </c:numCache>
            </c:numRef>
          </c:yVal>
          <c:smooth val="0"/>
        </c:ser>
        <c:ser>
          <c:idx val="49"/>
          <c:order val="49"/>
          <c:tx>
            <c:v>LagerH9</c:v>
          </c:tx>
          <c:spPr>
            <a:ln w="12700">
              <a:solidFill>
                <a:srgbClr val="808080"/>
              </a:solidFill>
              <a:prstDash val="solid"/>
            </a:ln>
          </c:spPr>
          <c:marker>
            <c:symbol val="none"/>
          </c:marker>
          <c:xVal>
            <c:numRef>
              <c:f>Symbole!$P$35:$S$35</c:f>
              <c:numCache>
                <c:formatCode>General</c:formatCode>
                <c:ptCount val="4"/>
                <c:pt idx="0">
                  <c:v>0.5</c:v>
                </c:pt>
                <c:pt idx="1">
                  <c:v>0.5</c:v>
                </c:pt>
                <c:pt idx="2">
                  <c:v>0.5</c:v>
                </c:pt>
                <c:pt idx="3">
                  <c:v>0.5</c:v>
                </c:pt>
              </c:numCache>
            </c:numRef>
          </c:xVal>
          <c:yVal>
            <c:numRef>
              <c:f>Symbole!$T$35:$W$35</c:f>
              <c:numCache>
                <c:formatCode>General</c:formatCode>
                <c:ptCount val="4"/>
                <c:pt idx="0">
                  <c:v>0.47499999999999998</c:v>
                </c:pt>
                <c:pt idx="1">
                  <c:v>0.47499999999999998</c:v>
                </c:pt>
                <c:pt idx="2">
                  <c:v>0.47499999999999998</c:v>
                </c:pt>
                <c:pt idx="3">
                  <c:v>0.47499999999999998</c:v>
                </c:pt>
              </c:numCache>
            </c:numRef>
          </c:yVal>
          <c:smooth val="0"/>
        </c:ser>
        <c:ser>
          <c:idx val="50"/>
          <c:order val="50"/>
          <c:tx>
            <c:v>LagerH10</c:v>
          </c:tx>
          <c:spPr>
            <a:ln w="12700">
              <a:solidFill>
                <a:srgbClr val="808080"/>
              </a:solidFill>
              <a:prstDash val="solid"/>
            </a:ln>
          </c:spPr>
          <c:marker>
            <c:symbol val="none"/>
          </c:marker>
          <c:xVal>
            <c:numRef>
              <c:f>Symbole!$P$36:$S$36</c:f>
              <c:numCache>
                <c:formatCode>General</c:formatCode>
                <c:ptCount val="4"/>
                <c:pt idx="0">
                  <c:v>0.5</c:v>
                </c:pt>
                <c:pt idx="1">
                  <c:v>0.5</c:v>
                </c:pt>
                <c:pt idx="2">
                  <c:v>0.5</c:v>
                </c:pt>
                <c:pt idx="3">
                  <c:v>0.5</c:v>
                </c:pt>
              </c:numCache>
            </c:numRef>
          </c:xVal>
          <c:yVal>
            <c:numRef>
              <c:f>Symbole!$T$36:$W$36</c:f>
              <c:numCache>
                <c:formatCode>General</c:formatCode>
                <c:ptCount val="4"/>
                <c:pt idx="0">
                  <c:v>0.47499999999999998</c:v>
                </c:pt>
                <c:pt idx="1">
                  <c:v>0.47499999999999998</c:v>
                </c:pt>
                <c:pt idx="2">
                  <c:v>0.47499999999999998</c:v>
                </c:pt>
                <c:pt idx="3">
                  <c:v>0.47499999999999998</c:v>
                </c:pt>
              </c:numCache>
            </c:numRef>
          </c:yVal>
          <c:smooth val="0"/>
        </c:ser>
        <c:ser>
          <c:idx val="51"/>
          <c:order val="51"/>
          <c:tx>
            <c:v>LagerH11</c:v>
          </c:tx>
          <c:spPr>
            <a:ln w="12700">
              <a:solidFill>
                <a:srgbClr val="808080"/>
              </a:solidFill>
              <a:prstDash val="solid"/>
            </a:ln>
          </c:spPr>
          <c:marker>
            <c:symbol val="none"/>
          </c:marker>
          <c:xVal>
            <c:numRef>
              <c:f>Symbole!$P$37:$S$37</c:f>
              <c:numCache>
                <c:formatCode>General</c:formatCode>
                <c:ptCount val="4"/>
                <c:pt idx="0">
                  <c:v>0.5</c:v>
                </c:pt>
                <c:pt idx="1">
                  <c:v>0.5</c:v>
                </c:pt>
                <c:pt idx="2">
                  <c:v>0.5</c:v>
                </c:pt>
                <c:pt idx="3">
                  <c:v>0.5</c:v>
                </c:pt>
              </c:numCache>
            </c:numRef>
          </c:xVal>
          <c:yVal>
            <c:numRef>
              <c:f>Symbole!$T$37:$W$37</c:f>
              <c:numCache>
                <c:formatCode>General</c:formatCode>
                <c:ptCount val="4"/>
                <c:pt idx="0">
                  <c:v>0.47499999999999998</c:v>
                </c:pt>
                <c:pt idx="1">
                  <c:v>0.47499999999999998</c:v>
                </c:pt>
                <c:pt idx="2">
                  <c:v>0.47499999999999998</c:v>
                </c:pt>
                <c:pt idx="3">
                  <c:v>0.47499999999999998</c:v>
                </c:pt>
              </c:numCache>
            </c:numRef>
          </c:yVal>
          <c:smooth val="0"/>
        </c:ser>
        <c:ser>
          <c:idx val="52"/>
          <c:order val="52"/>
          <c:tx>
            <c:v>LagerH12</c:v>
          </c:tx>
          <c:spPr>
            <a:ln w="12700">
              <a:solidFill>
                <a:srgbClr val="808080"/>
              </a:solidFill>
              <a:prstDash val="solid"/>
            </a:ln>
          </c:spPr>
          <c:marker>
            <c:symbol val="none"/>
          </c:marker>
          <c:xVal>
            <c:numRef>
              <c:f>Symbole!$P$38:$S$38</c:f>
              <c:numCache>
                <c:formatCode>General</c:formatCode>
                <c:ptCount val="4"/>
                <c:pt idx="0">
                  <c:v>0.5</c:v>
                </c:pt>
                <c:pt idx="1">
                  <c:v>0.5</c:v>
                </c:pt>
                <c:pt idx="2">
                  <c:v>0.5</c:v>
                </c:pt>
                <c:pt idx="3">
                  <c:v>0.5</c:v>
                </c:pt>
              </c:numCache>
            </c:numRef>
          </c:xVal>
          <c:yVal>
            <c:numRef>
              <c:f>Symbole!$T$38:$W$38</c:f>
              <c:numCache>
                <c:formatCode>General</c:formatCode>
                <c:ptCount val="4"/>
                <c:pt idx="0">
                  <c:v>0.47499999999999998</c:v>
                </c:pt>
                <c:pt idx="1">
                  <c:v>0.47499999999999998</c:v>
                </c:pt>
                <c:pt idx="2">
                  <c:v>0.47499999999999998</c:v>
                </c:pt>
                <c:pt idx="3">
                  <c:v>0.47499999999999998</c:v>
                </c:pt>
              </c:numCache>
            </c:numRef>
          </c:yVal>
          <c:smooth val="0"/>
        </c:ser>
        <c:ser>
          <c:idx val="53"/>
          <c:order val="53"/>
          <c:tx>
            <c:v>LagerH13</c:v>
          </c:tx>
          <c:spPr>
            <a:ln w="12700">
              <a:solidFill>
                <a:srgbClr val="808080"/>
              </a:solidFill>
              <a:prstDash val="solid"/>
            </a:ln>
          </c:spPr>
          <c:marker>
            <c:symbol val="none"/>
          </c:marker>
          <c:xVal>
            <c:numRef>
              <c:f>Symbole!$P$39:$S$39</c:f>
              <c:numCache>
                <c:formatCode>General</c:formatCode>
                <c:ptCount val="4"/>
                <c:pt idx="0">
                  <c:v>0.5</c:v>
                </c:pt>
                <c:pt idx="1">
                  <c:v>0.5</c:v>
                </c:pt>
                <c:pt idx="2">
                  <c:v>0.5</c:v>
                </c:pt>
                <c:pt idx="3">
                  <c:v>0.5</c:v>
                </c:pt>
              </c:numCache>
            </c:numRef>
          </c:xVal>
          <c:yVal>
            <c:numRef>
              <c:f>Symbole!$T$39:$W$39</c:f>
              <c:numCache>
                <c:formatCode>General</c:formatCode>
                <c:ptCount val="4"/>
                <c:pt idx="0">
                  <c:v>0.47499999999999998</c:v>
                </c:pt>
                <c:pt idx="1">
                  <c:v>0.47499999999999998</c:v>
                </c:pt>
                <c:pt idx="2">
                  <c:v>0.47499999999999998</c:v>
                </c:pt>
                <c:pt idx="3">
                  <c:v>0.47499999999999998</c:v>
                </c:pt>
              </c:numCache>
            </c:numRef>
          </c:yVal>
          <c:smooth val="0"/>
        </c:ser>
        <c:ser>
          <c:idx val="54"/>
          <c:order val="54"/>
          <c:tx>
            <c:v>LagerH14</c:v>
          </c:tx>
          <c:spPr>
            <a:ln w="12700">
              <a:solidFill>
                <a:srgbClr val="808080"/>
              </a:solidFill>
              <a:prstDash val="solid"/>
            </a:ln>
          </c:spPr>
          <c:marker>
            <c:symbol val="none"/>
          </c:marker>
          <c:xVal>
            <c:numRef>
              <c:f>Symbole!$P$40:$S$40</c:f>
              <c:numCache>
                <c:formatCode>General</c:formatCode>
                <c:ptCount val="4"/>
                <c:pt idx="0">
                  <c:v>0.5</c:v>
                </c:pt>
                <c:pt idx="1">
                  <c:v>0.5</c:v>
                </c:pt>
                <c:pt idx="2">
                  <c:v>0.5</c:v>
                </c:pt>
                <c:pt idx="3">
                  <c:v>0.5</c:v>
                </c:pt>
              </c:numCache>
            </c:numRef>
          </c:xVal>
          <c:yVal>
            <c:numRef>
              <c:f>Symbole!$T$40:$W$40</c:f>
              <c:numCache>
                <c:formatCode>General</c:formatCode>
                <c:ptCount val="4"/>
                <c:pt idx="0">
                  <c:v>0.47499999999999998</c:v>
                </c:pt>
                <c:pt idx="1">
                  <c:v>0.47499999999999998</c:v>
                </c:pt>
                <c:pt idx="2">
                  <c:v>0.47499999999999998</c:v>
                </c:pt>
                <c:pt idx="3">
                  <c:v>0.47499999999999998</c:v>
                </c:pt>
              </c:numCache>
            </c:numRef>
          </c:yVal>
          <c:smooth val="0"/>
        </c:ser>
        <c:ser>
          <c:idx val="55"/>
          <c:order val="55"/>
          <c:tx>
            <c:v>LagerH15</c:v>
          </c:tx>
          <c:spPr>
            <a:ln w="12700">
              <a:solidFill>
                <a:srgbClr val="808080"/>
              </a:solidFill>
              <a:prstDash val="solid"/>
            </a:ln>
          </c:spPr>
          <c:marker>
            <c:symbol val="none"/>
          </c:marker>
          <c:xVal>
            <c:numRef>
              <c:f>Symbole!$P$41:$S$41</c:f>
              <c:numCache>
                <c:formatCode>General</c:formatCode>
                <c:ptCount val="4"/>
                <c:pt idx="0">
                  <c:v>0.5</c:v>
                </c:pt>
                <c:pt idx="1">
                  <c:v>0.5</c:v>
                </c:pt>
                <c:pt idx="2">
                  <c:v>0.5</c:v>
                </c:pt>
                <c:pt idx="3">
                  <c:v>0.5</c:v>
                </c:pt>
              </c:numCache>
            </c:numRef>
          </c:xVal>
          <c:yVal>
            <c:numRef>
              <c:f>Symbole!$T$41:$W$41</c:f>
              <c:numCache>
                <c:formatCode>General</c:formatCode>
                <c:ptCount val="4"/>
                <c:pt idx="0">
                  <c:v>0.47499999999999998</c:v>
                </c:pt>
                <c:pt idx="1">
                  <c:v>0.47499999999999998</c:v>
                </c:pt>
                <c:pt idx="2">
                  <c:v>0.47499999999999998</c:v>
                </c:pt>
                <c:pt idx="3">
                  <c:v>0.47499999999999998</c:v>
                </c:pt>
              </c:numCache>
            </c:numRef>
          </c:yVal>
          <c:smooth val="0"/>
        </c:ser>
        <c:ser>
          <c:idx val="56"/>
          <c:order val="56"/>
          <c:tx>
            <c:v>LagerH16</c:v>
          </c:tx>
          <c:spPr>
            <a:ln w="12700">
              <a:solidFill>
                <a:srgbClr val="808080"/>
              </a:solidFill>
              <a:prstDash val="solid"/>
            </a:ln>
          </c:spPr>
          <c:marker>
            <c:symbol val="none"/>
          </c:marker>
          <c:xVal>
            <c:numRef>
              <c:f>Symbole!$P$42:$S$42</c:f>
              <c:numCache>
                <c:formatCode>General</c:formatCode>
                <c:ptCount val="4"/>
                <c:pt idx="0">
                  <c:v>0.5</c:v>
                </c:pt>
                <c:pt idx="1">
                  <c:v>0.5</c:v>
                </c:pt>
                <c:pt idx="2">
                  <c:v>0.5</c:v>
                </c:pt>
                <c:pt idx="3">
                  <c:v>0.5</c:v>
                </c:pt>
              </c:numCache>
            </c:numRef>
          </c:xVal>
          <c:yVal>
            <c:numRef>
              <c:f>Symbole!$T$42:$W$42</c:f>
              <c:numCache>
                <c:formatCode>General</c:formatCode>
                <c:ptCount val="4"/>
                <c:pt idx="0">
                  <c:v>0.47499999999999998</c:v>
                </c:pt>
                <c:pt idx="1">
                  <c:v>0.47499999999999998</c:v>
                </c:pt>
                <c:pt idx="2">
                  <c:v>0.47499999999999998</c:v>
                </c:pt>
                <c:pt idx="3">
                  <c:v>0.47499999999999998</c:v>
                </c:pt>
              </c:numCache>
            </c:numRef>
          </c:yVal>
          <c:smooth val="0"/>
        </c:ser>
        <c:ser>
          <c:idx val="57"/>
          <c:order val="57"/>
          <c:tx>
            <c:v>LagerH17</c:v>
          </c:tx>
          <c:spPr>
            <a:ln w="12700">
              <a:solidFill>
                <a:srgbClr val="808080"/>
              </a:solidFill>
              <a:prstDash val="solid"/>
            </a:ln>
          </c:spPr>
          <c:marker>
            <c:symbol val="none"/>
          </c:marker>
          <c:xVal>
            <c:numRef>
              <c:f>Symbole!$P$43:$S$43</c:f>
              <c:numCache>
                <c:formatCode>General</c:formatCode>
                <c:ptCount val="4"/>
                <c:pt idx="0">
                  <c:v>0.5</c:v>
                </c:pt>
                <c:pt idx="1">
                  <c:v>0.5</c:v>
                </c:pt>
                <c:pt idx="2">
                  <c:v>0.5</c:v>
                </c:pt>
                <c:pt idx="3">
                  <c:v>0.5</c:v>
                </c:pt>
              </c:numCache>
            </c:numRef>
          </c:xVal>
          <c:yVal>
            <c:numRef>
              <c:f>Symbole!$T$43:$W$43</c:f>
              <c:numCache>
                <c:formatCode>General</c:formatCode>
                <c:ptCount val="4"/>
                <c:pt idx="0">
                  <c:v>0.47499999999999998</c:v>
                </c:pt>
                <c:pt idx="1">
                  <c:v>0.47499999999999998</c:v>
                </c:pt>
                <c:pt idx="2">
                  <c:v>0.47499999999999998</c:v>
                </c:pt>
                <c:pt idx="3">
                  <c:v>0.47499999999999998</c:v>
                </c:pt>
              </c:numCache>
            </c:numRef>
          </c:yVal>
          <c:smooth val="0"/>
        </c:ser>
        <c:ser>
          <c:idx val="58"/>
          <c:order val="58"/>
          <c:tx>
            <c:v>LagerH18</c:v>
          </c:tx>
          <c:spPr>
            <a:ln w="12700">
              <a:solidFill>
                <a:srgbClr val="808080"/>
              </a:solidFill>
              <a:prstDash val="solid"/>
            </a:ln>
          </c:spPr>
          <c:marker>
            <c:symbol val="none"/>
          </c:marker>
          <c:xVal>
            <c:numRef>
              <c:f>Symbole!$P$44:$S$44</c:f>
              <c:numCache>
                <c:formatCode>General</c:formatCode>
                <c:ptCount val="4"/>
                <c:pt idx="0">
                  <c:v>0.5</c:v>
                </c:pt>
                <c:pt idx="1">
                  <c:v>0.5</c:v>
                </c:pt>
                <c:pt idx="2">
                  <c:v>0.5</c:v>
                </c:pt>
                <c:pt idx="3">
                  <c:v>0.5</c:v>
                </c:pt>
              </c:numCache>
            </c:numRef>
          </c:xVal>
          <c:yVal>
            <c:numRef>
              <c:f>Symbole!$T$44:$W$44</c:f>
              <c:numCache>
                <c:formatCode>General</c:formatCode>
                <c:ptCount val="4"/>
                <c:pt idx="0">
                  <c:v>0.47499999999999998</c:v>
                </c:pt>
                <c:pt idx="1">
                  <c:v>0.47499999999999998</c:v>
                </c:pt>
                <c:pt idx="2">
                  <c:v>0.47499999999999998</c:v>
                </c:pt>
                <c:pt idx="3">
                  <c:v>0.47499999999999998</c:v>
                </c:pt>
              </c:numCache>
            </c:numRef>
          </c:yVal>
          <c:smooth val="0"/>
        </c:ser>
        <c:ser>
          <c:idx val="59"/>
          <c:order val="59"/>
          <c:tx>
            <c:v>LagerH19</c:v>
          </c:tx>
          <c:spPr>
            <a:ln w="12700">
              <a:solidFill>
                <a:srgbClr val="808080"/>
              </a:solidFill>
              <a:prstDash val="solid"/>
            </a:ln>
          </c:spPr>
          <c:marker>
            <c:symbol val="none"/>
          </c:marker>
          <c:xVal>
            <c:numRef>
              <c:f>Symbole!$P$45:$S$45</c:f>
              <c:numCache>
                <c:formatCode>General</c:formatCode>
                <c:ptCount val="4"/>
                <c:pt idx="0">
                  <c:v>0.5</c:v>
                </c:pt>
                <c:pt idx="1">
                  <c:v>0.5</c:v>
                </c:pt>
                <c:pt idx="2">
                  <c:v>0.5</c:v>
                </c:pt>
                <c:pt idx="3">
                  <c:v>0.5</c:v>
                </c:pt>
              </c:numCache>
            </c:numRef>
          </c:xVal>
          <c:yVal>
            <c:numRef>
              <c:f>Symbole!$T$45:$W$45</c:f>
              <c:numCache>
                <c:formatCode>General</c:formatCode>
                <c:ptCount val="4"/>
                <c:pt idx="0">
                  <c:v>0.47499999999999998</c:v>
                </c:pt>
                <c:pt idx="1">
                  <c:v>0.47499999999999998</c:v>
                </c:pt>
                <c:pt idx="2">
                  <c:v>0.47499999999999998</c:v>
                </c:pt>
                <c:pt idx="3">
                  <c:v>0.47499999999999998</c:v>
                </c:pt>
              </c:numCache>
            </c:numRef>
          </c:yVal>
          <c:smooth val="0"/>
        </c:ser>
        <c:ser>
          <c:idx val="60"/>
          <c:order val="60"/>
          <c:tx>
            <c:v>LagerH20</c:v>
          </c:tx>
          <c:spPr>
            <a:ln w="12700">
              <a:solidFill>
                <a:srgbClr val="808080"/>
              </a:solidFill>
              <a:prstDash val="solid"/>
            </a:ln>
          </c:spPr>
          <c:marker>
            <c:symbol val="none"/>
          </c:marker>
          <c:xVal>
            <c:numRef>
              <c:f>Symbole!$P$46:$S$46</c:f>
              <c:numCache>
                <c:formatCode>General</c:formatCode>
                <c:ptCount val="4"/>
                <c:pt idx="0">
                  <c:v>0.5</c:v>
                </c:pt>
                <c:pt idx="1">
                  <c:v>0.5</c:v>
                </c:pt>
                <c:pt idx="2">
                  <c:v>0.5</c:v>
                </c:pt>
                <c:pt idx="3">
                  <c:v>0.5</c:v>
                </c:pt>
              </c:numCache>
            </c:numRef>
          </c:xVal>
          <c:yVal>
            <c:numRef>
              <c:f>Symbole!$T$46:$W$46</c:f>
              <c:numCache>
                <c:formatCode>General</c:formatCode>
                <c:ptCount val="4"/>
                <c:pt idx="0">
                  <c:v>0.47499999999999998</c:v>
                </c:pt>
                <c:pt idx="1">
                  <c:v>0.47499999999999998</c:v>
                </c:pt>
                <c:pt idx="2">
                  <c:v>0.47499999999999998</c:v>
                </c:pt>
                <c:pt idx="3">
                  <c:v>0.47499999999999998</c:v>
                </c:pt>
              </c:numCache>
            </c:numRef>
          </c:yVal>
          <c:smooth val="0"/>
        </c:ser>
        <c:ser>
          <c:idx val="61"/>
          <c:order val="61"/>
          <c:tx>
            <c:v>LagerR1</c:v>
          </c:tx>
          <c:spPr>
            <a:ln w="12700">
              <a:solidFill>
                <a:srgbClr val="808080"/>
              </a:solidFill>
              <a:prstDash val="solid"/>
            </a:ln>
          </c:spPr>
          <c:marker>
            <c:symbol val="none"/>
          </c:marker>
          <c:xVal>
            <c:numRef>
              <c:f>Symbole!$P$50:$T$50</c:f>
              <c:numCache>
                <c:formatCode>General</c:formatCode>
                <c:ptCount val="5"/>
                <c:pt idx="0">
                  <c:v>0</c:v>
                </c:pt>
                <c:pt idx="1">
                  <c:v>0</c:v>
                </c:pt>
                <c:pt idx="2">
                  <c:v>0</c:v>
                </c:pt>
                <c:pt idx="3">
                  <c:v>0</c:v>
                </c:pt>
                <c:pt idx="4">
                  <c:v>0</c:v>
                </c:pt>
              </c:numCache>
            </c:numRef>
          </c:xVal>
          <c:yVal>
            <c:numRef>
              <c:f>Symbole!$U$50:$Y$50</c:f>
              <c:numCache>
                <c:formatCode>General</c:formatCode>
                <c:ptCount val="5"/>
                <c:pt idx="0">
                  <c:v>0.75</c:v>
                </c:pt>
                <c:pt idx="1">
                  <c:v>0.75</c:v>
                </c:pt>
                <c:pt idx="2">
                  <c:v>0.75</c:v>
                </c:pt>
                <c:pt idx="3">
                  <c:v>0.75</c:v>
                </c:pt>
                <c:pt idx="4">
                  <c:v>0.75</c:v>
                </c:pt>
              </c:numCache>
            </c:numRef>
          </c:yVal>
          <c:smooth val="0"/>
        </c:ser>
        <c:ser>
          <c:idx val="62"/>
          <c:order val="62"/>
          <c:tx>
            <c:v>LagerR2</c:v>
          </c:tx>
          <c:spPr>
            <a:ln w="12700">
              <a:solidFill>
                <a:srgbClr val="808080"/>
              </a:solidFill>
              <a:prstDash val="solid"/>
            </a:ln>
          </c:spPr>
          <c:marker>
            <c:symbol val="none"/>
          </c:marker>
          <c:xVal>
            <c:numRef>
              <c:f>Symbole!$P$51:$T$51</c:f>
              <c:numCache>
                <c:formatCode>General</c:formatCode>
                <c:ptCount val="5"/>
                <c:pt idx="0">
                  <c:v>0.55885637953108702</c:v>
                </c:pt>
                <c:pt idx="1">
                  <c:v>0.55885637953108702</c:v>
                </c:pt>
                <c:pt idx="2">
                  <c:v>0.55885637953108702</c:v>
                </c:pt>
                <c:pt idx="3">
                  <c:v>0.55885637953108702</c:v>
                </c:pt>
                <c:pt idx="4">
                  <c:v>0.55885637953108702</c:v>
                </c:pt>
              </c:numCache>
            </c:numRef>
          </c:xVal>
          <c:yVal>
            <c:numRef>
              <c:f>Symbole!$U$51:$Y$51</c:f>
              <c:numCache>
                <c:formatCode>General</c:formatCode>
                <c:ptCount val="5"/>
                <c:pt idx="0">
                  <c:v>0.50107966863129327</c:v>
                </c:pt>
                <c:pt idx="1">
                  <c:v>0.50107966863129327</c:v>
                </c:pt>
                <c:pt idx="2">
                  <c:v>0.50107966863129327</c:v>
                </c:pt>
                <c:pt idx="3">
                  <c:v>0.50107966863129327</c:v>
                </c:pt>
                <c:pt idx="4">
                  <c:v>0.50107966863129327</c:v>
                </c:pt>
              </c:numCache>
            </c:numRef>
          </c:yVal>
          <c:smooth val="0"/>
        </c:ser>
        <c:ser>
          <c:idx val="63"/>
          <c:order val="63"/>
          <c:tx>
            <c:v>LagerR3</c:v>
          </c:tx>
          <c:spPr>
            <a:ln w="12700">
              <a:solidFill>
                <a:srgbClr val="808080"/>
              </a:solidFill>
              <a:prstDash val="solid"/>
            </a:ln>
          </c:spPr>
          <c:marker>
            <c:symbol val="none"/>
          </c:marker>
          <c:xVal>
            <c:numRef>
              <c:f>Symbole!$P$52:$T$52</c:f>
              <c:numCache>
                <c:formatCode>General</c:formatCode>
                <c:ptCount val="5"/>
                <c:pt idx="0">
                  <c:v>1</c:v>
                </c:pt>
                <c:pt idx="1">
                  <c:v>1</c:v>
                </c:pt>
                <c:pt idx="2">
                  <c:v>1</c:v>
                </c:pt>
                <c:pt idx="3">
                  <c:v>1</c:v>
                </c:pt>
                <c:pt idx="4">
                  <c:v>1</c:v>
                </c:pt>
              </c:numCache>
            </c:numRef>
          </c:xVal>
          <c:yVal>
            <c:numRef>
              <c:f>Symbole!$U$52:$Y$52</c:f>
              <c:numCache>
                <c:formatCode>General</c:formatCode>
                <c:ptCount val="5"/>
                <c:pt idx="0">
                  <c:v>0.25</c:v>
                </c:pt>
                <c:pt idx="1">
                  <c:v>0.25</c:v>
                </c:pt>
                <c:pt idx="2">
                  <c:v>0.25</c:v>
                </c:pt>
                <c:pt idx="3">
                  <c:v>0.25</c:v>
                </c:pt>
                <c:pt idx="4">
                  <c:v>0.25</c:v>
                </c:pt>
              </c:numCache>
            </c:numRef>
          </c:yVal>
          <c:smooth val="0"/>
        </c:ser>
        <c:ser>
          <c:idx val="64"/>
          <c:order val="64"/>
          <c:tx>
            <c:v>LagerR4</c:v>
          </c:tx>
          <c:spPr>
            <a:ln w="12700">
              <a:solidFill>
                <a:srgbClr val="808080"/>
              </a:solidFill>
              <a:prstDash val="solid"/>
            </a:ln>
          </c:spPr>
          <c:marker>
            <c:symbol val="none"/>
          </c:marker>
          <c:xVal>
            <c:numRef>
              <c:f>Symbole!$P$53:$T$53</c:f>
              <c:numCache>
                <c:formatCode>General</c:formatCode>
                <c:ptCount val="5"/>
                <c:pt idx="0">
                  <c:v>0.5</c:v>
                </c:pt>
                <c:pt idx="1">
                  <c:v>0.5</c:v>
                </c:pt>
                <c:pt idx="2">
                  <c:v>0.5</c:v>
                </c:pt>
                <c:pt idx="3">
                  <c:v>0.5</c:v>
                </c:pt>
                <c:pt idx="4">
                  <c:v>0.5</c:v>
                </c:pt>
              </c:numCache>
            </c:numRef>
          </c:xVal>
          <c:yVal>
            <c:numRef>
              <c:f>Symbole!$U$53:$Y$53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5"/>
          <c:order val="65"/>
          <c:tx>
            <c:v>LagerR5</c:v>
          </c:tx>
          <c:spPr>
            <a:ln w="12700">
              <a:solidFill>
                <a:srgbClr val="808080"/>
              </a:solidFill>
              <a:prstDash val="solid"/>
            </a:ln>
          </c:spPr>
          <c:marker>
            <c:symbol val="none"/>
          </c:marker>
          <c:xVal>
            <c:numRef>
              <c:f>Symbole!$P$54:$T$54</c:f>
              <c:numCache>
                <c:formatCode>General</c:formatCode>
                <c:ptCount val="5"/>
                <c:pt idx="0">
                  <c:v>0.5</c:v>
                </c:pt>
                <c:pt idx="1">
                  <c:v>0.5</c:v>
                </c:pt>
                <c:pt idx="2">
                  <c:v>0.5</c:v>
                </c:pt>
                <c:pt idx="3">
                  <c:v>0.5</c:v>
                </c:pt>
                <c:pt idx="4">
                  <c:v>0.5</c:v>
                </c:pt>
              </c:numCache>
            </c:numRef>
          </c:xVal>
          <c:yVal>
            <c:numRef>
              <c:f>Symbole!$U$54:$Y$54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6"/>
          <c:order val="66"/>
          <c:tx>
            <c:v>LagerR6</c:v>
          </c:tx>
          <c:spPr>
            <a:ln w="12700">
              <a:solidFill>
                <a:srgbClr val="808080"/>
              </a:solidFill>
              <a:prstDash val="solid"/>
            </a:ln>
          </c:spPr>
          <c:marker>
            <c:symbol val="none"/>
          </c:marker>
          <c:xVal>
            <c:numRef>
              <c:f>Symbole!$P$55:$T$55</c:f>
              <c:numCache>
                <c:formatCode>General</c:formatCode>
                <c:ptCount val="5"/>
                <c:pt idx="0">
                  <c:v>0.5</c:v>
                </c:pt>
                <c:pt idx="1">
                  <c:v>0.5</c:v>
                </c:pt>
                <c:pt idx="2">
                  <c:v>0.5</c:v>
                </c:pt>
                <c:pt idx="3">
                  <c:v>0.5</c:v>
                </c:pt>
                <c:pt idx="4">
                  <c:v>0.5</c:v>
                </c:pt>
              </c:numCache>
            </c:numRef>
          </c:xVal>
          <c:yVal>
            <c:numRef>
              <c:f>Symbole!$U$55:$Y$55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7"/>
          <c:order val="67"/>
          <c:tx>
            <c:v>LagerR7</c:v>
          </c:tx>
          <c:spPr>
            <a:ln w="12700">
              <a:solidFill>
                <a:srgbClr val="808080"/>
              </a:solidFill>
              <a:prstDash val="solid"/>
            </a:ln>
          </c:spPr>
          <c:marker>
            <c:symbol val="none"/>
          </c:marker>
          <c:xVal>
            <c:numRef>
              <c:f>Symbole!$P$56:$T$56</c:f>
              <c:numCache>
                <c:formatCode>General</c:formatCode>
                <c:ptCount val="5"/>
                <c:pt idx="0">
                  <c:v>0.5</c:v>
                </c:pt>
                <c:pt idx="1">
                  <c:v>0.5</c:v>
                </c:pt>
                <c:pt idx="2">
                  <c:v>0.5</c:v>
                </c:pt>
                <c:pt idx="3">
                  <c:v>0.5</c:v>
                </c:pt>
                <c:pt idx="4">
                  <c:v>0.5</c:v>
                </c:pt>
              </c:numCache>
            </c:numRef>
          </c:xVal>
          <c:yVal>
            <c:numRef>
              <c:f>Symbole!$U$56:$Y$56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8"/>
          <c:order val="68"/>
          <c:tx>
            <c:v>LagerR8</c:v>
          </c:tx>
          <c:spPr>
            <a:ln w="12700">
              <a:solidFill>
                <a:srgbClr val="808080"/>
              </a:solidFill>
              <a:prstDash val="solid"/>
            </a:ln>
          </c:spPr>
          <c:marker>
            <c:symbol val="none"/>
          </c:marker>
          <c:xVal>
            <c:numRef>
              <c:f>Symbole!$P$57:$T$57</c:f>
              <c:numCache>
                <c:formatCode>General</c:formatCode>
                <c:ptCount val="5"/>
                <c:pt idx="0">
                  <c:v>0.5</c:v>
                </c:pt>
                <c:pt idx="1">
                  <c:v>0.5</c:v>
                </c:pt>
                <c:pt idx="2">
                  <c:v>0.5</c:v>
                </c:pt>
                <c:pt idx="3">
                  <c:v>0.5</c:v>
                </c:pt>
                <c:pt idx="4">
                  <c:v>0.5</c:v>
                </c:pt>
              </c:numCache>
            </c:numRef>
          </c:xVal>
          <c:yVal>
            <c:numRef>
              <c:f>Symbole!$U$57:$Y$57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9"/>
          <c:order val="69"/>
          <c:tx>
            <c:v>LagerR9</c:v>
          </c:tx>
          <c:spPr>
            <a:ln w="12700">
              <a:solidFill>
                <a:srgbClr val="808080"/>
              </a:solidFill>
              <a:prstDash val="solid"/>
            </a:ln>
          </c:spPr>
          <c:marker>
            <c:symbol val="none"/>
          </c:marker>
          <c:xVal>
            <c:numRef>
              <c:f>Symbole!$P$58:$T$58</c:f>
              <c:numCache>
                <c:formatCode>General</c:formatCode>
                <c:ptCount val="5"/>
                <c:pt idx="0">
                  <c:v>0.5</c:v>
                </c:pt>
                <c:pt idx="1">
                  <c:v>0.5</c:v>
                </c:pt>
                <c:pt idx="2">
                  <c:v>0.5</c:v>
                </c:pt>
                <c:pt idx="3">
                  <c:v>0.5</c:v>
                </c:pt>
                <c:pt idx="4">
                  <c:v>0.5</c:v>
                </c:pt>
              </c:numCache>
            </c:numRef>
          </c:xVal>
          <c:yVal>
            <c:numRef>
              <c:f>Symbole!$U$58:$Y$58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0"/>
          <c:order val="70"/>
          <c:tx>
            <c:v>LagerR10</c:v>
          </c:tx>
          <c:spPr>
            <a:ln w="12700">
              <a:solidFill>
                <a:srgbClr val="808080"/>
              </a:solidFill>
              <a:prstDash val="solid"/>
            </a:ln>
          </c:spPr>
          <c:marker>
            <c:symbol val="none"/>
          </c:marker>
          <c:xVal>
            <c:numRef>
              <c:f>Symbole!$P$59:$T$59</c:f>
              <c:numCache>
                <c:formatCode>General</c:formatCode>
                <c:ptCount val="5"/>
                <c:pt idx="0">
                  <c:v>0.5</c:v>
                </c:pt>
                <c:pt idx="1">
                  <c:v>0.5</c:v>
                </c:pt>
                <c:pt idx="2">
                  <c:v>0.5</c:v>
                </c:pt>
                <c:pt idx="3">
                  <c:v>0.5</c:v>
                </c:pt>
                <c:pt idx="4">
                  <c:v>0.5</c:v>
                </c:pt>
              </c:numCache>
            </c:numRef>
          </c:xVal>
          <c:yVal>
            <c:numRef>
              <c:f>Symbole!$U$59:$Y$59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1"/>
          <c:order val="71"/>
          <c:tx>
            <c:v>LagerR11</c:v>
          </c:tx>
          <c:spPr>
            <a:ln w="12700">
              <a:solidFill>
                <a:srgbClr val="808080"/>
              </a:solidFill>
              <a:prstDash val="solid"/>
            </a:ln>
          </c:spPr>
          <c:marker>
            <c:symbol val="none"/>
          </c:marker>
          <c:xVal>
            <c:numRef>
              <c:f>Symbole!$P$60:$T$60</c:f>
              <c:numCache>
                <c:formatCode>General</c:formatCode>
                <c:ptCount val="5"/>
                <c:pt idx="0">
                  <c:v>0.5</c:v>
                </c:pt>
                <c:pt idx="1">
                  <c:v>0.5</c:v>
                </c:pt>
                <c:pt idx="2">
                  <c:v>0.5</c:v>
                </c:pt>
                <c:pt idx="3">
                  <c:v>0.5</c:v>
                </c:pt>
                <c:pt idx="4">
                  <c:v>0.5</c:v>
                </c:pt>
              </c:numCache>
            </c:numRef>
          </c:xVal>
          <c:yVal>
            <c:numRef>
              <c:f>Symbole!$U$60:$Y$60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2"/>
          <c:order val="72"/>
          <c:tx>
            <c:v>LagerR12</c:v>
          </c:tx>
          <c:spPr>
            <a:ln w="12700">
              <a:solidFill>
                <a:srgbClr val="808080"/>
              </a:solidFill>
              <a:prstDash val="solid"/>
            </a:ln>
          </c:spPr>
          <c:marker>
            <c:symbol val="none"/>
          </c:marker>
          <c:xVal>
            <c:numRef>
              <c:f>Symbole!$P$61:$T$61</c:f>
              <c:numCache>
                <c:formatCode>General</c:formatCode>
                <c:ptCount val="5"/>
                <c:pt idx="0">
                  <c:v>0.5</c:v>
                </c:pt>
                <c:pt idx="1">
                  <c:v>0.5</c:v>
                </c:pt>
                <c:pt idx="2">
                  <c:v>0.5</c:v>
                </c:pt>
                <c:pt idx="3">
                  <c:v>0.5</c:v>
                </c:pt>
                <c:pt idx="4">
                  <c:v>0.5</c:v>
                </c:pt>
              </c:numCache>
            </c:numRef>
          </c:xVal>
          <c:yVal>
            <c:numRef>
              <c:f>Symbole!$U$61:$Y$61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3"/>
          <c:order val="73"/>
          <c:tx>
            <c:v>LagerR13</c:v>
          </c:tx>
          <c:spPr>
            <a:ln w="12700">
              <a:solidFill>
                <a:srgbClr val="808080"/>
              </a:solidFill>
              <a:prstDash val="solid"/>
            </a:ln>
          </c:spPr>
          <c:marker>
            <c:symbol val="none"/>
          </c:marker>
          <c:xVal>
            <c:numRef>
              <c:f>Symbole!$P$62:$T$62</c:f>
              <c:numCache>
                <c:formatCode>General</c:formatCode>
                <c:ptCount val="5"/>
                <c:pt idx="0">
                  <c:v>0.5</c:v>
                </c:pt>
                <c:pt idx="1">
                  <c:v>0.5</c:v>
                </c:pt>
                <c:pt idx="2">
                  <c:v>0.5</c:v>
                </c:pt>
                <c:pt idx="3">
                  <c:v>0.5</c:v>
                </c:pt>
                <c:pt idx="4">
                  <c:v>0.5</c:v>
                </c:pt>
              </c:numCache>
            </c:numRef>
          </c:xVal>
          <c:yVal>
            <c:numRef>
              <c:f>Symbole!$U$62:$Y$62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4"/>
          <c:order val="74"/>
          <c:tx>
            <c:v>LagerR14</c:v>
          </c:tx>
          <c:spPr>
            <a:ln w="12700">
              <a:solidFill>
                <a:srgbClr val="808080"/>
              </a:solidFill>
              <a:prstDash val="solid"/>
            </a:ln>
          </c:spPr>
          <c:marker>
            <c:symbol val="none"/>
          </c:marker>
          <c:xVal>
            <c:numRef>
              <c:f>Symbole!$P$63:$T$63</c:f>
              <c:numCache>
                <c:formatCode>General</c:formatCode>
                <c:ptCount val="5"/>
                <c:pt idx="0">
                  <c:v>0.5</c:v>
                </c:pt>
                <c:pt idx="1">
                  <c:v>0.5</c:v>
                </c:pt>
                <c:pt idx="2">
                  <c:v>0.5</c:v>
                </c:pt>
                <c:pt idx="3">
                  <c:v>0.5</c:v>
                </c:pt>
                <c:pt idx="4">
                  <c:v>0.5</c:v>
                </c:pt>
              </c:numCache>
            </c:numRef>
          </c:xVal>
          <c:yVal>
            <c:numRef>
              <c:f>Symbole!$U$63:$Y$63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5"/>
          <c:order val="75"/>
          <c:tx>
            <c:v>LagerR15</c:v>
          </c:tx>
          <c:spPr>
            <a:ln w="12700">
              <a:solidFill>
                <a:srgbClr val="808080"/>
              </a:solidFill>
              <a:prstDash val="solid"/>
            </a:ln>
          </c:spPr>
          <c:marker>
            <c:symbol val="none"/>
          </c:marker>
          <c:xVal>
            <c:numRef>
              <c:f>Symbole!$P$64:$T$64</c:f>
              <c:numCache>
                <c:formatCode>General</c:formatCode>
                <c:ptCount val="5"/>
                <c:pt idx="0">
                  <c:v>0.5</c:v>
                </c:pt>
                <c:pt idx="1">
                  <c:v>0.5</c:v>
                </c:pt>
                <c:pt idx="2">
                  <c:v>0.5</c:v>
                </c:pt>
                <c:pt idx="3">
                  <c:v>0.5</c:v>
                </c:pt>
                <c:pt idx="4">
                  <c:v>0.5</c:v>
                </c:pt>
              </c:numCache>
            </c:numRef>
          </c:xVal>
          <c:yVal>
            <c:numRef>
              <c:f>Symbole!$U$64:$Y$64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6"/>
          <c:order val="76"/>
          <c:tx>
            <c:v>LagerR16</c:v>
          </c:tx>
          <c:spPr>
            <a:ln w="12700">
              <a:solidFill>
                <a:srgbClr val="808080"/>
              </a:solidFill>
              <a:prstDash val="solid"/>
            </a:ln>
          </c:spPr>
          <c:marker>
            <c:symbol val="none"/>
          </c:marker>
          <c:xVal>
            <c:numRef>
              <c:f>Symbole!$P$65:$T$65</c:f>
              <c:numCache>
                <c:formatCode>General</c:formatCode>
                <c:ptCount val="5"/>
                <c:pt idx="0">
                  <c:v>0.5</c:v>
                </c:pt>
                <c:pt idx="1">
                  <c:v>0.5</c:v>
                </c:pt>
                <c:pt idx="2">
                  <c:v>0.5</c:v>
                </c:pt>
                <c:pt idx="3">
                  <c:v>0.5</c:v>
                </c:pt>
                <c:pt idx="4">
                  <c:v>0.5</c:v>
                </c:pt>
              </c:numCache>
            </c:numRef>
          </c:xVal>
          <c:yVal>
            <c:numRef>
              <c:f>Symbole!$U$65:$Y$65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7"/>
          <c:order val="77"/>
          <c:tx>
            <c:v>LagerR17</c:v>
          </c:tx>
          <c:spPr>
            <a:ln w="12700">
              <a:solidFill>
                <a:srgbClr val="808080"/>
              </a:solidFill>
              <a:prstDash val="solid"/>
            </a:ln>
          </c:spPr>
          <c:marker>
            <c:symbol val="none"/>
          </c:marker>
          <c:xVal>
            <c:numRef>
              <c:f>Symbole!$P$66:$T$66</c:f>
              <c:numCache>
                <c:formatCode>General</c:formatCode>
                <c:ptCount val="5"/>
                <c:pt idx="0">
                  <c:v>0.5</c:v>
                </c:pt>
                <c:pt idx="1">
                  <c:v>0.5</c:v>
                </c:pt>
                <c:pt idx="2">
                  <c:v>0.5</c:v>
                </c:pt>
                <c:pt idx="3">
                  <c:v>0.5</c:v>
                </c:pt>
                <c:pt idx="4">
                  <c:v>0.5</c:v>
                </c:pt>
              </c:numCache>
            </c:numRef>
          </c:xVal>
          <c:yVal>
            <c:numRef>
              <c:f>Symbole!$U$66:$Y$66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8"/>
          <c:order val="78"/>
          <c:tx>
            <c:v>LagerR18</c:v>
          </c:tx>
          <c:spPr>
            <a:ln w="12700">
              <a:solidFill>
                <a:srgbClr val="808080"/>
              </a:solidFill>
              <a:prstDash val="solid"/>
            </a:ln>
          </c:spPr>
          <c:marker>
            <c:symbol val="none"/>
          </c:marker>
          <c:xVal>
            <c:numRef>
              <c:f>Symbole!$P$67:$T$67</c:f>
              <c:numCache>
                <c:formatCode>General</c:formatCode>
                <c:ptCount val="5"/>
                <c:pt idx="0">
                  <c:v>0.5</c:v>
                </c:pt>
                <c:pt idx="1">
                  <c:v>0.5</c:v>
                </c:pt>
                <c:pt idx="2">
                  <c:v>0.5</c:v>
                </c:pt>
                <c:pt idx="3">
                  <c:v>0.5</c:v>
                </c:pt>
                <c:pt idx="4">
                  <c:v>0.5</c:v>
                </c:pt>
              </c:numCache>
            </c:numRef>
          </c:xVal>
          <c:yVal>
            <c:numRef>
              <c:f>Symbole!$U$67:$Y$67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9"/>
          <c:order val="79"/>
          <c:tx>
            <c:v>LagerR19</c:v>
          </c:tx>
          <c:spPr>
            <a:ln w="12700">
              <a:solidFill>
                <a:srgbClr val="808080"/>
              </a:solidFill>
              <a:prstDash val="solid"/>
            </a:ln>
          </c:spPr>
          <c:marker>
            <c:symbol val="none"/>
          </c:marker>
          <c:xVal>
            <c:numRef>
              <c:f>Symbole!$P$68:$T$68</c:f>
              <c:numCache>
                <c:formatCode>General</c:formatCode>
                <c:ptCount val="5"/>
                <c:pt idx="0">
                  <c:v>0.5</c:v>
                </c:pt>
                <c:pt idx="1">
                  <c:v>0.5</c:v>
                </c:pt>
                <c:pt idx="2">
                  <c:v>0.5</c:v>
                </c:pt>
                <c:pt idx="3">
                  <c:v>0.5</c:v>
                </c:pt>
                <c:pt idx="4">
                  <c:v>0.5</c:v>
                </c:pt>
              </c:numCache>
            </c:numRef>
          </c:xVal>
          <c:yVal>
            <c:numRef>
              <c:f>Symbole!$U$68:$Y$68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0"/>
          <c:order val="80"/>
          <c:tx>
            <c:v>LagerR20</c:v>
          </c:tx>
          <c:spPr>
            <a:ln w="12700">
              <a:solidFill>
                <a:srgbClr val="808080"/>
              </a:solidFill>
              <a:prstDash val="solid"/>
            </a:ln>
          </c:spPr>
          <c:marker>
            <c:symbol val="none"/>
          </c:marker>
          <c:xVal>
            <c:numRef>
              <c:f>Symbole!$P$69:$T$69</c:f>
              <c:numCache>
                <c:formatCode>General</c:formatCode>
                <c:ptCount val="5"/>
                <c:pt idx="0">
                  <c:v>0.5</c:v>
                </c:pt>
                <c:pt idx="1">
                  <c:v>0.5</c:v>
                </c:pt>
                <c:pt idx="2">
                  <c:v>0.5</c:v>
                </c:pt>
                <c:pt idx="3">
                  <c:v>0.5</c:v>
                </c:pt>
                <c:pt idx="4">
                  <c:v>0.5</c:v>
                </c:pt>
              </c:numCache>
            </c:numRef>
          </c:xVal>
          <c:yVal>
            <c:numRef>
              <c:f>Symbole!$U$69:$Y$69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dLbls>
          <c:showLegendKey val="0"/>
          <c:showVal val="0"/>
          <c:showCatName val="0"/>
          <c:showSerName val="0"/>
          <c:showPercent val="0"/>
          <c:showBubbleSize val="0"/>
        </c:dLbls>
        <c:axId val="369292312"/>
        <c:axId val="369290744"/>
      </c:scatterChart>
      <c:valAx>
        <c:axId val="369292312"/>
        <c:scaling>
          <c:orientation val="minMax"/>
        </c:scaling>
        <c:delete val="1"/>
        <c:axPos val="b"/>
        <c:numFmt formatCode="General" sourceLinked="1"/>
        <c:majorTickMark val="out"/>
        <c:minorTickMark val="none"/>
        <c:tickLblPos val="nextTo"/>
        <c:crossAx val="369290744"/>
        <c:crosses val="max"/>
        <c:crossBetween val="midCat"/>
        <c:majorUnit val="1.0000000000000002E-2"/>
      </c:valAx>
      <c:valAx>
        <c:axId val="369290744"/>
        <c:scaling>
          <c:orientation val="maxMin"/>
        </c:scaling>
        <c:delete val="1"/>
        <c:axPos val="r"/>
        <c:numFmt formatCode="General" sourceLinked="1"/>
        <c:majorTickMark val="out"/>
        <c:minorTickMark val="none"/>
        <c:tickLblPos val="nextTo"/>
        <c:crossAx val="369292312"/>
        <c:crosses val="max"/>
        <c:crossBetween val="midCat"/>
        <c:majorUnit val="1.0000000000000002E-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288971371766539E-2"/>
          <c:y val="3.1758814591681471E-2"/>
          <c:w val="0.95945446873636708"/>
          <c:h val="0.93484114366706383"/>
        </c:manualLayout>
      </c:layout>
      <c:scatterChart>
        <c:scatterStyle val="lineMarker"/>
        <c:varyColors val="0"/>
        <c:ser>
          <c:idx val="0"/>
          <c:order val="0"/>
          <c:spPr>
            <a:ln w="25400">
              <a:solidFill>
                <a:srgbClr val="000080"/>
              </a:solidFill>
              <a:prstDash val="solid"/>
            </a:ln>
          </c:spPr>
          <c:marker>
            <c:symbol val="none"/>
          </c:marker>
          <c:xVal>
            <c:numRef>
              <c:f>System!$K$2:$L$2</c:f>
              <c:numCache>
                <c:formatCode>General</c:formatCode>
                <c:ptCount val="2"/>
                <c:pt idx="0">
                  <c:v>0</c:v>
                </c:pt>
                <c:pt idx="1">
                  <c:v>0.5</c:v>
                </c:pt>
              </c:numCache>
            </c:numRef>
          </c:xVal>
          <c:yVal>
            <c:numRef>
              <c:f>System!$M$2:$N$2</c:f>
              <c:numCache>
                <c:formatCode>General</c:formatCode>
                <c:ptCount val="2"/>
                <c:pt idx="0">
                  <c:v>0.75</c:v>
                </c:pt>
                <c:pt idx="1">
                  <c:v>0.25</c:v>
                </c:pt>
              </c:numCache>
            </c:numRef>
          </c:yVal>
          <c:smooth val="0"/>
        </c:ser>
        <c:ser>
          <c:idx val="1"/>
          <c:order val="1"/>
          <c:spPr>
            <a:ln w="25400">
              <a:solidFill>
                <a:srgbClr val="000080"/>
              </a:solidFill>
              <a:prstDash val="solid"/>
            </a:ln>
          </c:spPr>
          <c:marker>
            <c:symbol val="none"/>
          </c:marker>
          <c:xVal>
            <c:numRef>
              <c:f>System!$K$3:$L$3</c:f>
              <c:numCache>
                <c:formatCode>General</c:formatCode>
                <c:ptCount val="2"/>
                <c:pt idx="0">
                  <c:v>0.5</c:v>
                </c:pt>
                <c:pt idx="1">
                  <c:v>1</c:v>
                </c:pt>
              </c:numCache>
            </c:numRef>
          </c:xVal>
          <c:yVal>
            <c:numRef>
              <c:f>System!$M$3:$N$3</c:f>
              <c:numCache>
                <c:formatCode>General</c:formatCode>
                <c:ptCount val="2"/>
                <c:pt idx="0">
                  <c:v>0.25</c:v>
                </c:pt>
                <c:pt idx="1">
                  <c:v>0.25</c:v>
                </c:pt>
              </c:numCache>
            </c:numRef>
          </c:yVal>
          <c:smooth val="0"/>
        </c:ser>
        <c:ser>
          <c:idx val="2"/>
          <c:order val="2"/>
          <c:spPr>
            <a:ln w="25400">
              <a:solidFill>
                <a:srgbClr val="000080"/>
              </a:solidFill>
              <a:prstDash val="solid"/>
            </a:ln>
          </c:spPr>
          <c:marker>
            <c:symbol val="none"/>
          </c:marker>
          <c:xVal>
            <c:numRef>
              <c:f>System!$K$4:$L$4</c:f>
              <c:numCache>
                <c:formatCode>General</c:formatCode>
                <c:ptCount val="2"/>
                <c:pt idx="0">
                  <c:v>0</c:v>
                </c:pt>
                <c:pt idx="1">
                  <c:v>0</c:v>
                </c:pt>
              </c:numCache>
            </c:numRef>
          </c:xVal>
          <c:yVal>
            <c:numRef>
              <c:f>System!$M$4:$N$4</c:f>
              <c:numCache>
                <c:formatCode>General</c:formatCode>
                <c:ptCount val="2"/>
                <c:pt idx="0">
                  <c:v>0</c:v>
                </c:pt>
                <c:pt idx="1">
                  <c:v>0</c:v>
                </c:pt>
              </c:numCache>
            </c:numRef>
          </c:yVal>
          <c:smooth val="0"/>
        </c:ser>
        <c:ser>
          <c:idx val="3"/>
          <c:order val="3"/>
          <c:spPr>
            <a:ln w="25400">
              <a:solidFill>
                <a:srgbClr val="000080"/>
              </a:solidFill>
              <a:prstDash val="solid"/>
            </a:ln>
          </c:spPr>
          <c:marker>
            <c:symbol val="none"/>
          </c:marker>
          <c:xVal>
            <c:numRef>
              <c:f>System!$K$5:$L$5</c:f>
              <c:numCache>
                <c:formatCode>General</c:formatCode>
                <c:ptCount val="2"/>
                <c:pt idx="0">
                  <c:v>0</c:v>
                </c:pt>
                <c:pt idx="1">
                  <c:v>0</c:v>
                </c:pt>
              </c:numCache>
            </c:numRef>
          </c:xVal>
          <c:yVal>
            <c:numRef>
              <c:f>System!$M$5:$N$5</c:f>
              <c:numCache>
                <c:formatCode>General</c:formatCode>
                <c:ptCount val="2"/>
                <c:pt idx="0">
                  <c:v>0</c:v>
                </c:pt>
                <c:pt idx="1">
                  <c:v>0</c:v>
                </c:pt>
              </c:numCache>
            </c:numRef>
          </c:yVal>
          <c:smooth val="0"/>
        </c:ser>
        <c:ser>
          <c:idx val="4"/>
          <c:order val="4"/>
          <c:spPr>
            <a:ln w="25400">
              <a:solidFill>
                <a:srgbClr val="000080"/>
              </a:solidFill>
              <a:prstDash val="solid"/>
            </a:ln>
          </c:spPr>
          <c:marker>
            <c:symbol val="none"/>
          </c:marker>
          <c:xVal>
            <c:numRef>
              <c:f>System!$K$6:$L$6</c:f>
              <c:numCache>
                <c:formatCode>General</c:formatCode>
                <c:ptCount val="2"/>
                <c:pt idx="0">
                  <c:v>0</c:v>
                </c:pt>
                <c:pt idx="1">
                  <c:v>0</c:v>
                </c:pt>
              </c:numCache>
            </c:numRef>
          </c:xVal>
          <c:yVal>
            <c:numRef>
              <c:f>System!$M$6:$N$6</c:f>
              <c:numCache>
                <c:formatCode>General</c:formatCode>
                <c:ptCount val="2"/>
                <c:pt idx="0">
                  <c:v>0</c:v>
                </c:pt>
                <c:pt idx="1">
                  <c:v>0</c:v>
                </c:pt>
              </c:numCache>
            </c:numRef>
          </c:yVal>
          <c:smooth val="0"/>
        </c:ser>
        <c:ser>
          <c:idx val="5"/>
          <c:order val="5"/>
          <c:spPr>
            <a:ln w="25400">
              <a:solidFill>
                <a:srgbClr val="000080"/>
              </a:solidFill>
              <a:prstDash val="solid"/>
            </a:ln>
          </c:spPr>
          <c:marker>
            <c:symbol val="none"/>
          </c:marker>
          <c:xVal>
            <c:numRef>
              <c:f>System!$K$7:$L$7</c:f>
              <c:numCache>
                <c:formatCode>General</c:formatCode>
                <c:ptCount val="2"/>
                <c:pt idx="0">
                  <c:v>0</c:v>
                </c:pt>
                <c:pt idx="1">
                  <c:v>0</c:v>
                </c:pt>
              </c:numCache>
            </c:numRef>
          </c:xVal>
          <c:yVal>
            <c:numRef>
              <c:f>System!$M$7:$N$7</c:f>
              <c:numCache>
                <c:formatCode>General</c:formatCode>
                <c:ptCount val="2"/>
                <c:pt idx="0">
                  <c:v>0</c:v>
                </c:pt>
                <c:pt idx="1">
                  <c:v>0</c:v>
                </c:pt>
              </c:numCache>
            </c:numRef>
          </c:yVal>
          <c:smooth val="0"/>
        </c:ser>
        <c:ser>
          <c:idx val="6"/>
          <c:order val="6"/>
          <c:spPr>
            <a:ln w="25400">
              <a:solidFill>
                <a:srgbClr val="000080"/>
              </a:solidFill>
              <a:prstDash val="solid"/>
            </a:ln>
          </c:spPr>
          <c:marker>
            <c:symbol val="none"/>
          </c:marker>
          <c:xVal>
            <c:numRef>
              <c:f>System!$K$8:$L$8</c:f>
              <c:numCache>
                <c:formatCode>General</c:formatCode>
                <c:ptCount val="2"/>
                <c:pt idx="0">
                  <c:v>0</c:v>
                </c:pt>
                <c:pt idx="1">
                  <c:v>0</c:v>
                </c:pt>
              </c:numCache>
            </c:numRef>
          </c:xVal>
          <c:yVal>
            <c:numRef>
              <c:f>System!$M$8:$N$8</c:f>
              <c:numCache>
                <c:formatCode>General</c:formatCode>
                <c:ptCount val="2"/>
                <c:pt idx="0">
                  <c:v>0</c:v>
                </c:pt>
                <c:pt idx="1">
                  <c:v>0</c:v>
                </c:pt>
              </c:numCache>
            </c:numRef>
          </c:yVal>
          <c:smooth val="0"/>
        </c:ser>
        <c:ser>
          <c:idx val="7"/>
          <c:order val="7"/>
          <c:spPr>
            <a:ln w="25400">
              <a:solidFill>
                <a:srgbClr val="000080"/>
              </a:solidFill>
              <a:prstDash val="solid"/>
            </a:ln>
          </c:spPr>
          <c:marker>
            <c:symbol val="none"/>
          </c:marker>
          <c:xVal>
            <c:numRef>
              <c:f>System!$K$9:$L$9</c:f>
              <c:numCache>
                <c:formatCode>General</c:formatCode>
                <c:ptCount val="2"/>
                <c:pt idx="0">
                  <c:v>0</c:v>
                </c:pt>
                <c:pt idx="1">
                  <c:v>0</c:v>
                </c:pt>
              </c:numCache>
            </c:numRef>
          </c:xVal>
          <c:yVal>
            <c:numRef>
              <c:f>System!$M$9:$N$9</c:f>
              <c:numCache>
                <c:formatCode>General</c:formatCode>
                <c:ptCount val="2"/>
                <c:pt idx="0">
                  <c:v>0</c:v>
                </c:pt>
                <c:pt idx="1">
                  <c:v>0</c:v>
                </c:pt>
              </c:numCache>
            </c:numRef>
          </c:yVal>
          <c:smooth val="0"/>
        </c:ser>
        <c:ser>
          <c:idx val="8"/>
          <c:order val="8"/>
          <c:spPr>
            <a:ln w="25400">
              <a:solidFill>
                <a:srgbClr val="000080"/>
              </a:solidFill>
              <a:prstDash val="solid"/>
            </a:ln>
          </c:spPr>
          <c:marker>
            <c:symbol val="none"/>
          </c:marker>
          <c:xVal>
            <c:numRef>
              <c:f>System!$K$10:$L$10</c:f>
              <c:numCache>
                <c:formatCode>General</c:formatCode>
                <c:ptCount val="2"/>
                <c:pt idx="0">
                  <c:v>0</c:v>
                </c:pt>
                <c:pt idx="1">
                  <c:v>0</c:v>
                </c:pt>
              </c:numCache>
            </c:numRef>
          </c:xVal>
          <c:yVal>
            <c:numRef>
              <c:f>System!$M$10:$N$10</c:f>
              <c:numCache>
                <c:formatCode>General</c:formatCode>
                <c:ptCount val="2"/>
                <c:pt idx="0">
                  <c:v>0</c:v>
                </c:pt>
                <c:pt idx="1">
                  <c:v>0</c:v>
                </c:pt>
              </c:numCache>
            </c:numRef>
          </c:yVal>
          <c:smooth val="0"/>
        </c:ser>
        <c:ser>
          <c:idx val="9"/>
          <c:order val="9"/>
          <c:spPr>
            <a:ln w="25400">
              <a:solidFill>
                <a:srgbClr val="000080"/>
              </a:solidFill>
              <a:prstDash val="solid"/>
            </a:ln>
          </c:spPr>
          <c:marker>
            <c:symbol val="none"/>
          </c:marker>
          <c:xVal>
            <c:numRef>
              <c:f>System!$K$11:$L$11</c:f>
              <c:numCache>
                <c:formatCode>General</c:formatCode>
                <c:ptCount val="2"/>
                <c:pt idx="0">
                  <c:v>0</c:v>
                </c:pt>
                <c:pt idx="1">
                  <c:v>0</c:v>
                </c:pt>
              </c:numCache>
            </c:numRef>
          </c:xVal>
          <c:yVal>
            <c:numRef>
              <c:f>System!$M$11:$N$11</c:f>
              <c:numCache>
                <c:formatCode>General</c:formatCode>
                <c:ptCount val="2"/>
                <c:pt idx="0">
                  <c:v>0</c:v>
                </c:pt>
                <c:pt idx="1">
                  <c:v>0</c:v>
                </c:pt>
              </c:numCache>
            </c:numRef>
          </c:yVal>
          <c:smooth val="0"/>
        </c:ser>
        <c:ser>
          <c:idx val="10"/>
          <c:order val="10"/>
          <c:spPr>
            <a:ln w="25400">
              <a:solidFill>
                <a:srgbClr val="000080"/>
              </a:solidFill>
              <a:prstDash val="solid"/>
            </a:ln>
          </c:spPr>
          <c:marker>
            <c:symbol val="none"/>
          </c:marker>
          <c:xVal>
            <c:numRef>
              <c:f>System!$K$12:$L$12</c:f>
              <c:numCache>
                <c:formatCode>General</c:formatCode>
                <c:ptCount val="2"/>
                <c:pt idx="0">
                  <c:v>0</c:v>
                </c:pt>
                <c:pt idx="1">
                  <c:v>0</c:v>
                </c:pt>
              </c:numCache>
            </c:numRef>
          </c:xVal>
          <c:yVal>
            <c:numRef>
              <c:f>System!$M$12:$N$12</c:f>
              <c:numCache>
                <c:formatCode>General</c:formatCode>
                <c:ptCount val="2"/>
                <c:pt idx="0">
                  <c:v>0</c:v>
                </c:pt>
                <c:pt idx="1">
                  <c:v>0</c:v>
                </c:pt>
              </c:numCache>
            </c:numRef>
          </c:yVal>
          <c:smooth val="0"/>
        </c:ser>
        <c:ser>
          <c:idx val="11"/>
          <c:order val="11"/>
          <c:spPr>
            <a:ln w="25400">
              <a:solidFill>
                <a:srgbClr val="000080"/>
              </a:solidFill>
              <a:prstDash val="solid"/>
            </a:ln>
          </c:spPr>
          <c:marker>
            <c:symbol val="none"/>
          </c:marker>
          <c:xVal>
            <c:numRef>
              <c:f>System!$K$13:$L$13</c:f>
              <c:numCache>
                <c:formatCode>General</c:formatCode>
                <c:ptCount val="2"/>
                <c:pt idx="0">
                  <c:v>0</c:v>
                </c:pt>
                <c:pt idx="1">
                  <c:v>0</c:v>
                </c:pt>
              </c:numCache>
            </c:numRef>
          </c:xVal>
          <c:yVal>
            <c:numRef>
              <c:f>System!$M$13:$N$13</c:f>
              <c:numCache>
                <c:formatCode>General</c:formatCode>
                <c:ptCount val="2"/>
                <c:pt idx="0">
                  <c:v>0</c:v>
                </c:pt>
                <c:pt idx="1">
                  <c:v>0</c:v>
                </c:pt>
              </c:numCache>
            </c:numRef>
          </c:yVal>
          <c:smooth val="0"/>
        </c:ser>
        <c:ser>
          <c:idx val="12"/>
          <c:order val="12"/>
          <c:spPr>
            <a:ln w="12700">
              <a:solidFill>
                <a:srgbClr val="99CCFF"/>
              </a:solidFill>
              <a:prstDash val="solid"/>
            </a:ln>
          </c:spPr>
          <c:marker>
            <c:symbol val="none"/>
          </c:marker>
          <c:xVal>
            <c:numRef>
              <c:f>System!$K$14:$L$14</c:f>
              <c:numCache>
                <c:formatCode>General</c:formatCode>
                <c:ptCount val="2"/>
                <c:pt idx="0">
                  <c:v>0</c:v>
                </c:pt>
                <c:pt idx="1">
                  <c:v>0</c:v>
                </c:pt>
              </c:numCache>
            </c:numRef>
          </c:xVal>
          <c:yVal>
            <c:numRef>
              <c:f>System!$M$14:$N$14</c:f>
              <c:numCache>
                <c:formatCode>General</c:formatCode>
                <c:ptCount val="2"/>
                <c:pt idx="0">
                  <c:v>0</c:v>
                </c:pt>
                <c:pt idx="1">
                  <c:v>0</c:v>
                </c:pt>
              </c:numCache>
            </c:numRef>
          </c:yVal>
          <c:smooth val="0"/>
        </c:ser>
        <c:ser>
          <c:idx val="13"/>
          <c:order val="13"/>
          <c:spPr>
            <a:ln w="12700">
              <a:solidFill>
                <a:srgbClr val="FF99CC"/>
              </a:solidFill>
              <a:prstDash val="solid"/>
            </a:ln>
          </c:spPr>
          <c:marker>
            <c:symbol val="none"/>
          </c:marker>
          <c:xVal>
            <c:numRef>
              <c:f>System!$K$15:$L$15</c:f>
              <c:numCache>
                <c:formatCode>General</c:formatCode>
                <c:ptCount val="2"/>
                <c:pt idx="0">
                  <c:v>0</c:v>
                </c:pt>
                <c:pt idx="1">
                  <c:v>0</c:v>
                </c:pt>
              </c:numCache>
            </c:numRef>
          </c:xVal>
          <c:yVal>
            <c:numRef>
              <c:f>System!$M$15:$N$15</c:f>
              <c:numCache>
                <c:formatCode>General</c:formatCode>
                <c:ptCount val="2"/>
                <c:pt idx="0">
                  <c:v>0</c:v>
                </c:pt>
                <c:pt idx="1">
                  <c:v>0</c:v>
                </c:pt>
              </c:numCache>
            </c:numRef>
          </c:yVal>
          <c:smooth val="0"/>
        </c:ser>
        <c:ser>
          <c:idx val="14"/>
          <c:order val="14"/>
          <c:spPr>
            <a:ln w="12700">
              <a:solidFill>
                <a:srgbClr val="CC99FF"/>
              </a:solidFill>
              <a:prstDash val="solid"/>
            </a:ln>
          </c:spPr>
          <c:marker>
            <c:symbol val="none"/>
          </c:marker>
          <c:xVal>
            <c:numRef>
              <c:f>System!$K$16:$L$16</c:f>
              <c:numCache>
                <c:formatCode>General</c:formatCode>
                <c:ptCount val="2"/>
                <c:pt idx="0">
                  <c:v>0</c:v>
                </c:pt>
                <c:pt idx="1">
                  <c:v>0</c:v>
                </c:pt>
              </c:numCache>
            </c:numRef>
          </c:xVal>
          <c:yVal>
            <c:numRef>
              <c:f>System!$M$16:$N$16</c:f>
              <c:numCache>
                <c:formatCode>General</c:formatCode>
                <c:ptCount val="2"/>
                <c:pt idx="0">
                  <c:v>0</c:v>
                </c:pt>
                <c:pt idx="1">
                  <c:v>0</c:v>
                </c:pt>
              </c:numCache>
            </c:numRef>
          </c:yVal>
          <c:smooth val="0"/>
        </c:ser>
        <c:ser>
          <c:idx val="15"/>
          <c:order val="15"/>
          <c:spPr>
            <a:ln w="12700">
              <a:solidFill>
                <a:srgbClr val="FFCC99"/>
              </a:solidFill>
              <a:prstDash val="solid"/>
            </a:ln>
          </c:spPr>
          <c:marker>
            <c:symbol val="none"/>
          </c:marker>
          <c:xVal>
            <c:numRef>
              <c:f>System!$K$17:$L$17</c:f>
              <c:numCache>
                <c:formatCode>General</c:formatCode>
                <c:ptCount val="2"/>
                <c:pt idx="0">
                  <c:v>0</c:v>
                </c:pt>
                <c:pt idx="1">
                  <c:v>0</c:v>
                </c:pt>
              </c:numCache>
            </c:numRef>
          </c:xVal>
          <c:yVal>
            <c:numRef>
              <c:f>System!$M$17:$N$17</c:f>
              <c:numCache>
                <c:formatCode>General</c:formatCode>
                <c:ptCount val="2"/>
                <c:pt idx="0">
                  <c:v>0</c:v>
                </c:pt>
                <c:pt idx="1">
                  <c:v>0</c:v>
                </c:pt>
              </c:numCache>
            </c:numRef>
          </c:yVal>
          <c:smooth val="0"/>
        </c:ser>
        <c:ser>
          <c:idx val="16"/>
          <c:order val="16"/>
          <c:spPr>
            <a:ln w="12700">
              <a:solidFill>
                <a:srgbClr val="3366FF"/>
              </a:solidFill>
              <a:prstDash val="solid"/>
            </a:ln>
          </c:spPr>
          <c:marker>
            <c:symbol val="none"/>
          </c:marker>
          <c:xVal>
            <c:numRef>
              <c:f>System!$K$18:$L$18</c:f>
              <c:numCache>
                <c:formatCode>General</c:formatCode>
                <c:ptCount val="2"/>
                <c:pt idx="0">
                  <c:v>0</c:v>
                </c:pt>
                <c:pt idx="1">
                  <c:v>0</c:v>
                </c:pt>
              </c:numCache>
            </c:numRef>
          </c:xVal>
          <c:yVal>
            <c:numRef>
              <c:f>System!$M$18:$N$18</c:f>
              <c:numCache>
                <c:formatCode>General</c:formatCode>
                <c:ptCount val="2"/>
                <c:pt idx="0">
                  <c:v>0</c:v>
                </c:pt>
                <c:pt idx="1">
                  <c:v>0</c:v>
                </c:pt>
              </c:numCache>
            </c:numRef>
          </c:yVal>
          <c:smooth val="0"/>
        </c:ser>
        <c:ser>
          <c:idx val="17"/>
          <c:order val="17"/>
          <c:spPr>
            <a:ln w="12700">
              <a:solidFill>
                <a:srgbClr val="33CCCC"/>
              </a:solidFill>
              <a:prstDash val="solid"/>
            </a:ln>
          </c:spPr>
          <c:marker>
            <c:symbol val="none"/>
          </c:marker>
          <c:xVal>
            <c:numRef>
              <c:f>System!$K$19:$L$19</c:f>
              <c:numCache>
                <c:formatCode>General</c:formatCode>
                <c:ptCount val="2"/>
                <c:pt idx="0">
                  <c:v>0</c:v>
                </c:pt>
                <c:pt idx="1">
                  <c:v>0</c:v>
                </c:pt>
              </c:numCache>
            </c:numRef>
          </c:xVal>
          <c:yVal>
            <c:numRef>
              <c:f>System!$M$19:$N$19</c:f>
              <c:numCache>
                <c:formatCode>General</c:formatCode>
                <c:ptCount val="2"/>
                <c:pt idx="0">
                  <c:v>0</c:v>
                </c:pt>
                <c:pt idx="1">
                  <c:v>0</c:v>
                </c:pt>
              </c:numCache>
            </c:numRef>
          </c:yVal>
          <c:smooth val="0"/>
        </c:ser>
        <c:ser>
          <c:idx val="18"/>
          <c:order val="18"/>
          <c:spPr>
            <a:ln w="12700">
              <a:solidFill>
                <a:srgbClr val="99CC00"/>
              </a:solidFill>
              <a:prstDash val="solid"/>
            </a:ln>
          </c:spPr>
          <c:marker>
            <c:symbol val="none"/>
          </c:marker>
          <c:xVal>
            <c:numRef>
              <c:f>System!$K$20:$L$20</c:f>
              <c:numCache>
                <c:formatCode>General</c:formatCode>
                <c:ptCount val="2"/>
                <c:pt idx="0">
                  <c:v>0</c:v>
                </c:pt>
                <c:pt idx="1">
                  <c:v>0</c:v>
                </c:pt>
              </c:numCache>
            </c:numRef>
          </c:xVal>
          <c:yVal>
            <c:numRef>
              <c:f>System!$M$20:$N$20</c:f>
              <c:numCache>
                <c:formatCode>General</c:formatCode>
                <c:ptCount val="2"/>
                <c:pt idx="0">
                  <c:v>0</c:v>
                </c:pt>
                <c:pt idx="1">
                  <c:v>0</c:v>
                </c:pt>
              </c:numCache>
            </c:numRef>
          </c:yVal>
          <c:smooth val="0"/>
        </c:ser>
        <c:ser>
          <c:idx val="19"/>
          <c:order val="19"/>
          <c:spPr>
            <a:ln w="12700">
              <a:solidFill>
                <a:srgbClr val="FFCC00"/>
              </a:solidFill>
              <a:prstDash val="solid"/>
            </a:ln>
          </c:spPr>
          <c:marker>
            <c:symbol val="none"/>
          </c:marker>
          <c:dPt>
            <c:idx val="1"/>
            <c:bubble3D val="0"/>
            <c:spPr>
              <a:ln w="25400">
                <a:solidFill>
                  <a:srgbClr val="002060"/>
                </a:solidFill>
                <a:prstDash val="solid"/>
              </a:ln>
            </c:spPr>
          </c:dPt>
          <c:xVal>
            <c:numRef>
              <c:f>System!$K$21:$L$21</c:f>
              <c:numCache>
                <c:formatCode>General</c:formatCode>
                <c:ptCount val="2"/>
                <c:pt idx="0">
                  <c:v>0</c:v>
                </c:pt>
                <c:pt idx="1">
                  <c:v>0</c:v>
                </c:pt>
              </c:numCache>
            </c:numRef>
          </c:xVal>
          <c:yVal>
            <c:numRef>
              <c:f>System!$M$21:$N$21</c:f>
              <c:numCache>
                <c:formatCode>General</c:formatCode>
                <c:ptCount val="2"/>
                <c:pt idx="0">
                  <c:v>0</c:v>
                </c:pt>
                <c:pt idx="1">
                  <c:v>0</c:v>
                </c:pt>
              </c:numCache>
            </c:numRef>
          </c:yVal>
          <c:smooth val="0"/>
        </c:ser>
        <c:ser>
          <c:idx val="20"/>
          <c:order val="20"/>
          <c:spPr>
            <a:ln w="6350">
              <a:solidFill>
                <a:schemeClr val="bg1">
                  <a:lumMod val="75000"/>
                </a:schemeClr>
              </a:solidFill>
            </a:ln>
          </c:spPr>
          <c:marker>
            <c:symbol val="none"/>
          </c:marker>
          <c:xVal>
            <c:numRef>
              <c:f>KnotenData!$H$6:$H$9</c:f>
              <c:numCache>
                <c:formatCode>General</c:formatCode>
                <c:ptCount val="4"/>
                <c:pt idx="0">
                  <c:v>-0.12769917157823307</c:v>
                </c:pt>
                <c:pt idx="1">
                  <c:v>1.1276991715782332</c:v>
                </c:pt>
                <c:pt idx="2">
                  <c:v>1.1276991715782332</c:v>
                </c:pt>
                <c:pt idx="3">
                  <c:v>-0.12769917157823307</c:v>
                </c:pt>
              </c:numCache>
            </c:numRef>
          </c:xVal>
          <c:yVal>
            <c:numRef>
              <c:f>KnotenData!$I$6:$I$9</c:f>
              <c:numCache>
                <c:formatCode>General</c:formatCode>
                <c:ptCount val="4"/>
                <c:pt idx="0">
                  <c:v>1.1026991715782331</c:v>
                </c:pt>
                <c:pt idx="1">
                  <c:v>1.1026991715782331</c:v>
                </c:pt>
                <c:pt idx="2">
                  <c:v>-0.15269917157823309</c:v>
                </c:pt>
                <c:pt idx="3">
                  <c:v>-0.15269917157823309</c:v>
                </c:pt>
              </c:numCache>
            </c:numRef>
          </c:yVal>
          <c:smooth val="0"/>
        </c:ser>
        <c:ser>
          <c:idx val="21"/>
          <c:order val="21"/>
          <c:tx>
            <c:v>LagerV1</c:v>
          </c:tx>
          <c:spPr>
            <a:ln w="12700">
              <a:solidFill>
                <a:srgbClr val="808080"/>
              </a:solidFill>
              <a:prstDash val="solid"/>
            </a:ln>
          </c:spPr>
          <c:marker>
            <c:symbol val="none"/>
          </c:marker>
          <c:xVal>
            <c:numRef>
              <c:f>Symbole!$C$4:$F$4</c:f>
              <c:numCache>
                <c:formatCode>General</c:formatCode>
                <c:ptCount val="4"/>
                <c:pt idx="0">
                  <c:v>0</c:v>
                </c:pt>
                <c:pt idx="1">
                  <c:v>3.1384958578911652E-2</c:v>
                </c:pt>
                <c:pt idx="2">
                  <c:v>-3.1384958578911652E-2</c:v>
                </c:pt>
                <c:pt idx="3">
                  <c:v>0</c:v>
                </c:pt>
              </c:numCache>
            </c:numRef>
          </c:xVal>
          <c:yVal>
            <c:numRef>
              <c:f>Symbole!$G$4:$J$4</c:f>
              <c:numCache>
                <c:formatCode>General</c:formatCode>
                <c:ptCount val="4"/>
                <c:pt idx="0">
                  <c:v>0.75</c:v>
                </c:pt>
                <c:pt idx="1">
                  <c:v>0.80435874825867493</c:v>
                </c:pt>
                <c:pt idx="2">
                  <c:v>0.80435874825867493</c:v>
                </c:pt>
                <c:pt idx="3">
                  <c:v>0.75</c:v>
                </c:pt>
              </c:numCache>
            </c:numRef>
          </c:yVal>
          <c:smooth val="0"/>
        </c:ser>
        <c:ser>
          <c:idx val="22"/>
          <c:order val="22"/>
          <c:tx>
            <c:v>LagerV2</c:v>
          </c:tx>
          <c:spPr>
            <a:ln w="12700">
              <a:solidFill>
                <a:srgbClr val="808080"/>
              </a:solidFill>
              <a:prstDash val="solid"/>
            </a:ln>
          </c:spPr>
          <c:marker>
            <c:symbol val="none"/>
          </c:marker>
          <c:xVal>
            <c:numRef>
              <c:f>Symbole!$C$5:$F$5</c:f>
              <c:numCache>
                <c:formatCode>General</c:formatCode>
                <c:ptCount val="4"/>
                <c:pt idx="0">
                  <c:v>0.5</c:v>
                </c:pt>
                <c:pt idx="1">
                  <c:v>0.5</c:v>
                </c:pt>
                <c:pt idx="2">
                  <c:v>0.5</c:v>
                </c:pt>
                <c:pt idx="3">
                  <c:v>0.5</c:v>
                </c:pt>
              </c:numCache>
            </c:numRef>
          </c:xVal>
          <c:yVal>
            <c:numRef>
              <c:f>Symbole!$G$5:$J$5</c:f>
              <c:numCache>
                <c:formatCode>General</c:formatCode>
                <c:ptCount val="4"/>
                <c:pt idx="0">
                  <c:v>0.25</c:v>
                </c:pt>
                <c:pt idx="1">
                  <c:v>0.25</c:v>
                </c:pt>
                <c:pt idx="2">
                  <c:v>0.25</c:v>
                </c:pt>
                <c:pt idx="3">
                  <c:v>0.25</c:v>
                </c:pt>
              </c:numCache>
            </c:numRef>
          </c:yVal>
          <c:smooth val="0"/>
        </c:ser>
        <c:ser>
          <c:idx val="23"/>
          <c:order val="23"/>
          <c:tx>
            <c:v>LagerV3</c:v>
          </c:tx>
          <c:spPr>
            <a:ln w="12700">
              <a:solidFill>
                <a:srgbClr val="808080"/>
              </a:solidFill>
              <a:prstDash val="solid"/>
            </a:ln>
          </c:spPr>
          <c:marker>
            <c:symbol val="none"/>
          </c:marker>
          <c:xVal>
            <c:numRef>
              <c:f>Symbole!$C$6:$F$6</c:f>
              <c:numCache>
                <c:formatCode>General</c:formatCode>
                <c:ptCount val="4"/>
                <c:pt idx="0">
                  <c:v>1</c:v>
                </c:pt>
                <c:pt idx="1">
                  <c:v>1.0313849585789117</c:v>
                </c:pt>
                <c:pt idx="2">
                  <c:v>0.96861504142108834</c:v>
                </c:pt>
                <c:pt idx="3">
                  <c:v>1</c:v>
                </c:pt>
              </c:numCache>
            </c:numRef>
          </c:xVal>
          <c:yVal>
            <c:numRef>
              <c:f>Symbole!$G$6:$J$6</c:f>
              <c:numCache>
                <c:formatCode>General</c:formatCode>
                <c:ptCount val="4"/>
                <c:pt idx="0">
                  <c:v>0.25</c:v>
                </c:pt>
                <c:pt idx="1">
                  <c:v>0.30435874825867498</c:v>
                </c:pt>
                <c:pt idx="2">
                  <c:v>0.30435874825867498</c:v>
                </c:pt>
                <c:pt idx="3">
                  <c:v>0.25</c:v>
                </c:pt>
              </c:numCache>
            </c:numRef>
          </c:yVal>
          <c:smooth val="0"/>
        </c:ser>
        <c:ser>
          <c:idx val="24"/>
          <c:order val="24"/>
          <c:tx>
            <c:v>LagerV4</c:v>
          </c:tx>
          <c:spPr>
            <a:ln w="12700">
              <a:solidFill>
                <a:srgbClr val="808080"/>
              </a:solidFill>
              <a:prstDash val="solid"/>
            </a:ln>
          </c:spPr>
          <c:marker>
            <c:symbol val="none"/>
          </c:marker>
          <c:xVal>
            <c:numRef>
              <c:f>Symbole!$C$7:$F$7</c:f>
              <c:numCache>
                <c:formatCode>General</c:formatCode>
                <c:ptCount val="4"/>
                <c:pt idx="0">
                  <c:v>0.5</c:v>
                </c:pt>
                <c:pt idx="1">
                  <c:v>0.5</c:v>
                </c:pt>
                <c:pt idx="2">
                  <c:v>0.5</c:v>
                </c:pt>
                <c:pt idx="3">
                  <c:v>0.5</c:v>
                </c:pt>
              </c:numCache>
            </c:numRef>
          </c:xVal>
          <c:yVal>
            <c:numRef>
              <c:f>Symbole!$G$7:$J$7</c:f>
              <c:numCache>
                <c:formatCode>General</c:formatCode>
                <c:ptCount val="4"/>
                <c:pt idx="0">
                  <c:v>0.47499999999999998</c:v>
                </c:pt>
                <c:pt idx="1">
                  <c:v>0.47499999999999998</c:v>
                </c:pt>
                <c:pt idx="2">
                  <c:v>0.47499999999999998</c:v>
                </c:pt>
                <c:pt idx="3">
                  <c:v>0.47499999999999998</c:v>
                </c:pt>
              </c:numCache>
            </c:numRef>
          </c:yVal>
          <c:smooth val="0"/>
        </c:ser>
        <c:ser>
          <c:idx val="25"/>
          <c:order val="25"/>
          <c:tx>
            <c:v>LagerV5</c:v>
          </c:tx>
          <c:spPr>
            <a:ln w="12700">
              <a:solidFill>
                <a:srgbClr val="808080"/>
              </a:solidFill>
              <a:prstDash val="solid"/>
            </a:ln>
          </c:spPr>
          <c:marker>
            <c:symbol val="none"/>
          </c:marker>
          <c:xVal>
            <c:numRef>
              <c:f>Symbole!$C$8:$F$8</c:f>
              <c:numCache>
                <c:formatCode>General</c:formatCode>
                <c:ptCount val="4"/>
                <c:pt idx="0">
                  <c:v>0.5</c:v>
                </c:pt>
                <c:pt idx="1">
                  <c:v>0.5</c:v>
                </c:pt>
                <c:pt idx="2">
                  <c:v>0.5</c:v>
                </c:pt>
                <c:pt idx="3">
                  <c:v>0.5</c:v>
                </c:pt>
              </c:numCache>
            </c:numRef>
          </c:xVal>
          <c:yVal>
            <c:numRef>
              <c:f>Symbole!$G$8:$J$8</c:f>
              <c:numCache>
                <c:formatCode>General</c:formatCode>
                <c:ptCount val="4"/>
                <c:pt idx="0">
                  <c:v>0.47499999999999998</c:v>
                </c:pt>
                <c:pt idx="1">
                  <c:v>0.47499999999999998</c:v>
                </c:pt>
                <c:pt idx="2">
                  <c:v>0.47499999999999998</c:v>
                </c:pt>
                <c:pt idx="3">
                  <c:v>0.47499999999999998</c:v>
                </c:pt>
              </c:numCache>
            </c:numRef>
          </c:yVal>
          <c:smooth val="0"/>
        </c:ser>
        <c:ser>
          <c:idx val="26"/>
          <c:order val="26"/>
          <c:tx>
            <c:v>LagerV6</c:v>
          </c:tx>
          <c:spPr>
            <a:ln w="12700">
              <a:solidFill>
                <a:srgbClr val="808080"/>
              </a:solidFill>
              <a:prstDash val="solid"/>
            </a:ln>
          </c:spPr>
          <c:marker>
            <c:symbol val="none"/>
          </c:marker>
          <c:xVal>
            <c:numRef>
              <c:f>Symbole!$C$9:$F$9</c:f>
              <c:numCache>
                <c:formatCode>General</c:formatCode>
                <c:ptCount val="4"/>
                <c:pt idx="0">
                  <c:v>0.5</c:v>
                </c:pt>
                <c:pt idx="1">
                  <c:v>0.5</c:v>
                </c:pt>
                <c:pt idx="2">
                  <c:v>0.5</c:v>
                </c:pt>
                <c:pt idx="3">
                  <c:v>0.5</c:v>
                </c:pt>
              </c:numCache>
            </c:numRef>
          </c:xVal>
          <c:yVal>
            <c:numRef>
              <c:f>Symbole!$G$9:$J$9</c:f>
              <c:numCache>
                <c:formatCode>General</c:formatCode>
                <c:ptCount val="4"/>
                <c:pt idx="0">
                  <c:v>0.47499999999999998</c:v>
                </c:pt>
                <c:pt idx="1">
                  <c:v>0.47499999999999998</c:v>
                </c:pt>
                <c:pt idx="2">
                  <c:v>0.47499999999999998</c:v>
                </c:pt>
                <c:pt idx="3">
                  <c:v>0.47499999999999998</c:v>
                </c:pt>
              </c:numCache>
            </c:numRef>
          </c:yVal>
          <c:smooth val="0"/>
        </c:ser>
        <c:ser>
          <c:idx val="27"/>
          <c:order val="27"/>
          <c:tx>
            <c:v>LagerV7</c:v>
          </c:tx>
          <c:spPr>
            <a:ln w="12700">
              <a:solidFill>
                <a:srgbClr val="808080"/>
              </a:solidFill>
              <a:prstDash val="solid"/>
            </a:ln>
          </c:spPr>
          <c:marker>
            <c:symbol val="none"/>
          </c:marker>
          <c:xVal>
            <c:numRef>
              <c:f>Symbole!$C$10:$F$10</c:f>
              <c:numCache>
                <c:formatCode>General</c:formatCode>
                <c:ptCount val="4"/>
                <c:pt idx="0">
                  <c:v>0.5</c:v>
                </c:pt>
                <c:pt idx="1">
                  <c:v>0.5</c:v>
                </c:pt>
                <c:pt idx="2">
                  <c:v>0.5</c:v>
                </c:pt>
                <c:pt idx="3">
                  <c:v>0.5</c:v>
                </c:pt>
              </c:numCache>
            </c:numRef>
          </c:xVal>
          <c:yVal>
            <c:numRef>
              <c:f>Symbole!$G$10:$J$10</c:f>
              <c:numCache>
                <c:formatCode>General</c:formatCode>
                <c:ptCount val="4"/>
                <c:pt idx="0">
                  <c:v>0.47499999999999998</c:v>
                </c:pt>
                <c:pt idx="1">
                  <c:v>0.47499999999999998</c:v>
                </c:pt>
                <c:pt idx="2">
                  <c:v>0.47499999999999998</c:v>
                </c:pt>
                <c:pt idx="3">
                  <c:v>0.47499999999999998</c:v>
                </c:pt>
              </c:numCache>
            </c:numRef>
          </c:yVal>
          <c:smooth val="0"/>
        </c:ser>
        <c:ser>
          <c:idx val="28"/>
          <c:order val="28"/>
          <c:tx>
            <c:v>LagerV8</c:v>
          </c:tx>
          <c:spPr>
            <a:ln w="12700">
              <a:solidFill>
                <a:srgbClr val="808080"/>
              </a:solidFill>
              <a:prstDash val="solid"/>
            </a:ln>
          </c:spPr>
          <c:marker>
            <c:symbol val="none"/>
          </c:marker>
          <c:xVal>
            <c:numRef>
              <c:f>Symbole!$C$11:$F$11</c:f>
              <c:numCache>
                <c:formatCode>General</c:formatCode>
                <c:ptCount val="4"/>
                <c:pt idx="0">
                  <c:v>0.5</c:v>
                </c:pt>
                <c:pt idx="1">
                  <c:v>0.5</c:v>
                </c:pt>
                <c:pt idx="2">
                  <c:v>0.5</c:v>
                </c:pt>
                <c:pt idx="3">
                  <c:v>0.5</c:v>
                </c:pt>
              </c:numCache>
            </c:numRef>
          </c:xVal>
          <c:yVal>
            <c:numRef>
              <c:f>Symbole!$G$11:$J$11</c:f>
              <c:numCache>
                <c:formatCode>General</c:formatCode>
                <c:ptCount val="4"/>
                <c:pt idx="0">
                  <c:v>0.47499999999999998</c:v>
                </c:pt>
                <c:pt idx="1">
                  <c:v>0.47499999999999998</c:v>
                </c:pt>
                <c:pt idx="2">
                  <c:v>0.47499999999999998</c:v>
                </c:pt>
                <c:pt idx="3">
                  <c:v>0.47499999999999998</c:v>
                </c:pt>
              </c:numCache>
            </c:numRef>
          </c:yVal>
          <c:smooth val="0"/>
        </c:ser>
        <c:ser>
          <c:idx val="29"/>
          <c:order val="29"/>
          <c:tx>
            <c:v>LagerV9</c:v>
          </c:tx>
          <c:spPr>
            <a:ln w="12700">
              <a:solidFill>
                <a:srgbClr val="808080"/>
              </a:solidFill>
              <a:prstDash val="solid"/>
            </a:ln>
          </c:spPr>
          <c:marker>
            <c:symbol val="none"/>
          </c:marker>
          <c:xVal>
            <c:numRef>
              <c:f>Symbole!$C$12:$F$12</c:f>
              <c:numCache>
                <c:formatCode>General</c:formatCode>
                <c:ptCount val="4"/>
                <c:pt idx="0">
                  <c:v>0.5</c:v>
                </c:pt>
                <c:pt idx="1">
                  <c:v>0.5</c:v>
                </c:pt>
                <c:pt idx="2">
                  <c:v>0.5</c:v>
                </c:pt>
                <c:pt idx="3">
                  <c:v>0.5</c:v>
                </c:pt>
              </c:numCache>
            </c:numRef>
          </c:xVal>
          <c:yVal>
            <c:numRef>
              <c:f>Symbole!$G$12:$J$12</c:f>
              <c:numCache>
                <c:formatCode>General</c:formatCode>
                <c:ptCount val="4"/>
                <c:pt idx="0">
                  <c:v>0.47499999999999998</c:v>
                </c:pt>
                <c:pt idx="1">
                  <c:v>0.47499999999999998</c:v>
                </c:pt>
                <c:pt idx="2">
                  <c:v>0.47499999999999998</c:v>
                </c:pt>
                <c:pt idx="3">
                  <c:v>0.47499999999999998</c:v>
                </c:pt>
              </c:numCache>
            </c:numRef>
          </c:yVal>
          <c:smooth val="0"/>
        </c:ser>
        <c:ser>
          <c:idx val="30"/>
          <c:order val="30"/>
          <c:tx>
            <c:v>LagerV10</c:v>
          </c:tx>
          <c:spPr>
            <a:ln w="12700">
              <a:solidFill>
                <a:srgbClr val="808080"/>
              </a:solidFill>
              <a:prstDash val="solid"/>
            </a:ln>
          </c:spPr>
          <c:marker>
            <c:symbol val="none"/>
          </c:marker>
          <c:xVal>
            <c:numRef>
              <c:f>Symbole!$C$13:$F$13</c:f>
              <c:numCache>
                <c:formatCode>General</c:formatCode>
                <c:ptCount val="4"/>
                <c:pt idx="0">
                  <c:v>0.5</c:v>
                </c:pt>
                <c:pt idx="1">
                  <c:v>0.5</c:v>
                </c:pt>
                <c:pt idx="2">
                  <c:v>0.5</c:v>
                </c:pt>
                <c:pt idx="3">
                  <c:v>0.5</c:v>
                </c:pt>
              </c:numCache>
            </c:numRef>
          </c:xVal>
          <c:yVal>
            <c:numRef>
              <c:f>Symbole!$G$13:$J$13</c:f>
              <c:numCache>
                <c:formatCode>General</c:formatCode>
                <c:ptCount val="4"/>
                <c:pt idx="0">
                  <c:v>0.47499999999999998</c:v>
                </c:pt>
                <c:pt idx="1">
                  <c:v>0.47499999999999998</c:v>
                </c:pt>
                <c:pt idx="2">
                  <c:v>0.47499999999999998</c:v>
                </c:pt>
                <c:pt idx="3">
                  <c:v>0.47499999999999998</c:v>
                </c:pt>
              </c:numCache>
            </c:numRef>
          </c:yVal>
          <c:smooth val="0"/>
        </c:ser>
        <c:ser>
          <c:idx val="31"/>
          <c:order val="31"/>
          <c:tx>
            <c:v>LagerV11</c:v>
          </c:tx>
          <c:spPr>
            <a:ln w="12700">
              <a:solidFill>
                <a:srgbClr val="808080"/>
              </a:solidFill>
              <a:prstDash val="solid"/>
            </a:ln>
          </c:spPr>
          <c:marker>
            <c:symbol val="none"/>
          </c:marker>
          <c:xVal>
            <c:numRef>
              <c:f>Symbole!$C$14:$F$14</c:f>
              <c:numCache>
                <c:formatCode>General</c:formatCode>
                <c:ptCount val="4"/>
                <c:pt idx="0">
                  <c:v>0.5</c:v>
                </c:pt>
                <c:pt idx="1">
                  <c:v>0.5</c:v>
                </c:pt>
                <c:pt idx="2">
                  <c:v>0.5</c:v>
                </c:pt>
                <c:pt idx="3">
                  <c:v>0.5</c:v>
                </c:pt>
              </c:numCache>
            </c:numRef>
          </c:xVal>
          <c:yVal>
            <c:numRef>
              <c:f>Symbole!$G$14:$J$14</c:f>
              <c:numCache>
                <c:formatCode>General</c:formatCode>
                <c:ptCount val="4"/>
                <c:pt idx="0">
                  <c:v>0.47499999999999998</c:v>
                </c:pt>
                <c:pt idx="1">
                  <c:v>0.47499999999999998</c:v>
                </c:pt>
                <c:pt idx="2">
                  <c:v>0.47499999999999998</c:v>
                </c:pt>
                <c:pt idx="3">
                  <c:v>0.47499999999999998</c:v>
                </c:pt>
              </c:numCache>
            </c:numRef>
          </c:yVal>
          <c:smooth val="0"/>
        </c:ser>
        <c:ser>
          <c:idx val="32"/>
          <c:order val="32"/>
          <c:tx>
            <c:v>LagerV12</c:v>
          </c:tx>
          <c:spPr>
            <a:ln w="12700">
              <a:solidFill>
                <a:srgbClr val="808080"/>
              </a:solidFill>
              <a:prstDash val="solid"/>
            </a:ln>
          </c:spPr>
          <c:marker>
            <c:symbol val="none"/>
          </c:marker>
          <c:xVal>
            <c:numRef>
              <c:f>Symbole!$C$15:$F$15</c:f>
              <c:numCache>
                <c:formatCode>General</c:formatCode>
                <c:ptCount val="4"/>
                <c:pt idx="0">
                  <c:v>0.5</c:v>
                </c:pt>
                <c:pt idx="1">
                  <c:v>0.5</c:v>
                </c:pt>
                <c:pt idx="2">
                  <c:v>0.5</c:v>
                </c:pt>
                <c:pt idx="3">
                  <c:v>0.5</c:v>
                </c:pt>
              </c:numCache>
            </c:numRef>
          </c:xVal>
          <c:yVal>
            <c:numRef>
              <c:f>Symbole!$G$15:$J$15</c:f>
              <c:numCache>
                <c:formatCode>General</c:formatCode>
                <c:ptCount val="4"/>
                <c:pt idx="0">
                  <c:v>0.47499999999999998</c:v>
                </c:pt>
                <c:pt idx="1">
                  <c:v>0.47499999999999998</c:v>
                </c:pt>
                <c:pt idx="2">
                  <c:v>0.47499999999999998</c:v>
                </c:pt>
                <c:pt idx="3">
                  <c:v>0.47499999999999998</c:v>
                </c:pt>
              </c:numCache>
            </c:numRef>
          </c:yVal>
          <c:smooth val="0"/>
        </c:ser>
        <c:ser>
          <c:idx val="33"/>
          <c:order val="33"/>
          <c:tx>
            <c:v>LagerV13</c:v>
          </c:tx>
          <c:spPr>
            <a:ln w="12700">
              <a:solidFill>
                <a:srgbClr val="808080"/>
              </a:solidFill>
              <a:prstDash val="solid"/>
            </a:ln>
          </c:spPr>
          <c:marker>
            <c:symbol val="none"/>
          </c:marker>
          <c:xVal>
            <c:numRef>
              <c:f>Symbole!$C$16:$F$16</c:f>
              <c:numCache>
                <c:formatCode>General</c:formatCode>
                <c:ptCount val="4"/>
                <c:pt idx="0">
                  <c:v>0.5</c:v>
                </c:pt>
                <c:pt idx="1">
                  <c:v>0.5</c:v>
                </c:pt>
                <c:pt idx="2">
                  <c:v>0.5</c:v>
                </c:pt>
                <c:pt idx="3">
                  <c:v>0.5</c:v>
                </c:pt>
              </c:numCache>
            </c:numRef>
          </c:xVal>
          <c:yVal>
            <c:numRef>
              <c:f>Symbole!$G$16:$J$16</c:f>
              <c:numCache>
                <c:formatCode>General</c:formatCode>
                <c:ptCount val="4"/>
                <c:pt idx="0">
                  <c:v>0.47499999999999998</c:v>
                </c:pt>
                <c:pt idx="1">
                  <c:v>0.47499999999999998</c:v>
                </c:pt>
                <c:pt idx="2">
                  <c:v>0.47499999999999998</c:v>
                </c:pt>
                <c:pt idx="3">
                  <c:v>0.47499999999999998</c:v>
                </c:pt>
              </c:numCache>
            </c:numRef>
          </c:yVal>
          <c:smooth val="0"/>
        </c:ser>
        <c:ser>
          <c:idx val="34"/>
          <c:order val="34"/>
          <c:tx>
            <c:v>LagerV14</c:v>
          </c:tx>
          <c:spPr>
            <a:ln w="12700">
              <a:solidFill>
                <a:srgbClr val="808080"/>
              </a:solidFill>
              <a:prstDash val="solid"/>
            </a:ln>
          </c:spPr>
          <c:marker>
            <c:symbol val="none"/>
          </c:marker>
          <c:xVal>
            <c:numRef>
              <c:f>Symbole!$C$17:$F$17</c:f>
              <c:numCache>
                <c:formatCode>General</c:formatCode>
                <c:ptCount val="4"/>
                <c:pt idx="0">
                  <c:v>0.5</c:v>
                </c:pt>
                <c:pt idx="1">
                  <c:v>0.5</c:v>
                </c:pt>
                <c:pt idx="2">
                  <c:v>0.5</c:v>
                </c:pt>
                <c:pt idx="3">
                  <c:v>0.5</c:v>
                </c:pt>
              </c:numCache>
            </c:numRef>
          </c:xVal>
          <c:yVal>
            <c:numRef>
              <c:f>Symbole!$G$17:$J$17</c:f>
              <c:numCache>
                <c:formatCode>General</c:formatCode>
                <c:ptCount val="4"/>
                <c:pt idx="0">
                  <c:v>0.47499999999999998</c:v>
                </c:pt>
                <c:pt idx="1">
                  <c:v>0.47499999999999998</c:v>
                </c:pt>
                <c:pt idx="2">
                  <c:v>0.47499999999999998</c:v>
                </c:pt>
                <c:pt idx="3">
                  <c:v>0.47499999999999998</c:v>
                </c:pt>
              </c:numCache>
            </c:numRef>
          </c:yVal>
          <c:smooth val="0"/>
        </c:ser>
        <c:ser>
          <c:idx val="35"/>
          <c:order val="35"/>
          <c:tx>
            <c:v>LagerV15</c:v>
          </c:tx>
          <c:spPr>
            <a:ln w="12700">
              <a:solidFill>
                <a:srgbClr val="808080"/>
              </a:solidFill>
              <a:prstDash val="solid"/>
            </a:ln>
          </c:spPr>
          <c:marker>
            <c:symbol val="none"/>
          </c:marker>
          <c:xVal>
            <c:numRef>
              <c:f>Symbole!$C$18:$F$18</c:f>
              <c:numCache>
                <c:formatCode>General</c:formatCode>
                <c:ptCount val="4"/>
                <c:pt idx="0">
                  <c:v>0.5</c:v>
                </c:pt>
                <c:pt idx="1">
                  <c:v>0.5</c:v>
                </c:pt>
                <c:pt idx="2">
                  <c:v>0.5</c:v>
                </c:pt>
                <c:pt idx="3">
                  <c:v>0.5</c:v>
                </c:pt>
              </c:numCache>
            </c:numRef>
          </c:xVal>
          <c:yVal>
            <c:numRef>
              <c:f>Symbole!$G$18:$J$18</c:f>
              <c:numCache>
                <c:formatCode>General</c:formatCode>
                <c:ptCount val="4"/>
                <c:pt idx="0">
                  <c:v>0.47499999999999998</c:v>
                </c:pt>
                <c:pt idx="1">
                  <c:v>0.47499999999999998</c:v>
                </c:pt>
                <c:pt idx="2">
                  <c:v>0.47499999999999998</c:v>
                </c:pt>
                <c:pt idx="3">
                  <c:v>0.47499999999999998</c:v>
                </c:pt>
              </c:numCache>
            </c:numRef>
          </c:yVal>
          <c:smooth val="0"/>
        </c:ser>
        <c:ser>
          <c:idx val="36"/>
          <c:order val="36"/>
          <c:tx>
            <c:v>LagerV16</c:v>
          </c:tx>
          <c:spPr>
            <a:ln w="12700">
              <a:solidFill>
                <a:srgbClr val="808080"/>
              </a:solidFill>
              <a:prstDash val="solid"/>
            </a:ln>
          </c:spPr>
          <c:marker>
            <c:symbol val="none"/>
          </c:marker>
          <c:xVal>
            <c:numRef>
              <c:f>Symbole!$C$19:$F$19</c:f>
              <c:numCache>
                <c:formatCode>General</c:formatCode>
                <c:ptCount val="4"/>
                <c:pt idx="0">
                  <c:v>0.5</c:v>
                </c:pt>
                <c:pt idx="1">
                  <c:v>0.5</c:v>
                </c:pt>
                <c:pt idx="2">
                  <c:v>0.5</c:v>
                </c:pt>
                <c:pt idx="3">
                  <c:v>0.5</c:v>
                </c:pt>
              </c:numCache>
            </c:numRef>
          </c:xVal>
          <c:yVal>
            <c:numRef>
              <c:f>Symbole!$G$19:$J$19</c:f>
              <c:numCache>
                <c:formatCode>General</c:formatCode>
                <c:ptCount val="4"/>
                <c:pt idx="0">
                  <c:v>0.47499999999999998</c:v>
                </c:pt>
                <c:pt idx="1">
                  <c:v>0.47499999999999998</c:v>
                </c:pt>
                <c:pt idx="2">
                  <c:v>0.47499999999999998</c:v>
                </c:pt>
                <c:pt idx="3">
                  <c:v>0.47499999999999998</c:v>
                </c:pt>
              </c:numCache>
            </c:numRef>
          </c:yVal>
          <c:smooth val="0"/>
        </c:ser>
        <c:ser>
          <c:idx val="37"/>
          <c:order val="37"/>
          <c:tx>
            <c:v>LagerV17</c:v>
          </c:tx>
          <c:spPr>
            <a:ln w="12700">
              <a:solidFill>
                <a:srgbClr val="808080"/>
              </a:solidFill>
              <a:prstDash val="solid"/>
            </a:ln>
          </c:spPr>
          <c:marker>
            <c:symbol val="none"/>
          </c:marker>
          <c:xVal>
            <c:numRef>
              <c:f>Symbole!$C$20:$F$20</c:f>
              <c:numCache>
                <c:formatCode>General</c:formatCode>
                <c:ptCount val="4"/>
                <c:pt idx="0">
                  <c:v>0.5</c:v>
                </c:pt>
                <c:pt idx="1">
                  <c:v>0.5</c:v>
                </c:pt>
                <c:pt idx="2">
                  <c:v>0.5</c:v>
                </c:pt>
                <c:pt idx="3">
                  <c:v>0.5</c:v>
                </c:pt>
              </c:numCache>
            </c:numRef>
          </c:xVal>
          <c:yVal>
            <c:numRef>
              <c:f>Symbole!$G$20:$J$20</c:f>
              <c:numCache>
                <c:formatCode>General</c:formatCode>
                <c:ptCount val="4"/>
                <c:pt idx="0">
                  <c:v>0.47499999999999998</c:v>
                </c:pt>
                <c:pt idx="1">
                  <c:v>0.47499999999999998</c:v>
                </c:pt>
                <c:pt idx="2">
                  <c:v>0.47499999999999998</c:v>
                </c:pt>
                <c:pt idx="3">
                  <c:v>0.47499999999999998</c:v>
                </c:pt>
              </c:numCache>
            </c:numRef>
          </c:yVal>
          <c:smooth val="0"/>
        </c:ser>
        <c:ser>
          <c:idx val="38"/>
          <c:order val="38"/>
          <c:tx>
            <c:v>LagerV18</c:v>
          </c:tx>
          <c:spPr>
            <a:ln w="12700">
              <a:solidFill>
                <a:srgbClr val="808080"/>
              </a:solidFill>
              <a:prstDash val="solid"/>
            </a:ln>
          </c:spPr>
          <c:marker>
            <c:symbol val="none"/>
          </c:marker>
          <c:xVal>
            <c:numRef>
              <c:f>Symbole!$C$21:$F$21</c:f>
              <c:numCache>
                <c:formatCode>General</c:formatCode>
                <c:ptCount val="4"/>
                <c:pt idx="0">
                  <c:v>0.5</c:v>
                </c:pt>
                <c:pt idx="1">
                  <c:v>0.5</c:v>
                </c:pt>
                <c:pt idx="2">
                  <c:v>0.5</c:v>
                </c:pt>
                <c:pt idx="3">
                  <c:v>0.5</c:v>
                </c:pt>
              </c:numCache>
            </c:numRef>
          </c:xVal>
          <c:yVal>
            <c:numRef>
              <c:f>Symbole!$G$21:$J$21</c:f>
              <c:numCache>
                <c:formatCode>General</c:formatCode>
                <c:ptCount val="4"/>
                <c:pt idx="0">
                  <c:v>0.47499999999999998</c:v>
                </c:pt>
                <c:pt idx="1">
                  <c:v>0.47499999999999998</c:v>
                </c:pt>
                <c:pt idx="2">
                  <c:v>0.47499999999999998</c:v>
                </c:pt>
                <c:pt idx="3">
                  <c:v>0.47499999999999998</c:v>
                </c:pt>
              </c:numCache>
            </c:numRef>
          </c:yVal>
          <c:smooth val="0"/>
        </c:ser>
        <c:ser>
          <c:idx val="39"/>
          <c:order val="39"/>
          <c:tx>
            <c:v>LagerV19</c:v>
          </c:tx>
          <c:spPr>
            <a:ln w="12700">
              <a:solidFill>
                <a:srgbClr val="808080"/>
              </a:solidFill>
              <a:prstDash val="solid"/>
            </a:ln>
          </c:spPr>
          <c:marker>
            <c:symbol val="none"/>
          </c:marker>
          <c:xVal>
            <c:numRef>
              <c:f>Symbole!$C$22:$F$22</c:f>
              <c:numCache>
                <c:formatCode>General</c:formatCode>
                <c:ptCount val="4"/>
                <c:pt idx="0">
                  <c:v>0.5</c:v>
                </c:pt>
                <c:pt idx="1">
                  <c:v>0.5</c:v>
                </c:pt>
                <c:pt idx="2">
                  <c:v>0.5</c:v>
                </c:pt>
                <c:pt idx="3">
                  <c:v>0.5</c:v>
                </c:pt>
              </c:numCache>
            </c:numRef>
          </c:xVal>
          <c:yVal>
            <c:numRef>
              <c:f>Symbole!$G$22:$J$22</c:f>
              <c:numCache>
                <c:formatCode>General</c:formatCode>
                <c:ptCount val="4"/>
                <c:pt idx="0">
                  <c:v>0.47499999999999998</c:v>
                </c:pt>
                <c:pt idx="1">
                  <c:v>0.47499999999999998</c:v>
                </c:pt>
                <c:pt idx="2">
                  <c:v>0.47499999999999998</c:v>
                </c:pt>
                <c:pt idx="3">
                  <c:v>0.47499999999999998</c:v>
                </c:pt>
              </c:numCache>
            </c:numRef>
          </c:yVal>
          <c:smooth val="0"/>
        </c:ser>
        <c:ser>
          <c:idx val="40"/>
          <c:order val="40"/>
          <c:tx>
            <c:v>LagerV20</c:v>
          </c:tx>
          <c:spPr>
            <a:ln w="12700">
              <a:solidFill>
                <a:srgbClr val="808080"/>
              </a:solidFill>
              <a:prstDash val="solid"/>
            </a:ln>
          </c:spPr>
          <c:marker>
            <c:symbol val="none"/>
          </c:marker>
          <c:xVal>
            <c:numRef>
              <c:f>Symbole!$C$23:$F$23</c:f>
              <c:numCache>
                <c:formatCode>General</c:formatCode>
                <c:ptCount val="4"/>
                <c:pt idx="0">
                  <c:v>0.5</c:v>
                </c:pt>
                <c:pt idx="1">
                  <c:v>0.5</c:v>
                </c:pt>
                <c:pt idx="2">
                  <c:v>0.5</c:v>
                </c:pt>
                <c:pt idx="3">
                  <c:v>0.5</c:v>
                </c:pt>
              </c:numCache>
            </c:numRef>
          </c:xVal>
          <c:yVal>
            <c:numRef>
              <c:f>Symbole!$G$23:$J$23</c:f>
              <c:numCache>
                <c:formatCode>General</c:formatCode>
                <c:ptCount val="4"/>
                <c:pt idx="0">
                  <c:v>0.47499999999999998</c:v>
                </c:pt>
                <c:pt idx="1">
                  <c:v>0.47499999999999998</c:v>
                </c:pt>
                <c:pt idx="2">
                  <c:v>0.47499999999999998</c:v>
                </c:pt>
                <c:pt idx="3">
                  <c:v>0.47499999999999998</c:v>
                </c:pt>
              </c:numCache>
            </c:numRef>
          </c:yVal>
          <c:smooth val="0"/>
        </c:ser>
        <c:ser>
          <c:idx val="41"/>
          <c:order val="41"/>
          <c:tx>
            <c:v>LagerH1</c:v>
          </c:tx>
          <c:spPr>
            <a:ln w="12700">
              <a:solidFill>
                <a:srgbClr val="808080"/>
              </a:solidFill>
              <a:prstDash val="solid"/>
            </a:ln>
          </c:spPr>
          <c:marker>
            <c:symbol val="none"/>
          </c:marker>
          <c:xVal>
            <c:numRef>
              <c:f>Symbole!$C$27:$F$27</c:f>
              <c:numCache>
                <c:formatCode>General</c:formatCode>
                <c:ptCount val="4"/>
                <c:pt idx="0">
                  <c:v>0</c:v>
                </c:pt>
                <c:pt idx="1">
                  <c:v>-5.4358748258674983E-2</c:v>
                </c:pt>
                <c:pt idx="2">
                  <c:v>-5.4358748258674983E-2</c:v>
                </c:pt>
                <c:pt idx="3">
                  <c:v>0</c:v>
                </c:pt>
              </c:numCache>
            </c:numRef>
          </c:xVal>
          <c:yVal>
            <c:numRef>
              <c:f>Symbole!$G$27:$J$27</c:f>
              <c:numCache>
                <c:formatCode>General</c:formatCode>
                <c:ptCount val="4"/>
                <c:pt idx="0">
                  <c:v>0.75</c:v>
                </c:pt>
                <c:pt idx="1">
                  <c:v>0.78138495857891166</c:v>
                </c:pt>
                <c:pt idx="2">
                  <c:v>0.71861504142108834</c:v>
                </c:pt>
                <c:pt idx="3">
                  <c:v>0.75</c:v>
                </c:pt>
              </c:numCache>
            </c:numRef>
          </c:yVal>
          <c:smooth val="0"/>
        </c:ser>
        <c:ser>
          <c:idx val="42"/>
          <c:order val="42"/>
          <c:tx>
            <c:v>LagerH2</c:v>
          </c:tx>
          <c:spPr>
            <a:ln w="12700">
              <a:solidFill>
                <a:srgbClr val="808080"/>
              </a:solidFill>
              <a:prstDash val="solid"/>
            </a:ln>
          </c:spPr>
          <c:marker>
            <c:symbol val="none"/>
          </c:marker>
          <c:xVal>
            <c:numRef>
              <c:f>Symbole!$C$28:$F$28</c:f>
              <c:numCache>
                <c:formatCode>General</c:formatCode>
                <c:ptCount val="4"/>
                <c:pt idx="0">
                  <c:v>0.5</c:v>
                </c:pt>
                <c:pt idx="1">
                  <c:v>0.5</c:v>
                </c:pt>
                <c:pt idx="2">
                  <c:v>0.5</c:v>
                </c:pt>
                <c:pt idx="3">
                  <c:v>0.5</c:v>
                </c:pt>
              </c:numCache>
            </c:numRef>
          </c:xVal>
          <c:yVal>
            <c:numRef>
              <c:f>Symbole!$G$28:$J$28</c:f>
              <c:numCache>
                <c:formatCode>General</c:formatCode>
                <c:ptCount val="4"/>
                <c:pt idx="0">
                  <c:v>0.25</c:v>
                </c:pt>
                <c:pt idx="1">
                  <c:v>0.25</c:v>
                </c:pt>
                <c:pt idx="2">
                  <c:v>0.25</c:v>
                </c:pt>
                <c:pt idx="3">
                  <c:v>0.25</c:v>
                </c:pt>
              </c:numCache>
            </c:numRef>
          </c:yVal>
          <c:smooth val="0"/>
        </c:ser>
        <c:ser>
          <c:idx val="43"/>
          <c:order val="43"/>
          <c:tx>
            <c:v>LagerH3</c:v>
          </c:tx>
          <c:spPr>
            <a:ln w="12700">
              <a:solidFill>
                <a:srgbClr val="808080"/>
              </a:solidFill>
              <a:prstDash val="solid"/>
            </a:ln>
          </c:spPr>
          <c:marker>
            <c:symbol val="none"/>
          </c:marker>
          <c:xVal>
            <c:numRef>
              <c:f>Symbole!$C$29:$F$29</c:f>
              <c:numCache>
                <c:formatCode>General</c:formatCode>
                <c:ptCount val="4"/>
                <c:pt idx="0">
                  <c:v>1</c:v>
                </c:pt>
                <c:pt idx="1">
                  <c:v>0.94564125174132507</c:v>
                </c:pt>
                <c:pt idx="2">
                  <c:v>0.94564125174132507</c:v>
                </c:pt>
                <c:pt idx="3">
                  <c:v>1</c:v>
                </c:pt>
              </c:numCache>
            </c:numRef>
          </c:xVal>
          <c:yVal>
            <c:numRef>
              <c:f>Symbole!$G$29:$J$29</c:f>
              <c:numCache>
                <c:formatCode>General</c:formatCode>
                <c:ptCount val="4"/>
                <c:pt idx="0">
                  <c:v>0.25</c:v>
                </c:pt>
                <c:pt idx="1">
                  <c:v>0.28138495857891166</c:v>
                </c:pt>
                <c:pt idx="2">
                  <c:v>0.21861504142108834</c:v>
                </c:pt>
                <c:pt idx="3">
                  <c:v>0.25</c:v>
                </c:pt>
              </c:numCache>
            </c:numRef>
          </c:yVal>
          <c:smooth val="0"/>
        </c:ser>
        <c:ser>
          <c:idx val="44"/>
          <c:order val="44"/>
          <c:tx>
            <c:v>LagerH4</c:v>
          </c:tx>
          <c:spPr>
            <a:ln w="12700">
              <a:solidFill>
                <a:srgbClr val="808080"/>
              </a:solidFill>
              <a:prstDash val="solid"/>
            </a:ln>
          </c:spPr>
          <c:marker>
            <c:symbol val="none"/>
          </c:marker>
          <c:xVal>
            <c:numRef>
              <c:f>Symbole!$C$30:$F$30</c:f>
              <c:numCache>
                <c:formatCode>General</c:formatCode>
                <c:ptCount val="4"/>
                <c:pt idx="0">
                  <c:v>0.5</c:v>
                </c:pt>
                <c:pt idx="1">
                  <c:v>0.5</c:v>
                </c:pt>
                <c:pt idx="2">
                  <c:v>0.5</c:v>
                </c:pt>
                <c:pt idx="3">
                  <c:v>0.5</c:v>
                </c:pt>
              </c:numCache>
            </c:numRef>
          </c:xVal>
          <c:yVal>
            <c:numRef>
              <c:f>Symbole!$G$30:$J$30</c:f>
              <c:numCache>
                <c:formatCode>General</c:formatCode>
                <c:ptCount val="4"/>
                <c:pt idx="0">
                  <c:v>0.47499999999999998</c:v>
                </c:pt>
                <c:pt idx="1">
                  <c:v>0.47499999999999998</c:v>
                </c:pt>
                <c:pt idx="2">
                  <c:v>0.47499999999999998</c:v>
                </c:pt>
                <c:pt idx="3">
                  <c:v>0.47499999999999998</c:v>
                </c:pt>
              </c:numCache>
            </c:numRef>
          </c:yVal>
          <c:smooth val="0"/>
        </c:ser>
        <c:ser>
          <c:idx val="45"/>
          <c:order val="45"/>
          <c:tx>
            <c:v>LagerH5</c:v>
          </c:tx>
          <c:spPr>
            <a:ln w="12700">
              <a:solidFill>
                <a:srgbClr val="808080"/>
              </a:solidFill>
              <a:prstDash val="solid"/>
            </a:ln>
          </c:spPr>
          <c:marker>
            <c:symbol val="none"/>
          </c:marker>
          <c:xVal>
            <c:numRef>
              <c:f>Symbole!$C$31:$F$31</c:f>
              <c:numCache>
                <c:formatCode>General</c:formatCode>
                <c:ptCount val="4"/>
                <c:pt idx="0">
                  <c:v>0.5</c:v>
                </c:pt>
                <c:pt idx="1">
                  <c:v>0.5</c:v>
                </c:pt>
                <c:pt idx="2">
                  <c:v>0.5</c:v>
                </c:pt>
                <c:pt idx="3">
                  <c:v>0.5</c:v>
                </c:pt>
              </c:numCache>
            </c:numRef>
          </c:xVal>
          <c:yVal>
            <c:numRef>
              <c:f>Symbole!$G$31:$J$31</c:f>
              <c:numCache>
                <c:formatCode>General</c:formatCode>
                <c:ptCount val="4"/>
                <c:pt idx="0">
                  <c:v>0.47499999999999998</c:v>
                </c:pt>
                <c:pt idx="1">
                  <c:v>0.47499999999999998</c:v>
                </c:pt>
                <c:pt idx="2">
                  <c:v>0.47499999999999998</c:v>
                </c:pt>
                <c:pt idx="3">
                  <c:v>0.47499999999999998</c:v>
                </c:pt>
              </c:numCache>
            </c:numRef>
          </c:yVal>
          <c:smooth val="0"/>
        </c:ser>
        <c:ser>
          <c:idx val="46"/>
          <c:order val="46"/>
          <c:tx>
            <c:v>LagerH6</c:v>
          </c:tx>
          <c:spPr>
            <a:ln w="12700">
              <a:solidFill>
                <a:srgbClr val="808080"/>
              </a:solidFill>
              <a:prstDash val="solid"/>
            </a:ln>
          </c:spPr>
          <c:marker>
            <c:symbol val="none"/>
          </c:marker>
          <c:xVal>
            <c:numRef>
              <c:f>Symbole!$C$32:$F$32</c:f>
              <c:numCache>
                <c:formatCode>General</c:formatCode>
                <c:ptCount val="4"/>
                <c:pt idx="0">
                  <c:v>0.5</c:v>
                </c:pt>
                <c:pt idx="1">
                  <c:v>0.5</c:v>
                </c:pt>
                <c:pt idx="2">
                  <c:v>0.5</c:v>
                </c:pt>
                <c:pt idx="3">
                  <c:v>0.5</c:v>
                </c:pt>
              </c:numCache>
            </c:numRef>
          </c:xVal>
          <c:yVal>
            <c:numRef>
              <c:f>Symbole!$G$32:$J$32</c:f>
              <c:numCache>
                <c:formatCode>General</c:formatCode>
                <c:ptCount val="4"/>
                <c:pt idx="0">
                  <c:v>0.47499999999999998</c:v>
                </c:pt>
                <c:pt idx="1">
                  <c:v>0.47499999999999998</c:v>
                </c:pt>
                <c:pt idx="2">
                  <c:v>0.47499999999999998</c:v>
                </c:pt>
                <c:pt idx="3">
                  <c:v>0.47499999999999998</c:v>
                </c:pt>
              </c:numCache>
            </c:numRef>
          </c:yVal>
          <c:smooth val="0"/>
        </c:ser>
        <c:ser>
          <c:idx val="47"/>
          <c:order val="47"/>
          <c:tx>
            <c:v>LagerH7</c:v>
          </c:tx>
          <c:spPr>
            <a:ln w="12700">
              <a:solidFill>
                <a:srgbClr val="808080"/>
              </a:solidFill>
              <a:prstDash val="solid"/>
            </a:ln>
          </c:spPr>
          <c:marker>
            <c:symbol val="none"/>
          </c:marker>
          <c:xVal>
            <c:numRef>
              <c:f>Symbole!$C$33:$F$33</c:f>
              <c:numCache>
                <c:formatCode>General</c:formatCode>
                <c:ptCount val="4"/>
                <c:pt idx="0">
                  <c:v>0.5</c:v>
                </c:pt>
                <c:pt idx="1">
                  <c:v>0.5</c:v>
                </c:pt>
                <c:pt idx="2">
                  <c:v>0.5</c:v>
                </c:pt>
                <c:pt idx="3">
                  <c:v>0.5</c:v>
                </c:pt>
              </c:numCache>
            </c:numRef>
          </c:xVal>
          <c:yVal>
            <c:numRef>
              <c:f>Symbole!$G$33:$J$33</c:f>
              <c:numCache>
                <c:formatCode>General</c:formatCode>
                <c:ptCount val="4"/>
                <c:pt idx="0">
                  <c:v>0.47499999999999998</c:v>
                </c:pt>
                <c:pt idx="1">
                  <c:v>0.47499999999999998</c:v>
                </c:pt>
                <c:pt idx="2">
                  <c:v>0.47499999999999998</c:v>
                </c:pt>
                <c:pt idx="3">
                  <c:v>0.47499999999999998</c:v>
                </c:pt>
              </c:numCache>
            </c:numRef>
          </c:yVal>
          <c:smooth val="0"/>
        </c:ser>
        <c:ser>
          <c:idx val="48"/>
          <c:order val="48"/>
          <c:tx>
            <c:v>LagerH8</c:v>
          </c:tx>
          <c:spPr>
            <a:ln w="12700">
              <a:solidFill>
                <a:srgbClr val="808080"/>
              </a:solidFill>
              <a:prstDash val="solid"/>
            </a:ln>
          </c:spPr>
          <c:marker>
            <c:symbol val="none"/>
          </c:marker>
          <c:xVal>
            <c:numRef>
              <c:f>Symbole!$C$34:$F$34</c:f>
              <c:numCache>
                <c:formatCode>General</c:formatCode>
                <c:ptCount val="4"/>
                <c:pt idx="0">
                  <c:v>0.5</c:v>
                </c:pt>
                <c:pt idx="1">
                  <c:v>0.5</c:v>
                </c:pt>
                <c:pt idx="2">
                  <c:v>0.5</c:v>
                </c:pt>
                <c:pt idx="3">
                  <c:v>0.5</c:v>
                </c:pt>
              </c:numCache>
            </c:numRef>
          </c:xVal>
          <c:yVal>
            <c:numRef>
              <c:f>Symbole!$G$34:$J$34</c:f>
              <c:numCache>
                <c:formatCode>General</c:formatCode>
                <c:ptCount val="4"/>
                <c:pt idx="0">
                  <c:v>0.47499999999999998</c:v>
                </c:pt>
                <c:pt idx="1">
                  <c:v>0.47499999999999998</c:v>
                </c:pt>
                <c:pt idx="2">
                  <c:v>0.47499999999999998</c:v>
                </c:pt>
                <c:pt idx="3">
                  <c:v>0.47499999999999998</c:v>
                </c:pt>
              </c:numCache>
            </c:numRef>
          </c:yVal>
          <c:smooth val="0"/>
        </c:ser>
        <c:ser>
          <c:idx val="49"/>
          <c:order val="49"/>
          <c:tx>
            <c:v>LagerH9</c:v>
          </c:tx>
          <c:spPr>
            <a:ln w="12700">
              <a:solidFill>
                <a:srgbClr val="808080"/>
              </a:solidFill>
              <a:prstDash val="solid"/>
            </a:ln>
          </c:spPr>
          <c:marker>
            <c:symbol val="none"/>
          </c:marker>
          <c:xVal>
            <c:numRef>
              <c:f>Symbole!$C$35:$F$35</c:f>
              <c:numCache>
                <c:formatCode>General</c:formatCode>
                <c:ptCount val="4"/>
                <c:pt idx="0">
                  <c:v>0.5</c:v>
                </c:pt>
                <c:pt idx="1">
                  <c:v>0.5</c:v>
                </c:pt>
                <c:pt idx="2">
                  <c:v>0.5</c:v>
                </c:pt>
                <c:pt idx="3">
                  <c:v>0.5</c:v>
                </c:pt>
              </c:numCache>
            </c:numRef>
          </c:xVal>
          <c:yVal>
            <c:numRef>
              <c:f>Symbole!$G$35:$J$35</c:f>
              <c:numCache>
                <c:formatCode>General</c:formatCode>
                <c:ptCount val="4"/>
                <c:pt idx="0">
                  <c:v>0.47499999999999998</c:v>
                </c:pt>
                <c:pt idx="1">
                  <c:v>0.47499999999999998</c:v>
                </c:pt>
                <c:pt idx="2">
                  <c:v>0.47499999999999998</c:v>
                </c:pt>
                <c:pt idx="3">
                  <c:v>0.47499999999999998</c:v>
                </c:pt>
              </c:numCache>
            </c:numRef>
          </c:yVal>
          <c:smooth val="0"/>
        </c:ser>
        <c:ser>
          <c:idx val="50"/>
          <c:order val="50"/>
          <c:tx>
            <c:v>LagerH10</c:v>
          </c:tx>
          <c:spPr>
            <a:ln w="12700">
              <a:solidFill>
                <a:srgbClr val="808080"/>
              </a:solidFill>
              <a:prstDash val="solid"/>
            </a:ln>
          </c:spPr>
          <c:marker>
            <c:symbol val="none"/>
          </c:marker>
          <c:xVal>
            <c:numRef>
              <c:f>Symbole!$C$36:$F$36</c:f>
              <c:numCache>
                <c:formatCode>General</c:formatCode>
                <c:ptCount val="4"/>
                <c:pt idx="0">
                  <c:v>0.5</c:v>
                </c:pt>
                <c:pt idx="1">
                  <c:v>0.5</c:v>
                </c:pt>
                <c:pt idx="2">
                  <c:v>0.5</c:v>
                </c:pt>
                <c:pt idx="3">
                  <c:v>0.5</c:v>
                </c:pt>
              </c:numCache>
            </c:numRef>
          </c:xVal>
          <c:yVal>
            <c:numRef>
              <c:f>Symbole!$G$36:$J$36</c:f>
              <c:numCache>
                <c:formatCode>General</c:formatCode>
                <c:ptCount val="4"/>
                <c:pt idx="0">
                  <c:v>0.47499999999999998</c:v>
                </c:pt>
                <c:pt idx="1">
                  <c:v>0.47499999999999998</c:v>
                </c:pt>
                <c:pt idx="2">
                  <c:v>0.47499999999999998</c:v>
                </c:pt>
                <c:pt idx="3">
                  <c:v>0.47499999999999998</c:v>
                </c:pt>
              </c:numCache>
            </c:numRef>
          </c:yVal>
          <c:smooth val="0"/>
        </c:ser>
        <c:ser>
          <c:idx val="51"/>
          <c:order val="51"/>
          <c:tx>
            <c:v>LagerH11</c:v>
          </c:tx>
          <c:spPr>
            <a:ln w="12700">
              <a:solidFill>
                <a:srgbClr val="808080"/>
              </a:solidFill>
              <a:prstDash val="solid"/>
            </a:ln>
          </c:spPr>
          <c:marker>
            <c:symbol val="none"/>
          </c:marker>
          <c:xVal>
            <c:numRef>
              <c:f>Symbole!$C$37:$F$37</c:f>
              <c:numCache>
                <c:formatCode>General</c:formatCode>
                <c:ptCount val="4"/>
                <c:pt idx="0">
                  <c:v>0.5</c:v>
                </c:pt>
                <c:pt idx="1">
                  <c:v>0.5</c:v>
                </c:pt>
                <c:pt idx="2">
                  <c:v>0.5</c:v>
                </c:pt>
                <c:pt idx="3">
                  <c:v>0.5</c:v>
                </c:pt>
              </c:numCache>
            </c:numRef>
          </c:xVal>
          <c:yVal>
            <c:numRef>
              <c:f>Symbole!$G$37:$J$37</c:f>
              <c:numCache>
                <c:formatCode>General</c:formatCode>
                <c:ptCount val="4"/>
                <c:pt idx="0">
                  <c:v>0.47499999999999998</c:v>
                </c:pt>
                <c:pt idx="1">
                  <c:v>0.47499999999999998</c:v>
                </c:pt>
                <c:pt idx="2">
                  <c:v>0.47499999999999998</c:v>
                </c:pt>
                <c:pt idx="3">
                  <c:v>0.47499999999999998</c:v>
                </c:pt>
              </c:numCache>
            </c:numRef>
          </c:yVal>
          <c:smooth val="0"/>
        </c:ser>
        <c:ser>
          <c:idx val="52"/>
          <c:order val="52"/>
          <c:tx>
            <c:v>LagerH12</c:v>
          </c:tx>
          <c:spPr>
            <a:ln w="12700">
              <a:solidFill>
                <a:srgbClr val="808080"/>
              </a:solidFill>
              <a:prstDash val="solid"/>
            </a:ln>
          </c:spPr>
          <c:marker>
            <c:symbol val="none"/>
          </c:marker>
          <c:xVal>
            <c:numRef>
              <c:f>Symbole!$C$38:$F$38</c:f>
              <c:numCache>
                <c:formatCode>General</c:formatCode>
                <c:ptCount val="4"/>
                <c:pt idx="0">
                  <c:v>0.5</c:v>
                </c:pt>
                <c:pt idx="1">
                  <c:v>0.5</c:v>
                </c:pt>
                <c:pt idx="2">
                  <c:v>0.5</c:v>
                </c:pt>
                <c:pt idx="3">
                  <c:v>0.5</c:v>
                </c:pt>
              </c:numCache>
            </c:numRef>
          </c:xVal>
          <c:yVal>
            <c:numRef>
              <c:f>Symbole!$G$38:$J$38</c:f>
              <c:numCache>
                <c:formatCode>General</c:formatCode>
                <c:ptCount val="4"/>
                <c:pt idx="0">
                  <c:v>0.47499999999999998</c:v>
                </c:pt>
                <c:pt idx="1">
                  <c:v>0.47499999999999998</c:v>
                </c:pt>
                <c:pt idx="2">
                  <c:v>0.47499999999999998</c:v>
                </c:pt>
                <c:pt idx="3">
                  <c:v>0.47499999999999998</c:v>
                </c:pt>
              </c:numCache>
            </c:numRef>
          </c:yVal>
          <c:smooth val="0"/>
        </c:ser>
        <c:ser>
          <c:idx val="53"/>
          <c:order val="53"/>
          <c:tx>
            <c:v>LagerH13</c:v>
          </c:tx>
          <c:spPr>
            <a:ln w="12700">
              <a:solidFill>
                <a:srgbClr val="808080"/>
              </a:solidFill>
              <a:prstDash val="solid"/>
            </a:ln>
          </c:spPr>
          <c:marker>
            <c:symbol val="none"/>
          </c:marker>
          <c:xVal>
            <c:numRef>
              <c:f>Symbole!$C$39:$F$39</c:f>
              <c:numCache>
                <c:formatCode>General</c:formatCode>
                <c:ptCount val="4"/>
                <c:pt idx="0">
                  <c:v>0.5</c:v>
                </c:pt>
                <c:pt idx="1">
                  <c:v>0.5</c:v>
                </c:pt>
                <c:pt idx="2">
                  <c:v>0.5</c:v>
                </c:pt>
                <c:pt idx="3">
                  <c:v>0.5</c:v>
                </c:pt>
              </c:numCache>
            </c:numRef>
          </c:xVal>
          <c:yVal>
            <c:numRef>
              <c:f>Symbole!$G$39:$J$39</c:f>
              <c:numCache>
                <c:formatCode>General</c:formatCode>
                <c:ptCount val="4"/>
                <c:pt idx="0">
                  <c:v>0.47499999999999998</c:v>
                </c:pt>
                <c:pt idx="1">
                  <c:v>0.47499999999999998</c:v>
                </c:pt>
                <c:pt idx="2">
                  <c:v>0.47499999999999998</c:v>
                </c:pt>
                <c:pt idx="3">
                  <c:v>0.47499999999999998</c:v>
                </c:pt>
              </c:numCache>
            </c:numRef>
          </c:yVal>
          <c:smooth val="0"/>
        </c:ser>
        <c:ser>
          <c:idx val="54"/>
          <c:order val="54"/>
          <c:tx>
            <c:v>LagerH14</c:v>
          </c:tx>
          <c:spPr>
            <a:ln w="12700">
              <a:solidFill>
                <a:srgbClr val="808080"/>
              </a:solidFill>
              <a:prstDash val="solid"/>
            </a:ln>
          </c:spPr>
          <c:marker>
            <c:symbol val="none"/>
          </c:marker>
          <c:xVal>
            <c:numRef>
              <c:f>Symbole!$C$40:$F$40</c:f>
              <c:numCache>
                <c:formatCode>General</c:formatCode>
                <c:ptCount val="4"/>
                <c:pt idx="0">
                  <c:v>0.5</c:v>
                </c:pt>
                <c:pt idx="1">
                  <c:v>0.5</c:v>
                </c:pt>
                <c:pt idx="2">
                  <c:v>0.5</c:v>
                </c:pt>
                <c:pt idx="3">
                  <c:v>0.5</c:v>
                </c:pt>
              </c:numCache>
            </c:numRef>
          </c:xVal>
          <c:yVal>
            <c:numRef>
              <c:f>Symbole!$G$40:$J$40</c:f>
              <c:numCache>
                <c:formatCode>General</c:formatCode>
                <c:ptCount val="4"/>
                <c:pt idx="0">
                  <c:v>0.47499999999999998</c:v>
                </c:pt>
                <c:pt idx="1">
                  <c:v>0.47499999999999998</c:v>
                </c:pt>
                <c:pt idx="2">
                  <c:v>0.47499999999999998</c:v>
                </c:pt>
                <c:pt idx="3">
                  <c:v>0.47499999999999998</c:v>
                </c:pt>
              </c:numCache>
            </c:numRef>
          </c:yVal>
          <c:smooth val="0"/>
        </c:ser>
        <c:ser>
          <c:idx val="55"/>
          <c:order val="55"/>
          <c:tx>
            <c:v>LagerH15</c:v>
          </c:tx>
          <c:spPr>
            <a:ln w="12700">
              <a:solidFill>
                <a:srgbClr val="808080"/>
              </a:solidFill>
              <a:prstDash val="solid"/>
            </a:ln>
          </c:spPr>
          <c:marker>
            <c:symbol val="none"/>
          </c:marker>
          <c:xVal>
            <c:numRef>
              <c:f>Symbole!$C$41:$F$41</c:f>
              <c:numCache>
                <c:formatCode>General</c:formatCode>
                <c:ptCount val="4"/>
                <c:pt idx="0">
                  <c:v>0.5</c:v>
                </c:pt>
                <c:pt idx="1">
                  <c:v>0.5</c:v>
                </c:pt>
                <c:pt idx="2">
                  <c:v>0.5</c:v>
                </c:pt>
                <c:pt idx="3">
                  <c:v>0.5</c:v>
                </c:pt>
              </c:numCache>
            </c:numRef>
          </c:xVal>
          <c:yVal>
            <c:numRef>
              <c:f>Symbole!$G$41:$J$41</c:f>
              <c:numCache>
                <c:formatCode>General</c:formatCode>
                <c:ptCount val="4"/>
                <c:pt idx="0">
                  <c:v>0.47499999999999998</c:v>
                </c:pt>
                <c:pt idx="1">
                  <c:v>0.47499999999999998</c:v>
                </c:pt>
                <c:pt idx="2">
                  <c:v>0.47499999999999998</c:v>
                </c:pt>
                <c:pt idx="3">
                  <c:v>0.47499999999999998</c:v>
                </c:pt>
              </c:numCache>
            </c:numRef>
          </c:yVal>
          <c:smooth val="0"/>
        </c:ser>
        <c:ser>
          <c:idx val="56"/>
          <c:order val="56"/>
          <c:tx>
            <c:v>LagerH16</c:v>
          </c:tx>
          <c:spPr>
            <a:ln w="12700">
              <a:solidFill>
                <a:srgbClr val="808080"/>
              </a:solidFill>
              <a:prstDash val="solid"/>
            </a:ln>
          </c:spPr>
          <c:marker>
            <c:symbol val="none"/>
          </c:marker>
          <c:xVal>
            <c:numRef>
              <c:f>Symbole!$C$42:$F$42</c:f>
              <c:numCache>
                <c:formatCode>General</c:formatCode>
                <c:ptCount val="4"/>
                <c:pt idx="0">
                  <c:v>0.5</c:v>
                </c:pt>
                <c:pt idx="1">
                  <c:v>0.5</c:v>
                </c:pt>
                <c:pt idx="2">
                  <c:v>0.5</c:v>
                </c:pt>
                <c:pt idx="3">
                  <c:v>0.5</c:v>
                </c:pt>
              </c:numCache>
            </c:numRef>
          </c:xVal>
          <c:yVal>
            <c:numRef>
              <c:f>Symbole!$G$42:$J$42</c:f>
              <c:numCache>
                <c:formatCode>General</c:formatCode>
                <c:ptCount val="4"/>
                <c:pt idx="0">
                  <c:v>0.47499999999999998</c:v>
                </c:pt>
                <c:pt idx="1">
                  <c:v>0.47499999999999998</c:v>
                </c:pt>
                <c:pt idx="2">
                  <c:v>0.47499999999999998</c:v>
                </c:pt>
                <c:pt idx="3">
                  <c:v>0.47499999999999998</c:v>
                </c:pt>
              </c:numCache>
            </c:numRef>
          </c:yVal>
          <c:smooth val="0"/>
        </c:ser>
        <c:ser>
          <c:idx val="57"/>
          <c:order val="57"/>
          <c:tx>
            <c:v>LagerH17</c:v>
          </c:tx>
          <c:spPr>
            <a:ln w="12700">
              <a:solidFill>
                <a:srgbClr val="808080"/>
              </a:solidFill>
              <a:prstDash val="solid"/>
            </a:ln>
          </c:spPr>
          <c:marker>
            <c:symbol val="none"/>
          </c:marker>
          <c:xVal>
            <c:numRef>
              <c:f>Symbole!$C$43:$F$43</c:f>
              <c:numCache>
                <c:formatCode>General</c:formatCode>
                <c:ptCount val="4"/>
                <c:pt idx="0">
                  <c:v>0.5</c:v>
                </c:pt>
                <c:pt idx="1">
                  <c:v>0.5</c:v>
                </c:pt>
                <c:pt idx="2">
                  <c:v>0.5</c:v>
                </c:pt>
                <c:pt idx="3">
                  <c:v>0.5</c:v>
                </c:pt>
              </c:numCache>
            </c:numRef>
          </c:xVal>
          <c:yVal>
            <c:numRef>
              <c:f>Symbole!$G$43:$J$43</c:f>
              <c:numCache>
                <c:formatCode>General</c:formatCode>
                <c:ptCount val="4"/>
                <c:pt idx="0">
                  <c:v>0.47499999999999998</c:v>
                </c:pt>
                <c:pt idx="1">
                  <c:v>0.47499999999999998</c:v>
                </c:pt>
                <c:pt idx="2">
                  <c:v>0.47499999999999998</c:v>
                </c:pt>
                <c:pt idx="3">
                  <c:v>0.47499999999999998</c:v>
                </c:pt>
              </c:numCache>
            </c:numRef>
          </c:yVal>
          <c:smooth val="0"/>
        </c:ser>
        <c:ser>
          <c:idx val="58"/>
          <c:order val="58"/>
          <c:tx>
            <c:v>LagerH18</c:v>
          </c:tx>
          <c:spPr>
            <a:ln w="12700">
              <a:solidFill>
                <a:srgbClr val="808080"/>
              </a:solidFill>
              <a:prstDash val="solid"/>
            </a:ln>
          </c:spPr>
          <c:marker>
            <c:symbol val="none"/>
          </c:marker>
          <c:xVal>
            <c:numRef>
              <c:f>Symbole!$C$44:$F$44</c:f>
              <c:numCache>
                <c:formatCode>General</c:formatCode>
                <c:ptCount val="4"/>
                <c:pt idx="0">
                  <c:v>0.5</c:v>
                </c:pt>
                <c:pt idx="1">
                  <c:v>0.5</c:v>
                </c:pt>
                <c:pt idx="2">
                  <c:v>0.5</c:v>
                </c:pt>
                <c:pt idx="3">
                  <c:v>0.5</c:v>
                </c:pt>
              </c:numCache>
            </c:numRef>
          </c:xVal>
          <c:yVal>
            <c:numRef>
              <c:f>Symbole!$G$44:$J$44</c:f>
              <c:numCache>
                <c:formatCode>General</c:formatCode>
                <c:ptCount val="4"/>
                <c:pt idx="0">
                  <c:v>0.47499999999999998</c:v>
                </c:pt>
                <c:pt idx="1">
                  <c:v>0.47499999999999998</c:v>
                </c:pt>
                <c:pt idx="2">
                  <c:v>0.47499999999999998</c:v>
                </c:pt>
                <c:pt idx="3">
                  <c:v>0.47499999999999998</c:v>
                </c:pt>
              </c:numCache>
            </c:numRef>
          </c:yVal>
          <c:smooth val="0"/>
        </c:ser>
        <c:ser>
          <c:idx val="59"/>
          <c:order val="59"/>
          <c:tx>
            <c:v>LagerH19</c:v>
          </c:tx>
          <c:spPr>
            <a:ln w="12700">
              <a:solidFill>
                <a:srgbClr val="808080"/>
              </a:solidFill>
              <a:prstDash val="solid"/>
            </a:ln>
          </c:spPr>
          <c:marker>
            <c:symbol val="none"/>
          </c:marker>
          <c:xVal>
            <c:numRef>
              <c:f>Symbole!$C$45:$F$45</c:f>
              <c:numCache>
                <c:formatCode>General</c:formatCode>
                <c:ptCount val="4"/>
                <c:pt idx="0">
                  <c:v>0.5</c:v>
                </c:pt>
                <c:pt idx="1">
                  <c:v>0.5</c:v>
                </c:pt>
                <c:pt idx="2">
                  <c:v>0.5</c:v>
                </c:pt>
                <c:pt idx="3">
                  <c:v>0.5</c:v>
                </c:pt>
              </c:numCache>
            </c:numRef>
          </c:xVal>
          <c:yVal>
            <c:numRef>
              <c:f>Symbole!$G$45:$J$45</c:f>
              <c:numCache>
                <c:formatCode>General</c:formatCode>
                <c:ptCount val="4"/>
                <c:pt idx="0">
                  <c:v>0.47499999999999998</c:v>
                </c:pt>
                <c:pt idx="1">
                  <c:v>0.47499999999999998</c:v>
                </c:pt>
                <c:pt idx="2">
                  <c:v>0.47499999999999998</c:v>
                </c:pt>
                <c:pt idx="3">
                  <c:v>0.47499999999999998</c:v>
                </c:pt>
              </c:numCache>
            </c:numRef>
          </c:yVal>
          <c:smooth val="0"/>
        </c:ser>
        <c:ser>
          <c:idx val="60"/>
          <c:order val="60"/>
          <c:tx>
            <c:v>LagerH20</c:v>
          </c:tx>
          <c:spPr>
            <a:ln w="12700">
              <a:solidFill>
                <a:srgbClr val="808080"/>
              </a:solidFill>
              <a:prstDash val="solid"/>
            </a:ln>
          </c:spPr>
          <c:marker>
            <c:symbol val="none"/>
          </c:marker>
          <c:xVal>
            <c:numRef>
              <c:f>Symbole!$C$46:$F$46</c:f>
              <c:numCache>
                <c:formatCode>General</c:formatCode>
                <c:ptCount val="4"/>
                <c:pt idx="0">
                  <c:v>0.5</c:v>
                </c:pt>
                <c:pt idx="1">
                  <c:v>0.5</c:v>
                </c:pt>
                <c:pt idx="2">
                  <c:v>0.5</c:v>
                </c:pt>
                <c:pt idx="3">
                  <c:v>0.5</c:v>
                </c:pt>
              </c:numCache>
            </c:numRef>
          </c:xVal>
          <c:yVal>
            <c:numRef>
              <c:f>Symbole!$G$46:$J$46</c:f>
              <c:numCache>
                <c:formatCode>General</c:formatCode>
                <c:ptCount val="4"/>
                <c:pt idx="0">
                  <c:v>0.47499999999999998</c:v>
                </c:pt>
                <c:pt idx="1">
                  <c:v>0.47499999999999998</c:v>
                </c:pt>
                <c:pt idx="2">
                  <c:v>0.47499999999999998</c:v>
                </c:pt>
                <c:pt idx="3">
                  <c:v>0.47499999999999998</c:v>
                </c:pt>
              </c:numCache>
            </c:numRef>
          </c:yVal>
          <c:smooth val="0"/>
        </c:ser>
        <c:ser>
          <c:idx val="61"/>
          <c:order val="61"/>
          <c:tx>
            <c:v>LagerR1</c:v>
          </c:tx>
          <c:spPr>
            <a:ln w="12700">
              <a:solidFill>
                <a:srgbClr val="808080"/>
              </a:solidFill>
              <a:prstDash val="solid"/>
            </a:ln>
          </c:spPr>
          <c:marker>
            <c:symbol val="none"/>
          </c:marker>
          <c:xVal>
            <c:numRef>
              <c:f>Symbole!$C$50:$G$50</c:f>
              <c:numCache>
                <c:formatCode>General</c:formatCode>
                <c:ptCount val="5"/>
                <c:pt idx="0">
                  <c:v>0</c:v>
                </c:pt>
                <c:pt idx="1">
                  <c:v>0</c:v>
                </c:pt>
                <c:pt idx="2">
                  <c:v>0</c:v>
                </c:pt>
                <c:pt idx="3">
                  <c:v>0</c:v>
                </c:pt>
                <c:pt idx="4">
                  <c:v>0</c:v>
                </c:pt>
              </c:numCache>
            </c:numRef>
          </c:xVal>
          <c:yVal>
            <c:numRef>
              <c:f>Symbole!$H$50:$L$50</c:f>
              <c:numCache>
                <c:formatCode>General</c:formatCode>
                <c:ptCount val="5"/>
                <c:pt idx="0">
                  <c:v>0.75</c:v>
                </c:pt>
                <c:pt idx="1">
                  <c:v>0.75</c:v>
                </c:pt>
                <c:pt idx="2">
                  <c:v>0.75</c:v>
                </c:pt>
                <c:pt idx="3">
                  <c:v>0.75</c:v>
                </c:pt>
                <c:pt idx="4">
                  <c:v>0.75</c:v>
                </c:pt>
              </c:numCache>
            </c:numRef>
          </c:yVal>
          <c:smooth val="0"/>
        </c:ser>
        <c:ser>
          <c:idx val="62"/>
          <c:order val="62"/>
          <c:tx>
            <c:v>LagerR2</c:v>
          </c:tx>
          <c:spPr>
            <a:ln w="12700">
              <a:solidFill>
                <a:srgbClr val="808080"/>
              </a:solidFill>
              <a:prstDash val="solid"/>
            </a:ln>
          </c:spPr>
          <c:marker>
            <c:symbol val="none"/>
          </c:marker>
          <c:xVal>
            <c:numRef>
              <c:f>Symbole!$C$51:$G$51</c:f>
              <c:numCache>
                <c:formatCode>General</c:formatCode>
                <c:ptCount val="5"/>
                <c:pt idx="0">
                  <c:v>0.5</c:v>
                </c:pt>
                <c:pt idx="1">
                  <c:v>0.5</c:v>
                </c:pt>
                <c:pt idx="2">
                  <c:v>0.5</c:v>
                </c:pt>
                <c:pt idx="3">
                  <c:v>0.5</c:v>
                </c:pt>
                <c:pt idx="4">
                  <c:v>0.5</c:v>
                </c:pt>
              </c:numCache>
            </c:numRef>
          </c:xVal>
          <c:yVal>
            <c:numRef>
              <c:f>Symbole!$H$51:$L$51</c:f>
              <c:numCache>
                <c:formatCode>General</c:formatCode>
                <c:ptCount val="5"/>
                <c:pt idx="0">
                  <c:v>0.25</c:v>
                </c:pt>
                <c:pt idx="1">
                  <c:v>0.25</c:v>
                </c:pt>
                <c:pt idx="2">
                  <c:v>0.25</c:v>
                </c:pt>
                <c:pt idx="3">
                  <c:v>0.25</c:v>
                </c:pt>
                <c:pt idx="4">
                  <c:v>0.25</c:v>
                </c:pt>
              </c:numCache>
            </c:numRef>
          </c:yVal>
          <c:smooth val="0"/>
        </c:ser>
        <c:ser>
          <c:idx val="63"/>
          <c:order val="63"/>
          <c:tx>
            <c:v>LagerR3</c:v>
          </c:tx>
          <c:spPr>
            <a:ln w="12700">
              <a:solidFill>
                <a:srgbClr val="808080"/>
              </a:solidFill>
              <a:prstDash val="solid"/>
            </a:ln>
          </c:spPr>
          <c:marker>
            <c:symbol val="none"/>
          </c:marker>
          <c:xVal>
            <c:numRef>
              <c:f>Symbole!$C$52:$G$52</c:f>
              <c:numCache>
                <c:formatCode>General</c:formatCode>
                <c:ptCount val="5"/>
                <c:pt idx="0">
                  <c:v>1</c:v>
                </c:pt>
                <c:pt idx="1">
                  <c:v>1</c:v>
                </c:pt>
                <c:pt idx="2">
                  <c:v>1</c:v>
                </c:pt>
                <c:pt idx="3">
                  <c:v>1</c:v>
                </c:pt>
                <c:pt idx="4">
                  <c:v>1</c:v>
                </c:pt>
              </c:numCache>
            </c:numRef>
          </c:xVal>
          <c:yVal>
            <c:numRef>
              <c:f>Symbole!$H$52:$L$52</c:f>
              <c:numCache>
                <c:formatCode>General</c:formatCode>
                <c:ptCount val="5"/>
                <c:pt idx="0">
                  <c:v>0.25</c:v>
                </c:pt>
                <c:pt idx="1">
                  <c:v>0.25</c:v>
                </c:pt>
                <c:pt idx="2">
                  <c:v>0.25</c:v>
                </c:pt>
                <c:pt idx="3">
                  <c:v>0.25</c:v>
                </c:pt>
                <c:pt idx="4">
                  <c:v>0.25</c:v>
                </c:pt>
              </c:numCache>
            </c:numRef>
          </c:yVal>
          <c:smooth val="0"/>
        </c:ser>
        <c:ser>
          <c:idx val="64"/>
          <c:order val="64"/>
          <c:tx>
            <c:v>LagerR4</c:v>
          </c:tx>
          <c:spPr>
            <a:ln w="12700">
              <a:solidFill>
                <a:srgbClr val="808080"/>
              </a:solidFill>
              <a:prstDash val="solid"/>
            </a:ln>
          </c:spPr>
          <c:marker>
            <c:symbol val="none"/>
          </c:marker>
          <c:xVal>
            <c:numRef>
              <c:f>Symbole!$C$53:$G$53</c:f>
              <c:numCache>
                <c:formatCode>General</c:formatCode>
                <c:ptCount val="5"/>
                <c:pt idx="0">
                  <c:v>0.5</c:v>
                </c:pt>
                <c:pt idx="1">
                  <c:v>0.5</c:v>
                </c:pt>
                <c:pt idx="2">
                  <c:v>0.5</c:v>
                </c:pt>
                <c:pt idx="3">
                  <c:v>0.5</c:v>
                </c:pt>
                <c:pt idx="4">
                  <c:v>0.5</c:v>
                </c:pt>
              </c:numCache>
            </c:numRef>
          </c:xVal>
          <c:yVal>
            <c:numRef>
              <c:f>Symbole!$H$53:$L$53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5"/>
          <c:order val="65"/>
          <c:tx>
            <c:v>LagerR5</c:v>
          </c:tx>
          <c:spPr>
            <a:ln w="12700">
              <a:solidFill>
                <a:srgbClr val="808080"/>
              </a:solidFill>
              <a:prstDash val="solid"/>
            </a:ln>
          </c:spPr>
          <c:marker>
            <c:symbol val="none"/>
          </c:marker>
          <c:xVal>
            <c:numRef>
              <c:f>Symbole!$C$54:$G$54</c:f>
              <c:numCache>
                <c:formatCode>General</c:formatCode>
                <c:ptCount val="5"/>
                <c:pt idx="0">
                  <c:v>0.5</c:v>
                </c:pt>
                <c:pt idx="1">
                  <c:v>0.5</c:v>
                </c:pt>
                <c:pt idx="2">
                  <c:v>0.5</c:v>
                </c:pt>
                <c:pt idx="3">
                  <c:v>0.5</c:v>
                </c:pt>
                <c:pt idx="4">
                  <c:v>0.5</c:v>
                </c:pt>
              </c:numCache>
            </c:numRef>
          </c:xVal>
          <c:yVal>
            <c:numRef>
              <c:f>Symbole!$H$54:$L$54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6"/>
          <c:order val="66"/>
          <c:tx>
            <c:v>LagerR6</c:v>
          </c:tx>
          <c:spPr>
            <a:ln w="12700">
              <a:solidFill>
                <a:srgbClr val="808080"/>
              </a:solidFill>
              <a:prstDash val="solid"/>
            </a:ln>
          </c:spPr>
          <c:marker>
            <c:symbol val="none"/>
          </c:marker>
          <c:xVal>
            <c:numRef>
              <c:f>Symbole!$C$55:$G$55</c:f>
              <c:numCache>
                <c:formatCode>General</c:formatCode>
                <c:ptCount val="5"/>
                <c:pt idx="0">
                  <c:v>0.5</c:v>
                </c:pt>
                <c:pt idx="1">
                  <c:v>0.5</c:v>
                </c:pt>
                <c:pt idx="2">
                  <c:v>0.5</c:v>
                </c:pt>
                <c:pt idx="3">
                  <c:v>0.5</c:v>
                </c:pt>
                <c:pt idx="4">
                  <c:v>0.5</c:v>
                </c:pt>
              </c:numCache>
            </c:numRef>
          </c:xVal>
          <c:yVal>
            <c:numRef>
              <c:f>Symbole!$H$55:$L$55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7"/>
          <c:order val="67"/>
          <c:tx>
            <c:v>LagerR7</c:v>
          </c:tx>
          <c:spPr>
            <a:ln w="12700">
              <a:solidFill>
                <a:srgbClr val="808080"/>
              </a:solidFill>
              <a:prstDash val="solid"/>
            </a:ln>
          </c:spPr>
          <c:marker>
            <c:symbol val="none"/>
          </c:marker>
          <c:xVal>
            <c:numRef>
              <c:f>Symbole!$C$56:$G$56</c:f>
              <c:numCache>
                <c:formatCode>General</c:formatCode>
                <c:ptCount val="5"/>
                <c:pt idx="0">
                  <c:v>0.5</c:v>
                </c:pt>
                <c:pt idx="1">
                  <c:v>0.5</c:v>
                </c:pt>
                <c:pt idx="2">
                  <c:v>0.5</c:v>
                </c:pt>
                <c:pt idx="3">
                  <c:v>0.5</c:v>
                </c:pt>
                <c:pt idx="4">
                  <c:v>0.5</c:v>
                </c:pt>
              </c:numCache>
            </c:numRef>
          </c:xVal>
          <c:yVal>
            <c:numRef>
              <c:f>Symbole!$H$56:$L$56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8"/>
          <c:order val="68"/>
          <c:tx>
            <c:v>LagerR8</c:v>
          </c:tx>
          <c:spPr>
            <a:ln w="12700">
              <a:solidFill>
                <a:srgbClr val="808080"/>
              </a:solidFill>
              <a:prstDash val="solid"/>
            </a:ln>
          </c:spPr>
          <c:marker>
            <c:symbol val="none"/>
          </c:marker>
          <c:xVal>
            <c:numRef>
              <c:f>Symbole!$C$57:$G$57</c:f>
              <c:numCache>
                <c:formatCode>General</c:formatCode>
                <c:ptCount val="5"/>
                <c:pt idx="0">
                  <c:v>0.5</c:v>
                </c:pt>
                <c:pt idx="1">
                  <c:v>0.5</c:v>
                </c:pt>
                <c:pt idx="2">
                  <c:v>0.5</c:v>
                </c:pt>
                <c:pt idx="3">
                  <c:v>0.5</c:v>
                </c:pt>
                <c:pt idx="4">
                  <c:v>0.5</c:v>
                </c:pt>
              </c:numCache>
            </c:numRef>
          </c:xVal>
          <c:yVal>
            <c:numRef>
              <c:f>Symbole!$H$57:$L$57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9"/>
          <c:order val="69"/>
          <c:tx>
            <c:v>LagerR9</c:v>
          </c:tx>
          <c:spPr>
            <a:ln w="12700">
              <a:solidFill>
                <a:srgbClr val="808080"/>
              </a:solidFill>
              <a:prstDash val="solid"/>
            </a:ln>
          </c:spPr>
          <c:marker>
            <c:symbol val="none"/>
          </c:marker>
          <c:xVal>
            <c:numRef>
              <c:f>Symbole!$C$58:$G$58</c:f>
              <c:numCache>
                <c:formatCode>General</c:formatCode>
                <c:ptCount val="5"/>
                <c:pt idx="0">
                  <c:v>0.5</c:v>
                </c:pt>
                <c:pt idx="1">
                  <c:v>0.5</c:v>
                </c:pt>
                <c:pt idx="2">
                  <c:v>0.5</c:v>
                </c:pt>
                <c:pt idx="3">
                  <c:v>0.5</c:v>
                </c:pt>
                <c:pt idx="4">
                  <c:v>0.5</c:v>
                </c:pt>
              </c:numCache>
            </c:numRef>
          </c:xVal>
          <c:yVal>
            <c:numRef>
              <c:f>Symbole!$H$58:$L$58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0"/>
          <c:order val="70"/>
          <c:tx>
            <c:v>LagerR10</c:v>
          </c:tx>
          <c:spPr>
            <a:ln w="12700">
              <a:solidFill>
                <a:srgbClr val="808080"/>
              </a:solidFill>
              <a:prstDash val="solid"/>
            </a:ln>
          </c:spPr>
          <c:marker>
            <c:symbol val="none"/>
          </c:marker>
          <c:xVal>
            <c:numRef>
              <c:f>Symbole!$C$59:$G$59</c:f>
              <c:numCache>
                <c:formatCode>General</c:formatCode>
                <c:ptCount val="5"/>
                <c:pt idx="0">
                  <c:v>0.5</c:v>
                </c:pt>
                <c:pt idx="1">
                  <c:v>0.5</c:v>
                </c:pt>
                <c:pt idx="2">
                  <c:v>0.5</c:v>
                </c:pt>
                <c:pt idx="3">
                  <c:v>0.5</c:v>
                </c:pt>
                <c:pt idx="4">
                  <c:v>0.5</c:v>
                </c:pt>
              </c:numCache>
            </c:numRef>
          </c:xVal>
          <c:yVal>
            <c:numRef>
              <c:f>Symbole!$H$59:$L$59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1"/>
          <c:order val="71"/>
          <c:tx>
            <c:v>LagerR11</c:v>
          </c:tx>
          <c:spPr>
            <a:ln w="12700">
              <a:solidFill>
                <a:srgbClr val="808080"/>
              </a:solidFill>
              <a:prstDash val="solid"/>
            </a:ln>
          </c:spPr>
          <c:marker>
            <c:symbol val="none"/>
          </c:marker>
          <c:xVal>
            <c:numRef>
              <c:f>Symbole!$C$60:$G$60</c:f>
              <c:numCache>
                <c:formatCode>General</c:formatCode>
                <c:ptCount val="5"/>
                <c:pt idx="0">
                  <c:v>0.5</c:v>
                </c:pt>
                <c:pt idx="1">
                  <c:v>0.5</c:v>
                </c:pt>
                <c:pt idx="2">
                  <c:v>0.5</c:v>
                </c:pt>
                <c:pt idx="3">
                  <c:v>0.5</c:v>
                </c:pt>
                <c:pt idx="4">
                  <c:v>0.5</c:v>
                </c:pt>
              </c:numCache>
            </c:numRef>
          </c:xVal>
          <c:yVal>
            <c:numRef>
              <c:f>Symbole!$H$60:$L$60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2"/>
          <c:order val="72"/>
          <c:tx>
            <c:v>LagerR12</c:v>
          </c:tx>
          <c:spPr>
            <a:ln w="12700">
              <a:solidFill>
                <a:srgbClr val="808080"/>
              </a:solidFill>
              <a:prstDash val="solid"/>
            </a:ln>
          </c:spPr>
          <c:marker>
            <c:symbol val="none"/>
          </c:marker>
          <c:xVal>
            <c:numRef>
              <c:f>Symbole!$C$61:$G$61</c:f>
              <c:numCache>
                <c:formatCode>General</c:formatCode>
                <c:ptCount val="5"/>
                <c:pt idx="0">
                  <c:v>0.5</c:v>
                </c:pt>
                <c:pt idx="1">
                  <c:v>0.5</c:v>
                </c:pt>
                <c:pt idx="2">
                  <c:v>0.5</c:v>
                </c:pt>
                <c:pt idx="3">
                  <c:v>0.5</c:v>
                </c:pt>
                <c:pt idx="4">
                  <c:v>0.5</c:v>
                </c:pt>
              </c:numCache>
            </c:numRef>
          </c:xVal>
          <c:yVal>
            <c:numRef>
              <c:f>Symbole!$H$61:$L$61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3"/>
          <c:order val="73"/>
          <c:tx>
            <c:v>LagerR13</c:v>
          </c:tx>
          <c:spPr>
            <a:ln w="12700">
              <a:solidFill>
                <a:srgbClr val="808080"/>
              </a:solidFill>
              <a:prstDash val="solid"/>
            </a:ln>
          </c:spPr>
          <c:marker>
            <c:symbol val="none"/>
          </c:marker>
          <c:xVal>
            <c:numRef>
              <c:f>Symbole!$C$62:$G$62</c:f>
              <c:numCache>
                <c:formatCode>General</c:formatCode>
                <c:ptCount val="5"/>
                <c:pt idx="0">
                  <c:v>0.5</c:v>
                </c:pt>
                <c:pt idx="1">
                  <c:v>0.5</c:v>
                </c:pt>
                <c:pt idx="2">
                  <c:v>0.5</c:v>
                </c:pt>
                <c:pt idx="3">
                  <c:v>0.5</c:v>
                </c:pt>
                <c:pt idx="4">
                  <c:v>0.5</c:v>
                </c:pt>
              </c:numCache>
            </c:numRef>
          </c:xVal>
          <c:yVal>
            <c:numRef>
              <c:f>Symbole!$H$62:$L$62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4"/>
          <c:order val="74"/>
          <c:tx>
            <c:v>LagerR14</c:v>
          </c:tx>
          <c:spPr>
            <a:ln w="12700">
              <a:solidFill>
                <a:srgbClr val="808080"/>
              </a:solidFill>
              <a:prstDash val="solid"/>
            </a:ln>
          </c:spPr>
          <c:marker>
            <c:symbol val="none"/>
          </c:marker>
          <c:xVal>
            <c:numRef>
              <c:f>Symbole!$C$63:$G$63</c:f>
              <c:numCache>
                <c:formatCode>General</c:formatCode>
                <c:ptCount val="5"/>
                <c:pt idx="0">
                  <c:v>0.5</c:v>
                </c:pt>
                <c:pt idx="1">
                  <c:v>0.5</c:v>
                </c:pt>
                <c:pt idx="2">
                  <c:v>0.5</c:v>
                </c:pt>
                <c:pt idx="3">
                  <c:v>0.5</c:v>
                </c:pt>
                <c:pt idx="4">
                  <c:v>0.5</c:v>
                </c:pt>
              </c:numCache>
            </c:numRef>
          </c:xVal>
          <c:yVal>
            <c:numRef>
              <c:f>Symbole!$H$63:$L$63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5"/>
          <c:order val="75"/>
          <c:tx>
            <c:v>LagerR15</c:v>
          </c:tx>
          <c:spPr>
            <a:ln w="12700">
              <a:solidFill>
                <a:srgbClr val="808080"/>
              </a:solidFill>
              <a:prstDash val="solid"/>
            </a:ln>
          </c:spPr>
          <c:marker>
            <c:symbol val="none"/>
          </c:marker>
          <c:xVal>
            <c:numRef>
              <c:f>Symbole!$C$64:$G$64</c:f>
              <c:numCache>
                <c:formatCode>General</c:formatCode>
                <c:ptCount val="5"/>
                <c:pt idx="0">
                  <c:v>0.5</c:v>
                </c:pt>
                <c:pt idx="1">
                  <c:v>0.5</c:v>
                </c:pt>
                <c:pt idx="2">
                  <c:v>0.5</c:v>
                </c:pt>
                <c:pt idx="3">
                  <c:v>0.5</c:v>
                </c:pt>
                <c:pt idx="4">
                  <c:v>0.5</c:v>
                </c:pt>
              </c:numCache>
            </c:numRef>
          </c:xVal>
          <c:yVal>
            <c:numRef>
              <c:f>Symbole!$H$64:$L$64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6"/>
          <c:order val="76"/>
          <c:tx>
            <c:v>LagerR16</c:v>
          </c:tx>
          <c:spPr>
            <a:ln w="12700">
              <a:solidFill>
                <a:srgbClr val="808080"/>
              </a:solidFill>
              <a:prstDash val="solid"/>
            </a:ln>
          </c:spPr>
          <c:marker>
            <c:symbol val="none"/>
          </c:marker>
          <c:xVal>
            <c:numRef>
              <c:f>Symbole!$C$65:$G$65</c:f>
              <c:numCache>
                <c:formatCode>General</c:formatCode>
                <c:ptCount val="5"/>
                <c:pt idx="0">
                  <c:v>0.5</c:v>
                </c:pt>
                <c:pt idx="1">
                  <c:v>0.5</c:v>
                </c:pt>
                <c:pt idx="2">
                  <c:v>0.5</c:v>
                </c:pt>
                <c:pt idx="3">
                  <c:v>0.5</c:v>
                </c:pt>
                <c:pt idx="4">
                  <c:v>0.5</c:v>
                </c:pt>
              </c:numCache>
            </c:numRef>
          </c:xVal>
          <c:yVal>
            <c:numRef>
              <c:f>Symbole!$H$65:$L$65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7"/>
          <c:order val="77"/>
          <c:tx>
            <c:v>LagerR17</c:v>
          </c:tx>
          <c:spPr>
            <a:ln w="12700">
              <a:solidFill>
                <a:srgbClr val="808080"/>
              </a:solidFill>
              <a:prstDash val="solid"/>
            </a:ln>
          </c:spPr>
          <c:marker>
            <c:symbol val="none"/>
          </c:marker>
          <c:xVal>
            <c:numRef>
              <c:f>Symbole!$C$66:$G$66</c:f>
              <c:numCache>
                <c:formatCode>General</c:formatCode>
                <c:ptCount val="5"/>
                <c:pt idx="0">
                  <c:v>0.5</c:v>
                </c:pt>
                <c:pt idx="1">
                  <c:v>0.5</c:v>
                </c:pt>
                <c:pt idx="2">
                  <c:v>0.5</c:v>
                </c:pt>
                <c:pt idx="3">
                  <c:v>0.5</c:v>
                </c:pt>
                <c:pt idx="4">
                  <c:v>0.5</c:v>
                </c:pt>
              </c:numCache>
            </c:numRef>
          </c:xVal>
          <c:yVal>
            <c:numRef>
              <c:f>Symbole!$H$66:$L$66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8"/>
          <c:order val="78"/>
          <c:tx>
            <c:v>LagerR18</c:v>
          </c:tx>
          <c:spPr>
            <a:ln w="12700">
              <a:solidFill>
                <a:srgbClr val="808080"/>
              </a:solidFill>
              <a:prstDash val="solid"/>
            </a:ln>
          </c:spPr>
          <c:marker>
            <c:symbol val="none"/>
          </c:marker>
          <c:xVal>
            <c:numRef>
              <c:f>Symbole!$C$67:$G$67</c:f>
              <c:numCache>
                <c:formatCode>General</c:formatCode>
                <c:ptCount val="5"/>
                <c:pt idx="0">
                  <c:v>0.5</c:v>
                </c:pt>
                <c:pt idx="1">
                  <c:v>0.5</c:v>
                </c:pt>
                <c:pt idx="2">
                  <c:v>0.5</c:v>
                </c:pt>
                <c:pt idx="3">
                  <c:v>0.5</c:v>
                </c:pt>
                <c:pt idx="4">
                  <c:v>0.5</c:v>
                </c:pt>
              </c:numCache>
            </c:numRef>
          </c:xVal>
          <c:yVal>
            <c:numRef>
              <c:f>Symbole!$H$67:$L$67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9"/>
          <c:order val="79"/>
          <c:tx>
            <c:v>LagerR19</c:v>
          </c:tx>
          <c:spPr>
            <a:ln w="12700">
              <a:solidFill>
                <a:srgbClr val="808080"/>
              </a:solidFill>
              <a:prstDash val="solid"/>
            </a:ln>
          </c:spPr>
          <c:marker>
            <c:symbol val="none"/>
          </c:marker>
          <c:xVal>
            <c:numRef>
              <c:f>Symbole!$C$68:$G$68</c:f>
              <c:numCache>
                <c:formatCode>General</c:formatCode>
                <c:ptCount val="5"/>
                <c:pt idx="0">
                  <c:v>0.5</c:v>
                </c:pt>
                <c:pt idx="1">
                  <c:v>0.5</c:v>
                </c:pt>
                <c:pt idx="2">
                  <c:v>0.5</c:v>
                </c:pt>
                <c:pt idx="3">
                  <c:v>0.5</c:v>
                </c:pt>
                <c:pt idx="4">
                  <c:v>0.5</c:v>
                </c:pt>
              </c:numCache>
            </c:numRef>
          </c:xVal>
          <c:yVal>
            <c:numRef>
              <c:f>Symbole!$H$68:$L$68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0"/>
          <c:order val="80"/>
          <c:tx>
            <c:v>LagerR20</c:v>
          </c:tx>
          <c:spPr>
            <a:ln w="12700">
              <a:solidFill>
                <a:srgbClr val="808080"/>
              </a:solidFill>
              <a:prstDash val="solid"/>
            </a:ln>
          </c:spPr>
          <c:marker>
            <c:symbol val="none"/>
          </c:marker>
          <c:xVal>
            <c:numRef>
              <c:f>Symbole!$C$69:$G$69</c:f>
              <c:numCache>
                <c:formatCode>General</c:formatCode>
                <c:ptCount val="5"/>
                <c:pt idx="0">
                  <c:v>0.5</c:v>
                </c:pt>
                <c:pt idx="1">
                  <c:v>0.5</c:v>
                </c:pt>
                <c:pt idx="2">
                  <c:v>0.5</c:v>
                </c:pt>
                <c:pt idx="3">
                  <c:v>0.5</c:v>
                </c:pt>
                <c:pt idx="4">
                  <c:v>0.5</c:v>
                </c:pt>
              </c:numCache>
            </c:numRef>
          </c:xVal>
          <c:yVal>
            <c:numRef>
              <c:f>Symbole!$H$69:$L$69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1"/>
          <c:order val="81"/>
          <c:tx>
            <c:v>KnotenkraftV1</c:v>
          </c:tx>
          <c:spPr>
            <a:ln w="12700">
              <a:solidFill>
                <a:srgbClr val="808080"/>
              </a:solidFill>
              <a:prstDash val="solid"/>
            </a:ln>
          </c:spPr>
          <c:marker>
            <c:symbol val="none"/>
          </c:marker>
          <c:xVal>
            <c:numRef>
              <c:f>KLasten!$C$4:$G$4</c:f>
              <c:numCache>
                <c:formatCode>General</c:formatCode>
                <c:ptCount val="5"/>
                <c:pt idx="0">
                  <c:v>0</c:v>
                </c:pt>
                <c:pt idx="1">
                  <c:v>0</c:v>
                </c:pt>
                <c:pt idx="2">
                  <c:v>0</c:v>
                </c:pt>
                <c:pt idx="3">
                  <c:v>0</c:v>
                </c:pt>
                <c:pt idx="4">
                  <c:v>0</c:v>
                </c:pt>
              </c:numCache>
            </c:numRef>
          </c:xVal>
          <c:yVal>
            <c:numRef>
              <c:f>KLasten!$H$4:$L$4</c:f>
              <c:numCache>
                <c:formatCode>General</c:formatCode>
                <c:ptCount val="5"/>
                <c:pt idx="0">
                  <c:v>0.75</c:v>
                </c:pt>
                <c:pt idx="1">
                  <c:v>0.75</c:v>
                </c:pt>
                <c:pt idx="2">
                  <c:v>0.75</c:v>
                </c:pt>
                <c:pt idx="3">
                  <c:v>0.75</c:v>
                </c:pt>
                <c:pt idx="4">
                  <c:v>0.75</c:v>
                </c:pt>
              </c:numCache>
            </c:numRef>
          </c:yVal>
          <c:smooth val="0"/>
        </c:ser>
        <c:ser>
          <c:idx val="82"/>
          <c:order val="82"/>
          <c:tx>
            <c:v>KnotenkraftV2</c:v>
          </c:tx>
          <c:spPr>
            <a:ln w="12700">
              <a:solidFill>
                <a:srgbClr val="808080"/>
              </a:solidFill>
              <a:prstDash val="solid"/>
            </a:ln>
          </c:spPr>
          <c:marker>
            <c:symbol val="none"/>
          </c:marker>
          <c:xVal>
            <c:numRef>
              <c:f>KLasten!$C$5:$G$5</c:f>
              <c:numCache>
                <c:formatCode>General</c:formatCode>
                <c:ptCount val="5"/>
                <c:pt idx="0">
                  <c:v>0.5</c:v>
                </c:pt>
                <c:pt idx="1">
                  <c:v>0.5</c:v>
                </c:pt>
                <c:pt idx="2">
                  <c:v>0.48744601656843534</c:v>
                </c:pt>
                <c:pt idx="3">
                  <c:v>0.51255398343156466</c:v>
                </c:pt>
                <c:pt idx="4">
                  <c:v>0.5</c:v>
                </c:pt>
              </c:numCache>
            </c:numRef>
          </c:xVal>
          <c:yVal>
            <c:numRef>
              <c:f>KLasten!$H$5:$L$5</c:f>
              <c:numCache>
                <c:formatCode>General</c:formatCode>
                <c:ptCount val="5"/>
                <c:pt idx="0">
                  <c:v>9.9352198821224064E-2</c:v>
                </c:pt>
                <c:pt idx="1">
                  <c:v>0.22489203313687067</c:v>
                </c:pt>
                <c:pt idx="2">
                  <c:v>0.18095309112639435</c:v>
                </c:pt>
                <c:pt idx="3">
                  <c:v>0.18095309112639435</c:v>
                </c:pt>
                <c:pt idx="4">
                  <c:v>0.22489203313687067</c:v>
                </c:pt>
              </c:numCache>
            </c:numRef>
          </c:yVal>
          <c:smooth val="0"/>
        </c:ser>
        <c:ser>
          <c:idx val="83"/>
          <c:order val="83"/>
          <c:tx>
            <c:v>KnotenkraftV3</c:v>
          </c:tx>
          <c:spPr>
            <a:ln w="12700">
              <a:solidFill>
                <a:srgbClr val="808080"/>
              </a:solidFill>
              <a:prstDash val="solid"/>
            </a:ln>
          </c:spPr>
          <c:marker>
            <c:symbol val="none"/>
          </c:marker>
          <c:xVal>
            <c:numRef>
              <c:f>KLasten!$C$6:$G$6</c:f>
              <c:numCache>
                <c:formatCode>General</c:formatCode>
                <c:ptCount val="5"/>
                <c:pt idx="0">
                  <c:v>1</c:v>
                </c:pt>
                <c:pt idx="1">
                  <c:v>1</c:v>
                </c:pt>
                <c:pt idx="2">
                  <c:v>1</c:v>
                </c:pt>
                <c:pt idx="3">
                  <c:v>1</c:v>
                </c:pt>
                <c:pt idx="4">
                  <c:v>1</c:v>
                </c:pt>
              </c:numCache>
            </c:numRef>
          </c:xVal>
          <c:yVal>
            <c:numRef>
              <c:f>KLasten!$H$6:$L$6</c:f>
              <c:numCache>
                <c:formatCode>General</c:formatCode>
                <c:ptCount val="5"/>
                <c:pt idx="0">
                  <c:v>0.25</c:v>
                </c:pt>
                <c:pt idx="1">
                  <c:v>0.25</c:v>
                </c:pt>
                <c:pt idx="2">
                  <c:v>0.25</c:v>
                </c:pt>
                <c:pt idx="3">
                  <c:v>0.25</c:v>
                </c:pt>
                <c:pt idx="4">
                  <c:v>0.25</c:v>
                </c:pt>
              </c:numCache>
            </c:numRef>
          </c:yVal>
          <c:smooth val="0"/>
        </c:ser>
        <c:ser>
          <c:idx val="84"/>
          <c:order val="84"/>
          <c:tx>
            <c:v>KnotenkraftV4</c:v>
          </c:tx>
          <c:spPr>
            <a:ln w="12700">
              <a:solidFill>
                <a:srgbClr val="808080"/>
              </a:solidFill>
              <a:prstDash val="solid"/>
            </a:ln>
          </c:spPr>
          <c:marker>
            <c:symbol val="none"/>
          </c:marker>
          <c:xVal>
            <c:numRef>
              <c:f>KLasten!$C$7:$G$7</c:f>
              <c:numCache>
                <c:formatCode>General</c:formatCode>
                <c:ptCount val="5"/>
                <c:pt idx="0">
                  <c:v>0.5</c:v>
                </c:pt>
                <c:pt idx="1">
                  <c:v>0.5</c:v>
                </c:pt>
                <c:pt idx="2">
                  <c:v>0.5</c:v>
                </c:pt>
                <c:pt idx="3">
                  <c:v>0.5</c:v>
                </c:pt>
                <c:pt idx="4">
                  <c:v>0.5</c:v>
                </c:pt>
              </c:numCache>
            </c:numRef>
          </c:xVal>
          <c:yVal>
            <c:numRef>
              <c:f>KLasten!$H$7:$L$7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5"/>
          <c:order val="85"/>
          <c:tx>
            <c:v>KnotenkraftV5</c:v>
          </c:tx>
          <c:spPr>
            <a:ln w="12700">
              <a:solidFill>
                <a:srgbClr val="808080"/>
              </a:solidFill>
              <a:prstDash val="solid"/>
            </a:ln>
          </c:spPr>
          <c:marker>
            <c:symbol val="none"/>
          </c:marker>
          <c:xVal>
            <c:numRef>
              <c:f>KLasten!$C$8:$G$8</c:f>
              <c:numCache>
                <c:formatCode>General</c:formatCode>
                <c:ptCount val="5"/>
                <c:pt idx="0">
                  <c:v>0.5</c:v>
                </c:pt>
                <c:pt idx="1">
                  <c:v>0.5</c:v>
                </c:pt>
                <c:pt idx="2">
                  <c:v>0.5</c:v>
                </c:pt>
                <c:pt idx="3">
                  <c:v>0.5</c:v>
                </c:pt>
                <c:pt idx="4">
                  <c:v>0.5</c:v>
                </c:pt>
              </c:numCache>
            </c:numRef>
          </c:xVal>
          <c:yVal>
            <c:numRef>
              <c:f>KLasten!$H$8:$L$8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6"/>
          <c:order val="86"/>
          <c:tx>
            <c:v>KnotenkraftV6</c:v>
          </c:tx>
          <c:spPr>
            <a:ln w="12700">
              <a:solidFill>
                <a:srgbClr val="808080"/>
              </a:solidFill>
              <a:prstDash val="solid"/>
            </a:ln>
          </c:spPr>
          <c:marker>
            <c:symbol val="none"/>
          </c:marker>
          <c:xVal>
            <c:numRef>
              <c:f>KLasten!$C$9:$G$9</c:f>
              <c:numCache>
                <c:formatCode>General</c:formatCode>
                <c:ptCount val="5"/>
                <c:pt idx="0">
                  <c:v>0.5</c:v>
                </c:pt>
                <c:pt idx="1">
                  <c:v>0.5</c:v>
                </c:pt>
                <c:pt idx="2">
                  <c:v>0.5</c:v>
                </c:pt>
                <c:pt idx="3">
                  <c:v>0.5</c:v>
                </c:pt>
                <c:pt idx="4">
                  <c:v>0.5</c:v>
                </c:pt>
              </c:numCache>
            </c:numRef>
          </c:xVal>
          <c:yVal>
            <c:numRef>
              <c:f>KLasten!$H$9:$L$9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7"/>
          <c:order val="87"/>
          <c:tx>
            <c:v>KnotenkraftV7</c:v>
          </c:tx>
          <c:spPr>
            <a:ln w="12700">
              <a:solidFill>
                <a:srgbClr val="808080"/>
              </a:solidFill>
              <a:prstDash val="solid"/>
            </a:ln>
          </c:spPr>
          <c:marker>
            <c:symbol val="none"/>
          </c:marker>
          <c:xVal>
            <c:numRef>
              <c:f>KLasten!$C$10:$G$10</c:f>
              <c:numCache>
                <c:formatCode>General</c:formatCode>
                <c:ptCount val="5"/>
                <c:pt idx="0">
                  <c:v>0.5</c:v>
                </c:pt>
                <c:pt idx="1">
                  <c:v>0.5</c:v>
                </c:pt>
                <c:pt idx="2">
                  <c:v>0.5</c:v>
                </c:pt>
                <c:pt idx="3">
                  <c:v>0.5</c:v>
                </c:pt>
                <c:pt idx="4">
                  <c:v>0.5</c:v>
                </c:pt>
              </c:numCache>
            </c:numRef>
          </c:xVal>
          <c:yVal>
            <c:numRef>
              <c:f>KLasten!$H$10:$L$10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8"/>
          <c:order val="88"/>
          <c:tx>
            <c:v>KnotenkraftV8</c:v>
          </c:tx>
          <c:spPr>
            <a:ln w="12700">
              <a:solidFill>
                <a:srgbClr val="808080"/>
              </a:solidFill>
              <a:prstDash val="solid"/>
            </a:ln>
          </c:spPr>
          <c:marker>
            <c:symbol val="none"/>
          </c:marker>
          <c:xVal>
            <c:numRef>
              <c:f>KLasten!$C$11:$G$11</c:f>
              <c:numCache>
                <c:formatCode>General</c:formatCode>
                <c:ptCount val="5"/>
                <c:pt idx="0">
                  <c:v>0.5</c:v>
                </c:pt>
                <c:pt idx="1">
                  <c:v>0.5</c:v>
                </c:pt>
                <c:pt idx="2">
                  <c:v>0.5</c:v>
                </c:pt>
                <c:pt idx="3">
                  <c:v>0.5</c:v>
                </c:pt>
                <c:pt idx="4">
                  <c:v>0.5</c:v>
                </c:pt>
              </c:numCache>
            </c:numRef>
          </c:xVal>
          <c:yVal>
            <c:numRef>
              <c:f>KLasten!$H$11:$L$11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9"/>
          <c:order val="89"/>
          <c:tx>
            <c:v>KnotenkraftV9</c:v>
          </c:tx>
          <c:spPr>
            <a:ln w="12700">
              <a:solidFill>
                <a:srgbClr val="808080"/>
              </a:solidFill>
              <a:prstDash val="solid"/>
            </a:ln>
          </c:spPr>
          <c:marker>
            <c:symbol val="none"/>
          </c:marker>
          <c:xVal>
            <c:numRef>
              <c:f>KLasten!$C$12:$G$12</c:f>
              <c:numCache>
                <c:formatCode>General</c:formatCode>
                <c:ptCount val="5"/>
                <c:pt idx="0">
                  <c:v>0.5</c:v>
                </c:pt>
                <c:pt idx="1">
                  <c:v>0.5</c:v>
                </c:pt>
                <c:pt idx="2">
                  <c:v>0.5</c:v>
                </c:pt>
                <c:pt idx="3">
                  <c:v>0.5</c:v>
                </c:pt>
                <c:pt idx="4">
                  <c:v>0.5</c:v>
                </c:pt>
              </c:numCache>
            </c:numRef>
          </c:xVal>
          <c:yVal>
            <c:numRef>
              <c:f>KLasten!$H$12:$L$12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0"/>
          <c:order val="90"/>
          <c:tx>
            <c:v>KnotenkraftV10</c:v>
          </c:tx>
          <c:spPr>
            <a:ln w="12700">
              <a:solidFill>
                <a:srgbClr val="808080"/>
              </a:solidFill>
              <a:prstDash val="solid"/>
            </a:ln>
          </c:spPr>
          <c:marker>
            <c:symbol val="none"/>
          </c:marker>
          <c:xVal>
            <c:numRef>
              <c:f>KLasten!$C$13:$G$13</c:f>
              <c:numCache>
                <c:formatCode>General</c:formatCode>
                <c:ptCount val="5"/>
                <c:pt idx="0">
                  <c:v>0.5</c:v>
                </c:pt>
                <c:pt idx="1">
                  <c:v>0.5</c:v>
                </c:pt>
                <c:pt idx="2">
                  <c:v>0.5</c:v>
                </c:pt>
                <c:pt idx="3">
                  <c:v>0.5</c:v>
                </c:pt>
                <c:pt idx="4">
                  <c:v>0.5</c:v>
                </c:pt>
              </c:numCache>
            </c:numRef>
          </c:xVal>
          <c:yVal>
            <c:numRef>
              <c:f>KLasten!$H$13:$L$13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1"/>
          <c:order val="91"/>
          <c:tx>
            <c:v>KnotenkraftV11</c:v>
          </c:tx>
          <c:spPr>
            <a:ln w="12700">
              <a:solidFill>
                <a:srgbClr val="808080"/>
              </a:solidFill>
              <a:prstDash val="solid"/>
            </a:ln>
          </c:spPr>
          <c:marker>
            <c:symbol val="none"/>
          </c:marker>
          <c:xVal>
            <c:numRef>
              <c:f>KLasten!$C$14:$G$14</c:f>
              <c:numCache>
                <c:formatCode>General</c:formatCode>
                <c:ptCount val="5"/>
                <c:pt idx="0">
                  <c:v>0.5</c:v>
                </c:pt>
                <c:pt idx="1">
                  <c:v>0.5</c:v>
                </c:pt>
                <c:pt idx="2">
                  <c:v>0.5</c:v>
                </c:pt>
                <c:pt idx="3">
                  <c:v>0.5</c:v>
                </c:pt>
                <c:pt idx="4">
                  <c:v>0.5</c:v>
                </c:pt>
              </c:numCache>
            </c:numRef>
          </c:xVal>
          <c:yVal>
            <c:numRef>
              <c:f>KLasten!$H$14:$L$14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2"/>
          <c:order val="92"/>
          <c:tx>
            <c:v>KnotenkraftV12</c:v>
          </c:tx>
          <c:spPr>
            <a:ln w="12700">
              <a:solidFill>
                <a:srgbClr val="808080"/>
              </a:solidFill>
              <a:prstDash val="solid"/>
            </a:ln>
          </c:spPr>
          <c:marker>
            <c:symbol val="none"/>
          </c:marker>
          <c:xVal>
            <c:numRef>
              <c:f>KLasten!$C$15:$G$15</c:f>
              <c:numCache>
                <c:formatCode>General</c:formatCode>
                <c:ptCount val="5"/>
                <c:pt idx="0">
                  <c:v>0.5</c:v>
                </c:pt>
                <c:pt idx="1">
                  <c:v>0.5</c:v>
                </c:pt>
                <c:pt idx="2">
                  <c:v>0.5</c:v>
                </c:pt>
                <c:pt idx="3">
                  <c:v>0.5</c:v>
                </c:pt>
                <c:pt idx="4">
                  <c:v>0.5</c:v>
                </c:pt>
              </c:numCache>
            </c:numRef>
          </c:xVal>
          <c:yVal>
            <c:numRef>
              <c:f>KLasten!$H$15:$L$15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3"/>
          <c:order val="93"/>
          <c:tx>
            <c:v>KnotenkraftV13</c:v>
          </c:tx>
          <c:spPr>
            <a:ln w="12700">
              <a:solidFill>
                <a:srgbClr val="808080"/>
              </a:solidFill>
              <a:prstDash val="solid"/>
            </a:ln>
          </c:spPr>
          <c:marker>
            <c:symbol val="none"/>
          </c:marker>
          <c:xVal>
            <c:numRef>
              <c:f>KLasten!$C$16:$G$16</c:f>
              <c:numCache>
                <c:formatCode>General</c:formatCode>
                <c:ptCount val="5"/>
                <c:pt idx="0">
                  <c:v>0.5</c:v>
                </c:pt>
                <c:pt idx="1">
                  <c:v>0.5</c:v>
                </c:pt>
                <c:pt idx="2">
                  <c:v>0.5</c:v>
                </c:pt>
                <c:pt idx="3">
                  <c:v>0.5</c:v>
                </c:pt>
                <c:pt idx="4">
                  <c:v>0.5</c:v>
                </c:pt>
              </c:numCache>
            </c:numRef>
          </c:xVal>
          <c:yVal>
            <c:numRef>
              <c:f>KLasten!$H$16:$L$16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4"/>
          <c:order val="94"/>
          <c:tx>
            <c:v>KnotenkraftV14</c:v>
          </c:tx>
          <c:spPr>
            <a:ln w="12700">
              <a:solidFill>
                <a:srgbClr val="808080"/>
              </a:solidFill>
              <a:prstDash val="solid"/>
            </a:ln>
          </c:spPr>
          <c:marker>
            <c:symbol val="none"/>
          </c:marker>
          <c:xVal>
            <c:numRef>
              <c:f>KLasten!$C$17:$G$17</c:f>
              <c:numCache>
                <c:formatCode>General</c:formatCode>
                <c:ptCount val="5"/>
                <c:pt idx="0">
                  <c:v>0.5</c:v>
                </c:pt>
                <c:pt idx="1">
                  <c:v>0.5</c:v>
                </c:pt>
                <c:pt idx="2">
                  <c:v>0.5</c:v>
                </c:pt>
                <c:pt idx="3">
                  <c:v>0.5</c:v>
                </c:pt>
                <c:pt idx="4">
                  <c:v>0.5</c:v>
                </c:pt>
              </c:numCache>
            </c:numRef>
          </c:xVal>
          <c:yVal>
            <c:numRef>
              <c:f>KLasten!$H$17:$L$17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5"/>
          <c:order val="95"/>
          <c:tx>
            <c:v>KnotenkraftV15</c:v>
          </c:tx>
          <c:spPr>
            <a:ln w="12700">
              <a:solidFill>
                <a:srgbClr val="808080"/>
              </a:solidFill>
              <a:prstDash val="solid"/>
            </a:ln>
          </c:spPr>
          <c:marker>
            <c:symbol val="none"/>
          </c:marker>
          <c:xVal>
            <c:numRef>
              <c:f>KLasten!$C$18:$G$18</c:f>
              <c:numCache>
                <c:formatCode>General</c:formatCode>
                <c:ptCount val="5"/>
                <c:pt idx="0">
                  <c:v>0.5</c:v>
                </c:pt>
                <c:pt idx="1">
                  <c:v>0.5</c:v>
                </c:pt>
                <c:pt idx="2">
                  <c:v>0.5</c:v>
                </c:pt>
                <c:pt idx="3">
                  <c:v>0.5</c:v>
                </c:pt>
                <c:pt idx="4">
                  <c:v>0.5</c:v>
                </c:pt>
              </c:numCache>
            </c:numRef>
          </c:xVal>
          <c:yVal>
            <c:numRef>
              <c:f>KLasten!$H$18:$L$18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6"/>
          <c:order val="96"/>
          <c:tx>
            <c:v>KnotenkraftV16</c:v>
          </c:tx>
          <c:spPr>
            <a:ln w="12700">
              <a:solidFill>
                <a:srgbClr val="808080"/>
              </a:solidFill>
              <a:prstDash val="solid"/>
            </a:ln>
          </c:spPr>
          <c:marker>
            <c:symbol val="none"/>
          </c:marker>
          <c:xVal>
            <c:numRef>
              <c:f>KLasten!$C$19:$G$19</c:f>
              <c:numCache>
                <c:formatCode>General</c:formatCode>
                <c:ptCount val="5"/>
                <c:pt idx="0">
                  <c:v>0.5</c:v>
                </c:pt>
                <c:pt idx="1">
                  <c:v>0.5</c:v>
                </c:pt>
                <c:pt idx="2">
                  <c:v>0.5</c:v>
                </c:pt>
                <c:pt idx="3">
                  <c:v>0.5</c:v>
                </c:pt>
                <c:pt idx="4">
                  <c:v>0.5</c:v>
                </c:pt>
              </c:numCache>
            </c:numRef>
          </c:xVal>
          <c:yVal>
            <c:numRef>
              <c:f>KLasten!$H$19:$L$19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7"/>
          <c:order val="97"/>
          <c:tx>
            <c:v>KnotenkraftV17</c:v>
          </c:tx>
          <c:spPr>
            <a:ln w="12700">
              <a:solidFill>
                <a:srgbClr val="808080"/>
              </a:solidFill>
              <a:prstDash val="solid"/>
            </a:ln>
          </c:spPr>
          <c:marker>
            <c:symbol val="none"/>
          </c:marker>
          <c:xVal>
            <c:numRef>
              <c:f>KLasten!$C$20:$G$20</c:f>
              <c:numCache>
                <c:formatCode>General</c:formatCode>
                <c:ptCount val="5"/>
                <c:pt idx="0">
                  <c:v>0.5</c:v>
                </c:pt>
                <c:pt idx="1">
                  <c:v>0.5</c:v>
                </c:pt>
                <c:pt idx="2">
                  <c:v>0.5</c:v>
                </c:pt>
                <c:pt idx="3">
                  <c:v>0.5</c:v>
                </c:pt>
                <c:pt idx="4">
                  <c:v>0.5</c:v>
                </c:pt>
              </c:numCache>
            </c:numRef>
          </c:xVal>
          <c:yVal>
            <c:numRef>
              <c:f>KLasten!$H$20:$L$20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8"/>
          <c:order val="98"/>
          <c:tx>
            <c:v>KnotenkraftV18</c:v>
          </c:tx>
          <c:spPr>
            <a:ln w="12700">
              <a:solidFill>
                <a:srgbClr val="808080"/>
              </a:solidFill>
              <a:prstDash val="solid"/>
            </a:ln>
          </c:spPr>
          <c:marker>
            <c:symbol val="none"/>
          </c:marker>
          <c:xVal>
            <c:numRef>
              <c:f>KLasten!$C$21:$G$21</c:f>
              <c:numCache>
                <c:formatCode>General</c:formatCode>
                <c:ptCount val="5"/>
                <c:pt idx="0">
                  <c:v>0.5</c:v>
                </c:pt>
                <c:pt idx="1">
                  <c:v>0.5</c:v>
                </c:pt>
                <c:pt idx="2">
                  <c:v>0.5</c:v>
                </c:pt>
                <c:pt idx="3">
                  <c:v>0.5</c:v>
                </c:pt>
                <c:pt idx="4">
                  <c:v>0.5</c:v>
                </c:pt>
              </c:numCache>
            </c:numRef>
          </c:xVal>
          <c:yVal>
            <c:numRef>
              <c:f>KLasten!$H$21:$L$21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9"/>
          <c:order val="99"/>
          <c:tx>
            <c:v>KnotenkraftV19</c:v>
          </c:tx>
          <c:spPr>
            <a:ln w="12700">
              <a:solidFill>
                <a:srgbClr val="808080"/>
              </a:solidFill>
              <a:prstDash val="solid"/>
            </a:ln>
          </c:spPr>
          <c:marker>
            <c:symbol val="none"/>
          </c:marker>
          <c:xVal>
            <c:numRef>
              <c:f>KLasten!$C$22:$G$22</c:f>
              <c:numCache>
                <c:formatCode>General</c:formatCode>
                <c:ptCount val="5"/>
                <c:pt idx="0">
                  <c:v>0.5</c:v>
                </c:pt>
                <c:pt idx="1">
                  <c:v>0.5</c:v>
                </c:pt>
                <c:pt idx="2">
                  <c:v>0.5</c:v>
                </c:pt>
                <c:pt idx="3">
                  <c:v>0.5</c:v>
                </c:pt>
                <c:pt idx="4">
                  <c:v>0.5</c:v>
                </c:pt>
              </c:numCache>
            </c:numRef>
          </c:xVal>
          <c:yVal>
            <c:numRef>
              <c:f>KLasten!$H$22:$L$22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0"/>
          <c:order val="100"/>
          <c:tx>
            <c:v>KnotenkraftV20</c:v>
          </c:tx>
          <c:spPr>
            <a:ln w="12700">
              <a:solidFill>
                <a:srgbClr val="808080"/>
              </a:solidFill>
              <a:prstDash val="solid"/>
            </a:ln>
          </c:spPr>
          <c:marker>
            <c:symbol val="none"/>
          </c:marker>
          <c:xVal>
            <c:numRef>
              <c:f>KLasten!$C$23:$G$23</c:f>
              <c:numCache>
                <c:formatCode>General</c:formatCode>
                <c:ptCount val="5"/>
                <c:pt idx="0">
                  <c:v>0.5</c:v>
                </c:pt>
                <c:pt idx="1">
                  <c:v>0.5</c:v>
                </c:pt>
                <c:pt idx="2">
                  <c:v>0.5</c:v>
                </c:pt>
                <c:pt idx="3">
                  <c:v>0.5</c:v>
                </c:pt>
                <c:pt idx="4">
                  <c:v>0.5</c:v>
                </c:pt>
              </c:numCache>
            </c:numRef>
          </c:xVal>
          <c:yVal>
            <c:numRef>
              <c:f>KLasten!$H$23:$L$23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1"/>
          <c:order val="101"/>
          <c:tx>
            <c:v>KnotenkratftH1</c:v>
          </c:tx>
          <c:spPr>
            <a:ln w="12700">
              <a:solidFill>
                <a:srgbClr val="808080"/>
              </a:solidFill>
              <a:prstDash val="solid"/>
            </a:ln>
          </c:spPr>
          <c:marker>
            <c:symbol val="none"/>
          </c:marker>
          <c:xVal>
            <c:numRef>
              <c:f>KLasten!$C$27:$G$27</c:f>
              <c:numCache>
                <c:formatCode>General</c:formatCode>
                <c:ptCount val="5"/>
                <c:pt idx="0">
                  <c:v>0</c:v>
                </c:pt>
                <c:pt idx="1">
                  <c:v>0</c:v>
                </c:pt>
                <c:pt idx="2">
                  <c:v>0</c:v>
                </c:pt>
                <c:pt idx="3">
                  <c:v>0</c:v>
                </c:pt>
                <c:pt idx="4">
                  <c:v>0</c:v>
                </c:pt>
              </c:numCache>
            </c:numRef>
          </c:xVal>
          <c:yVal>
            <c:numRef>
              <c:f>KLasten!$H$27:$L$27</c:f>
              <c:numCache>
                <c:formatCode>General</c:formatCode>
                <c:ptCount val="5"/>
                <c:pt idx="0">
                  <c:v>0.75</c:v>
                </c:pt>
                <c:pt idx="1">
                  <c:v>0.75</c:v>
                </c:pt>
                <c:pt idx="2">
                  <c:v>0.75</c:v>
                </c:pt>
                <c:pt idx="3">
                  <c:v>0.75</c:v>
                </c:pt>
                <c:pt idx="4">
                  <c:v>0.75</c:v>
                </c:pt>
              </c:numCache>
            </c:numRef>
          </c:yVal>
          <c:smooth val="0"/>
        </c:ser>
        <c:ser>
          <c:idx val="102"/>
          <c:order val="102"/>
          <c:tx>
            <c:v>KnotenkratftH2</c:v>
          </c:tx>
          <c:spPr>
            <a:ln w="12700">
              <a:solidFill>
                <a:srgbClr val="808080"/>
              </a:solidFill>
              <a:prstDash val="solid"/>
            </a:ln>
          </c:spPr>
          <c:marker>
            <c:symbol val="none"/>
          </c:marker>
          <c:xVal>
            <c:numRef>
              <c:f>KLasten!$C$28:$G$28</c:f>
              <c:numCache>
                <c:formatCode>General</c:formatCode>
                <c:ptCount val="5"/>
                <c:pt idx="0">
                  <c:v>0.5</c:v>
                </c:pt>
                <c:pt idx="1">
                  <c:v>0.5</c:v>
                </c:pt>
                <c:pt idx="2">
                  <c:v>0.5</c:v>
                </c:pt>
                <c:pt idx="3">
                  <c:v>0.5</c:v>
                </c:pt>
                <c:pt idx="4">
                  <c:v>0.5</c:v>
                </c:pt>
              </c:numCache>
            </c:numRef>
          </c:xVal>
          <c:yVal>
            <c:numRef>
              <c:f>KLasten!$H$28:$L$28</c:f>
              <c:numCache>
                <c:formatCode>General</c:formatCode>
                <c:ptCount val="5"/>
                <c:pt idx="0">
                  <c:v>0.25</c:v>
                </c:pt>
                <c:pt idx="1">
                  <c:v>0.25</c:v>
                </c:pt>
                <c:pt idx="2">
                  <c:v>0.25</c:v>
                </c:pt>
                <c:pt idx="3">
                  <c:v>0.25</c:v>
                </c:pt>
                <c:pt idx="4">
                  <c:v>0.25</c:v>
                </c:pt>
              </c:numCache>
            </c:numRef>
          </c:yVal>
          <c:smooth val="0"/>
        </c:ser>
        <c:ser>
          <c:idx val="103"/>
          <c:order val="103"/>
          <c:tx>
            <c:v>KnotenkratftH3</c:v>
          </c:tx>
          <c:spPr>
            <a:ln w="12700">
              <a:solidFill>
                <a:srgbClr val="808080"/>
              </a:solidFill>
              <a:prstDash val="solid"/>
            </a:ln>
          </c:spPr>
          <c:marker>
            <c:symbol val="none"/>
          </c:marker>
          <c:xVal>
            <c:numRef>
              <c:f>KLasten!$C$29:$G$29</c:f>
              <c:numCache>
                <c:formatCode>General</c:formatCode>
                <c:ptCount val="5"/>
                <c:pt idx="0">
                  <c:v>1</c:v>
                </c:pt>
                <c:pt idx="1">
                  <c:v>1</c:v>
                </c:pt>
                <c:pt idx="2">
                  <c:v>1</c:v>
                </c:pt>
                <c:pt idx="3">
                  <c:v>1</c:v>
                </c:pt>
                <c:pt idx="4">
                  <c:v>1</c:v>
                </c:pt>
              </c:numCache>
            </c:numRef>
          </c:xVal>
          <c:yVal>
            <c:numRef>
              <c:f>KLasten!$H$29:$L$29</c:f>
              <c:numCache>
                <c:formatCode>General</c:formatCode>
                <c:ptCount val="5"/>
                <c:pt idx="0">
                  <c:v>0.25</c:v>
                </c:pt>
                <c:pt idx="1">
                  <c:v>0.25</c:v>
                </c:pt>
                <c:pt idx="2">
                  <c:v>0.25</c:v>
                </c:pt>
                <c:pt idx="3">
                  <c:v>0.25</c:v>
                </c:pt>
                <c:pt idx="4">
                  <c:v>0.25</c:v>
                </c:pt>
              </c:numCache>
            </c:numRef>
          </c:yVal>
          <c:smooth val="0"/>
        </c:ser>
        <c:ser>
          <c:idx val="104"/>
          <c:order val="104"/>
          <c:tx>
            <c:v>KnotenkratftH4</c:v>
          </c:tx>
          <c:spPr>
            <a:ln w="12700">
              <a:solidFill>
                <a:srgbClr val="808080"/>
              </a:solidFill>
              <a:prstDash val="solid"/>
            </a:ln>
          </c:spPr>
          <c:marker>
            <c:symbol val="none"/>
          </c:marker>
          <c:xVal>
            <c:numRef>
              <c:f>KLasten!$C$30:$G$30</c:f>
              <c:numCache>
                <c:formatCode>General</c:formatCode>
                <c:ptCount val="5"/>
                <c:pt idx="0">
                  <c:v>0.5</c:v>
                </c:pt>
                <c:pt idx="1">
                  <c:v>0.5</c:v>
                </c:pt>
                <c:pt idx="2">
                  <c:v>0.5</c:v>
                </c:pt>
                <c:pt idx="3">
                  <c:v>0.5</c:v>
                </c:pt>
                <c:pt idx="4">
                  <c:v>0.5</c:v>
                </c:pt>
              </c:numCache>
            </c:numRef>
          </c:xVal>
          <c:yVal>
            <c:numRef>
              <c:f>KLasten!$H$30:$L$30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5"/>
          <c:order val="105"/>
          <c:tx>
            <c:v>KnotenkratftH5</c:v>
          </c:tx>
          <c:spPr>
            <a:ln w="12700">
              <a:solidFill>
                <a:srgbClr val="808080"/>
              </a:solidFill>
              <a:prstDash val="solid"/>
            </a:ln>
          </c:spPr>
          <c:marker>
            <c:symbol val="none"/>
          </c:marker>
          <c:xVal>
            <c:numRef>
              <c:f>KLasten!$C$31:$G$31</c:f>
              <c:numCache>
                <c:formatCode>General</c:formatCode>
                <c:ptCount val="5"/>
                <c:pt idx="0">
                  <c:v>0.5</c:v>
                </c:pt>
                <c:pt idx="1">
                  <c:v>0.5</c:v>
                </c:pt>
                <c:pt idx="2">
                  <c:v>0.5</c:v>
                </c:pt>
                <c:pt idx="3">
                  <c:v>0.5</c:v>
                </c:pt>
                <c:pt idx="4">
                  <c:v>0.5</c:v>
                </c:pt>
              </c:numCache>
            </c:numRef>
          </c:xVal>
          <c:yVal>
            <c:numRef>
              <c:f>KLasten!$H$31:$L$31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6"/>
          <c:order val="106"/>
          <c:tx>
            <c:v>KnotenkratftH6</c:v>
          </c:tx>
          <c:spPr>
            <a:ln w="12700">
              <a:solidFill>
                <a:srgbClr val="808080"/>
              </a:solidFill>
              <a:prstDash val="solid"/>
            </a:ln>
          </c:spPr>
          <c:marker>
            <c:symbol val="none"/>
          </c:marker>
          <c:xVal>
            <c:numRef>
              <c:f>KLasten!$C$32:$G$32</c:f>
              <c:numCache>
                <c:formatCode>General</c:formatCode>
                <c:ptCount val="5"/>
                <c:pt idx="0">
                  <c:v>0.5</c:v>
                </c:pt>
                <c:pt idx="1">
                  <c:v>0.5</c:v>
                </c:pt>
                <c:pt idx="2">
                  <c:v>0.5</c:v>
                </c:pt>
                <c:pt idx="3">
                  <c:v>0.5</c:v>
                </c:pt>
                <c:pt idx="4">
                  <c:v>0.5</c:v>
                </c:pt>
              </c:numCache>
            </c:numRef>
          </c:xVal>
          <c:yVal>
            <c:numRef>
              <c:f>KLasten!$H$32:$L$32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7"/>
          <c:order val="107"/>
          <c:tx>
            <c:v>KnotenkratftH7</c:v>
          </c:tx>
          <c:spPr>
            <a:ln w="12700">
              <a:solidFill>
                <a:srgbClr val="808080"/>
              </a:solidFill>
              <a:prstDash val="solid"/>
            </a:ln>
          </c:spPr>
          <c:marker>
            <c:symbol val="none"/>
          </c:marker>
          <c:xVal>
            <c:numRef>
              <c:f>KLasten!$C$33:$G$33</c:f>
              <c:numCache>
                <c:formatCode>General</c:formatCode>
                <c:ptCount val="5"/>
                <c:pt idx="0">
                  <c:v>0.5</c:v>
                </c:pt>
                <c:pt idx="1">
                  <c:v>0.5</c:v>
                </c:pt>
                <c:pt idx="2">
                  <c:v>0.5</c:v>
                </c:pt>
                <c:pt idx="3">
                  <c:v>0.5</c:v>
                </c:pt>
                <c:pt idx="4">
                  <c:v>0.5</c:v>
                </c:pt>
              </c:numCache>
            </c:numRef>
          </c:xVal>
          <c:yVal>
            <c:numRef>
              <c:f>KLasten!$H$33:$L$33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8"/>
          <c:order val="108"/>
          <c:tx>
            <c:v>KnotenkratftH8</c:v>
          </c:tx>
          <c:spPr>
            <a:ln w="12700">
              <a:solidFill>
                <a:srgbClr val="808080"/>
              </a:solidFill>
              <a:prstDash val="solid"/>
            </a:ln>
          </c:spPr>
          <c:marker>
            <c:symbol val="none"/>
          </c:marker>
          <c:xVal>
            <c:numRef>
              <c:f>KLasten!$C$34:$G$34</c:f>
              <c:numCache>
                <c:formatCode>General</c:formatCode>
                <c:ptCount val="5"/>
                <c:pt idx="0">
                  <c:v>0.5</c:v>
                </c:pt>
                <c:pt idx="1">
                  <c:v>0.5</c:v>
                </c:pt>
                <c:pt idx="2">
                  <c:v>0.5</c:v>
                </c:pt>
                <c:pt idx="3">
                  <c:v>0.5</c:v>
                </c:pt>
                <c:pt idx="4">
                  <c:v>0.5</c:v>
                </c:pt>
              </c:numCache>
            </c:numRef>
          </c:xVal>
          <c:yVal>
            <c:numRef>
              <c:f>KLasten!$H$34:$L$34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9"/>
          <c:order val="109"/>
          <c:tx>
            <c:v>KnotenkratftH9</c:v>
          </c:tx>
          <c:spPr>
            <a:ln w="12700">
              <a:solidFill>
                <a:srgbClr val="808080"/>
              </a:solidFill>
              <a:prstDash val="solid"/>
            </a:ln>
          </c:spPr>
          <c:marker>
            <c:symbol val="none"/>
          </c:marker>
          <c:xVal>
            <c:numRef>
              <c:f>KLasten!$C$35:$G$35</c:f>
              <c:numCache>
                <c:formatCode>General</c:formatCode>
                <c:ptCount val="5"/>
                <c:pt idx="0">
                  <c:v>0.5</c:v>
                </c:pt>
                <c:pt idx="1">
                  <c:v>0.5</c:v>
                </c:pt>
                <c:pt idx="2">
                  <c:v>0.5</c:v>
                </c:pt>
                <c:pt idx="3">
                  <c:v>0.5</c:v>
                </c:pt>
                <c:pt idx="4">
                  <c:v>0.5</c:v>
                </c:pt>
              </c:numCache>
            </c:numRef>
          </c:xVal>
          <c:yVal>
            <c:numRef>
              <c:f>KLasten!$H$35:$L$35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0"/>
          <c:order val="110"/>
          <c:tx>
            <c:v>KnotenkratftH10</c:v>
          </c:tx>
          <c:spPr>
            <a:ln w="12700">
              <a:solidFill>
                <a:srgbClr val="808080"/>
              </a:solidFill>
              <a:prstDash val="solid"/>
            </a:ln>
          </c:spPr>
          <c:marker>
            <c:symbol val="none"/>
          </c:marker>
          <c:xVal>
            <c:numRef>
              <c:f>KLasten!$C$36:$G$36</c:f>
              <c:numCache>
                <c:formatCode>General</c:formatCode>
                <c:ptCount val="5"/>
                <c:pt idx="0">
                  <c:v>0.5</c:v>
                </c:pt>
                <c:pt idx="1">
                  <c:v>0.5</c:v>
                </c:pt>
                <c:pt idx="2">
                  <c:v>0.5</c:v>
                </c:pt>
                <c:pt idx="3">
                  <c:v>0.5</c:v>
                </c:pt>
                <c:pt idx="4">
                  <c:v>0.5</c:v>
                </c:pt>
              </c:numCache>
            </c:numRef>
          </c:xVal>
          <c:yVal>
            <c:numRef>
              <c:f>KLasten!$H$36:$L$36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1"/>
          <c:order val="111"/>
          <c:tx>
            <c:v>KnotenkratftH11</c:v>
          </c:tx>
          <c:spPr>
            <a:ln w="12700">
              <a:solidFill>
                <a:srgbClr val="808080"/>
              </a:solidFill>
              <a:prstDash val="solid"/>
            </a:ln>
          </c:spPr>
          <c:marker>
            <c:symbol val="none"/>
          </c:marker>
          <c:xVal>
            <c:numRef>
              <c:f>KLasten!$C$37:$G$37</c:f>
              <c:numCache>
                <c:formatCode>General</c:formatCode>
                <c:ptCount val="5"/>
                <c:pt idx="0">
                  <c:v>0.5</c:v>
                </c:pt>
                <c:pt idx="1">
                  <c:v>0.5</c:v>
                </c:pt>
                <c:pt idx="2">
                  <c:v>0.5</c:v>
                </c:pt>
                <c:pt idx="3">
                  <c:v>0.5</c:v>
                </c:pt>
                <c:pt idx="4">
                  <c:v>0.5</c:v>
                </c:pt>
              </c:numCache>
            </c:numRef>
          </c:xVal>
          <c:yVal>
            <c:numRef>
              <c:f>KLasten!$H$37:$L$37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2"/>
          <c:order val="112"/>
          <c:tx>
            <c:v>KnotenkratftH12</c:v>
          </c:tx>
          <c:spPr>
            <a:ln w="12700">
              <a:solidFill>
                <a:srgbClr val="808080"/>
              </a:solidFill>
              <a:prstDash val="solid"/>
            </a:ln>
          </c:spPr>
          <c:marker>
            <c:symbol val="none"/>
          </c:marker>
          <c:xVal>
            <c:numRef>
              <c:f>KLasten!$C$38:$G$38</c:f>
              <c:numCache>
                <c:formatCode>General</c:formatCode>
                <c:ptCount val="5"/>
                <c:pt idx="0">
                  <c:v>0.5</c:v>
                </c:pt>
                <c:pt idx="1">
                  <c:v>0.5</c:v>
                </c:pt>
                <c:pt idx="2">
                  <c:v>0.5</c:v>
                </c:pt>
                <c:pt idx="3">
                  <c:v>0.5</c:v>
                </c:pt>
                <c:pt idx="4">
                  <c:v>0.5</c:v>
                </c:pt>
              </c:numCache>
            </c:numRef>
          </c:xVal>
          <c:yVal>
            <c:numRef>
              <c:f>KLasten!$H$38:$L$38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3"/>
          <c:order val="113"/>
          <c:tx>
            <c:v>KnotenkratftH13</c:v>
          </c:tx>
          <c:spPr>
            <a:ln w="12700">
              <a:solidFill>
                <a:srgbClr val="808080"/>
              </a:solidFill>
              <a:prstDash val="solid"/>
            </a:ln>
          </c:spPr>
          <c:marker>
            <c:symbol val="none"/>
          </c:marker>
          <c:xVal>
            <c:numRef>
              <c:f>KLasten!$C$39:$G$39</c:f>
              <c:numCache>
                <c:formatCode>General</c:formatCode>
                <c:ptCount val="5"/>
                <c:pt idx="0">
                  <c:v>0.5</c:v>
                </c:pt>
                <c:pt idx="1">
                  <c:v>0.5</c:v>
                </c:pt>
                <c:pt idx="2">
                  <c:v>0.5</c:v>
                </c:pt>
                <c:pt idx="3">
                  <c:v>0.5</c:v>
                </c:pt>
                <c:pt idx="4">
                  <c:v>0.5</c:v>
                </c:pt>
              </c:numCache>
            </c:numRef>
          </c:xVal>
          <c:yVal>
            <c:numRef>
              <c:f>KLasten!$H$39:$L$39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4"/>
          <c:order val="114"/>
          <c:tx>
            <c:v>KnotenkratftH14</c:v>
          </c:tx>
          <c:spPr>
            <a:ln w="12700">
              <a:solidFill>
                <a:srgbClr val="808080"/>
              </a:solidFill>
              <a:prstDash val="solid"/>
            </a:ln>
          </c:spPr>
          <c:marker>
            <c:symbol val="none"/>
          </c:marker>
          <c:xVal>
            <c:numRef>
              <c:f>KLasten!$C$40:$G$40</c:f>
              <c:numCache>
                <c:formatCode>General</c:formatCode>
                <c:ptCount val="5"/>
                <c:pt idx="0">
                  <c:v>0.5</c:v>
                </c:pt>
                <c:pt idx="1">
                  <c:v>0.5</c:v>
                </c:pt>
                <c:pt idx="2">
                  <c:v>0.5</c:v>
                </c:pt>
                <c:pt idx="3">
                  <c:v>0.5</c:v>
                </c:pt>
                <c:pt idx="4">
                  <c:v>0.5</c:v>
                </c:pt>
              </c:numCache>
            </c:numRef>
          </c:xVal>
          <c:yVal>
            <c:numRef>
              <c:f>KLasten!$H$40:$L$40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5"/>
          <c:order val="115"/>
          <c:tx>
            <c:v>KnotenkratftH15</c:v>
          </c:tx>
          <c:spPr>
            <a:ln w="12700">
              <a:solidFill>
                <a:srgbClr val="808080"/>
              </a:solidFill>
              <a:prstDash val="solid"/>
            </a:ln>
          </c:spPr>
          <c:marker>
            <c:symbol val="none"/>
          </c:marker>
          <c:xVal>
            <c:numRef>
              <c:f>KLasten!$C$41:$G$41</c:f>
              <c:numCache>
                <c:formatCode>General</c:formatCode>
                <c:ptCount val="5"/>
                <c:pt idx="0">
                  <c:v>0.5</c:v>
                </c:pt>
                <c:pt idx="1">
                  <c:v>0.5</c:v>
                </c:pt>
                <c:pt idx="2">
                  <c:v>0.5</c:v>
                </c:pt>
                <c:pt idx="3">
                  <c:v>0.5</c:v>
                </c:pt>
                <c:pt idx="4">
                  <c:v>0.5</c:v>
                </c:pt>
              </c:numCache>
            </c:numRef>
          </c:xVal>
          <c:yVal>
            <c:numRef>
              <c:f>KLasten!$H$41:$L$41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6"/>
          <c:order val="116"/>
          <c:tx>
            <c:v>KnotenkratftH16</c:v>
          </c:tx>
          <c:spPr>
            <a:ln w="12700">
              <a:solidFill>
                <a:srgbClr val="808080"/>
              </a:solidFill>
              <a:prstDash val="solid"/>
            </a:ln>
          </c:spPr>
          <c:marker>
            <c:symbol val="none"/>
          </c:marker>
          <c:xVal>
            <c:numRef>
              <c:f>KLasten!$C$42:$G$42</c:f>
              <c:numCache>
                <c:formatCode>General</c:formatCode>
                <c:ptCount val="5"/>
                <c:pt idx="0">
                  <c:v>0.5</c:v>
                </c:pt>
                <c:pt idx="1">
                  <c:v>0.5</c:v>
                </c:pt>
                <c:pt idx="2">
                  <c:v>0.5</c:v>
                </c:pt>
                <c:pt idx="3">
                  <c:v>0.5</c:v>
                </c:pt>
                <c:pt idx="4">
                  <c:v>0.5</c:v>
                </c:pt>
              </c:numCache>
            </c:numRef>
          </c:xVal>
          <c:yVal>
            <c:numRef>
              <c:f>KLasten!$H$42:$L$42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7"/>
          <c:order val="117"/>
          <c:tx>
            <c:v>KnotenkratftH17</c:v>
          </c:tx>
          <c:spPr>
            <a:ln w="12700">
              <a:solidFill>
                <a:srgbClr val="808080"/>
              </a:solidFill>
              <a:prstDash val="solid"/>
            </a:ln>
          </c:spPr>
          <c:marker>
            <c:symbol val="none"/>
          </c:marker>
          <c:xVal>
            <c:numRef>
              <c:f>KLasten!$C$43:$G$43</c:f>
              <c:numCache>
                <c:formatCode>General</c:formatCode>
                <c:ptCount val="5"/>
                <c:pt idx="0">
                  <c:v>0.5</c:v>
                </c:pt>
                <c:pt idx="1">
                  <c:v>0.5</c:v>
                </c:pt>
                <c:pt idx="2">
                  <c:v>0.5</c:v>
                </c:pt>
                <c:pt idx="3">
                  <c:v>0.5</c:v>
                </c:pt>
                <c:pt idx="4">
                  <c:v>0.5</c:v>
                </c:pt>
              </c:numCache>
            </c:numRef>
          </c:xVal>
          <c:yVal>
            <c:numRef>
              <c:f>KLasten!$H$43:$L$43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8"/>
          <c:order val="118"/>
          <c:tx>
            <c:v>KnotenkratftH18</c:v>
          </c:tx>
          <c:spPr>
            <a:ln w="12700">
              <a:solidFill>
                <a:srgbClr val="808080"/>
              </a:solidFill>
              <a:prstDash val="solid"/>
            </a:ln>
          </c:spPr>
          <c:marker>
            <c:symbol val="none"/>
          </c:marker>
          <c:xVal>
            <c:numRef>
              <c:f>KLasten!$C$44:$G$44</c:f>
              <c:numCache>
                <c:formatCode>General</c:formatCode>
                <c:ptCount val="5"/>
                <c:pt idx="0">
                  <c:v>0.5</c:v>
                </c:pt>
                <c:pt idx="1">
                  <c:v>0.5</c:v>
                </c:pt>
                <c:pt idx="2">
                  <c:v>0.5</c:v>
                </c:pt>
                <c:pt idx="3">
                  <c:v>0.5</c:v>
                </c:pt>
                <c:pt idx="4">
                  <c:v>0.5</c:v>
                </c:pt>
              </c:numCache>
            </c:numRef>
          </c:xVal>
          <c:yVal>
            <c:numRef>
              <c:f>KLasten!$H$44:$L$44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9"/>
          <c:order val="119"/>
          <c:tx>
            <c:v>KnotenkratftH19</c:v>
          </c:tx>
          <c:spPr>
            <a:ln w="12700">
              <a:solidFill>
                <a:srgbClr val="808080"/>
              </a:solidFill>
              <a:prstDash val="solid"/>
            </a:ln>
          </c:spPr>
          <c:marker>
            <c:symbol val="none"/>
          </c:marker>
          <c:xVal>
            <c:numRef>
              <c:f>KLasten!$C$45:$G$45</c:f>
              <c:numCache>
                <c:formatCode>General</c:formatCode>
                <c:ptCount val="5"/>
                <c:pt idx="0">
                  <c:v>0.5</c:v>
                </c:pt>
                <c:pt idx="1">
                  <c:v>0.5</c:v>
                </c:pt>
                <c:pt idx="2">
                  <c:v>0.5</c:v>
                </c:pt>
                <c:pt idx="3">
                  <c:v>0.5</c:v>
                </c:pt>
                <c:pt idx="4">
                  <c:v>0.5</c:v>
                </c:pt>
              </c:numCache>
            </c:numRef>
          </c:xVal>
          <c:yVal>
            <c:numRef>
              <c:f>KLasten!$H$45:$L$45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20"/>
          <c:order val="120"/>
          <c:tx>
            <c:v>KnotenkratftH20</c:v>
          </c:tx>
          <c:spPr>
            <a:ln w="12700">
              <a:solidFill>
                <a:srgbClr val="808080"/>
              </a:solidFill>
              <a:prstDash val="solid"/>
            </a:ln>
          </c:spPr>
          <c:marker>
            <c:symbol val="none"/>
          </c:marker>
          <c:xVal>
            <c:numRef>
              <c:f>KLasten!$C$46:$G$46</c:f>
              <c:numCache>
                <c:formatCode>General</c:formatCode>
                <c:ptCount val="5"/>
                <c:pt idx="0">
                  <c:v>0.5</c:v>
                </c:pt>
                <c:pt idx="1">
                  <c:v>0.5</c:v>
                </c:pt>
                <c:pt idx="2">
                  <c:v>0.5</c:v>
                </c:pt>
                <c:pt idx="3">
                  <c:v>0.5</c:v>
                </c:pt>
                <c:pt idx="4">
                  <c:v>0.5</c:v>
                </c:pt>
              </c:numCache>
            </c:numRef>
          </c:xVal>
          <c:yVal>
            <c:numRef>
              <c:f>KLasten!$H$46:$L$46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21"/>
          <c:order val="121"/>
          <c:tx>
            <c:v>Knotenmoment1</c:v>
          </c:tx>
          <c:spPr>
            <a:ln w="12700">
              <a:solidFill>
                <a:srgbClr val="808080"/>
              </a:solidFill>
              <a:prstDash val="solid"/>
            </a:ln>
          </c:spPr>
          <c:marker>
            <c:symbol val="none"/>
          </c:marker>
          <c:xVal>
            <c:numRef>
              <c:f>KLasten!$C$50:$L$50</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KLasten!$M$50:$V$50</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2"/>
          <c:order val="122"/>
          <c:tx>
            <c:v>Knotenmoment2</c:v>
          </c:tx>
          <c:spPr>
            <a:ln w="12700">
              <a:solidFill>
                <a:srgbClr val="808080"/>
              </a:solidFill>
              <a:prstDash val="solid"/>
            </a:ln>
          </c:spPr>
          <c:marker>
            <c:symbol val="none"/>
          </c:marker>
          <c:xVal>
            <c:numRef>
              <c:f>KLasten!$C$51:$L$51</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KLasten!$M$51:$V$51</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3"/>
          <c:order val="123"/>
          <c:tx>
            <c:v>Knotenmoment3</c:v>
          </c:tx>
          <c:spPr>
            <a:ln w="12700">
              <a:solidFill>
                <a:srgbClr val="808080"/>
              </a:solidFill>
              <a:prstDash val="solid"/>
            </a:ln>
          </c:spPr>
          <c:marker>
            <c:symbol val="none"/>
          </c:marker>
          <c:xVal>
            <c:numRef>
              <c:f>KLasten!$C$52:$L$52</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KLasten!$M$52:$V$52</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4"/>
          <c:order val="124"/>
          <c:tx>
            <c:v>Knotenmoment4</c:v>
          </c:tx>
          <c:spPr>
            <a:ln w="12700">
              <a:solidFill>
                <a:srgbClr val="808080"/>
              </a:solidFill>
              <a:prstDash val="solid"/>
            </a:ln>
          </c:spPr>
          <c:marker>
            <c:symbol val="none"/>
          </c:marker>
          <c:xVal>
            <c:numRef>
              <c:f>KLasten!$C$53:$L$53</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KLasten!$M$53:$V$53</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5"/>
          <c:order val="125"/>
          <c:tx>
            <c:v>Knotenmoment5</c:v>
          </c:tx>
          <c:spPr>
            <a:ln w="12700">
              <a:solidFill>
                <a:srgbClr val="808080"/>
              </a:solidFill>
              <a:prstDash val="solid"/>
            </a:ln>
          </c:spPr>
          <c:marker>
            <c:symbol val="none"/>
          </c:marker>
          <c:xVal>
            <c:numRef>
              <c:f>KLasten!$C$54:$L$54</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KLasten!$M$54:$V$54</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6"/>
          <c:order val="126"/>
          <c:tx>
            <c:v>Knotenmoment6</c:v>
          </c:tx>
          <c:spPr>
            <a:ln w="12700">
              <a:solidFill>
                <a:srgbClr val="808080"/>
              </a:solidFill>
              <a:prstDash val="solid"/>
            </a:ln>
          </c:spPr>
          <c:marker>
            <c:symbol val="none"/>
          </c:marker>
          <c:xVal>
            <c:numRef>
              <c:f>KLasten!$C$55:$L$55</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KLasten!$M$55:$V$55</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7"/>
          <c:order val="127"/>
          <c:tx>
            <c:v>Knotenmoment7</c:v>
          </c:tx>
          <c:spPr>
            <a:ln w="12700">
              <a:solidFill>
                <a:srgbClr val="808080"/>
              </a:solidFill>
              <a:prstDash val="solid"/>
            </a:ln>
          </c:spPr>
          <c:marker>
            <c:symbol val="none"/>
          </c:marker>
          <c:xVal>
            <c:numRef>
              <c:f>KLasten!$C$56:$L$56</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KLasten!$M$56:$V$56</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8"/>
          <c:order val="128"/>
          <c:tx>
            <c:v>Knotenmoment8</c:v>
          </c:tx>
          <c:spPr>
            <a:ln w="12700">
              <a:solidFill>
                <a:srgbClr val="808080"/>
              </a:solidFill>
              <a:prstDash val="solid"/>
            </a:ln>
          </c:spPr>
          <c:marker>
            <c:symbol val="none"/>
          </c:marker>
          <c:xVal>
            <c:numRef>
              <c:f>KLasten!$C$57:$L$57</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KLasten!$M$57:$V$57</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9"/>
          <c:order val="129"/>
          <c:tx>
            <c:v>Knotenmoment9</c:v>
          </c:tx>
          <c:spPr>
            <a:ln w="12700">
              <a:solidFill>
                <a:srgbClr val="808080"/>
              </a:solidFill>
              <a:prstDash val="solid"/>
            </a:ln>
          </c:spPr>
          <c:marker>
            <c:symbol val="none"/>
          </c:marker>
          <c:xVal>
            <c:numRef>
              <c:f>KLasten!$C$58:$L$58</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KLasten!$M$58:$V$58</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0"/>
          <c:order val="130"/>
          <c:tx>
            <c:v>Knotenmoment10</c:v>
          </c:tx>
          <c:spPr>
            <a:ln w="12700">
              <a:solidFill>
                <a:srgbClr val="808080"/>
              </a:solidFill>
              <a:prstDash val="solid"/>
            </a:ln>
          </c:spPr>
          <c:marker>
            <c:symbol val="none"/>
          </c:marker>
          <c:xVal>
            <c:numRef>
              <c:f>KLasten!$C$59:$L$59</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KLasten!$M$59:$V$59</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1"/>
          <c:order val="131"/>
          <c:tx>
            <c:v>Knotenmoment11</c:v>
          </c:tx>
          <c:spPr>
            <a:ln w="12700">
              <a:solidFill>
                <a:srgbClr val="808080"/>
              </a:solidFill>
              <a:prstDash val="solid"/>
            </a:ln>
          </c:spPr>
          <c:marker>
            <c:symbol val="none"/>
          </c:marker>
          <c:xVal>
            <c:numRef>
              <c:f>KLasten!$C$60:$L$60</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KLasten!$M$60:$V$60</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2"/>
          <c:order val="132"/>
          <c:tx>
            <c:v>Knotenmoment12</c:v>
          </c:tx>
          <c:spPr>
            <a:ln w="12700">
              <a:solidFill>
                <a:srgbClr val="808080"/>
              </a:solidFill>
              <a:prstDash val="solid"/>
            </a:ln>
          </c:spPr>
          <c:marker>
            <c:symbol val="none"/>
          </c:marker>
          <c:xVal>
            <c:numRef>
              <c:f>KLasten!$C$61:$L$61</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KLasten!$M$61:$V$61</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3"/>
          <c:order val="133"/>
          <c:tx>
            <c:v>Knotenmoment13</c:v>
          </c:tx>
          <c:spPr>
            <a:ln w="12700">
              <a:solidFill>
                <a:srgbClr val="808080"/>
              </a:solidFill>
              <a:prstDash val="solid"/>
            </a:ln>
          </c:spPr>
          <c:marker>
            <c:symbol val="none"/>
          </c:marker>
          <c:xVal>
            <c:numRef>
              <c:f>KLasten!$C$62:$L$62</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KLasten!$M$62:$V$62</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4"/>
          <c:order val="134"/>
          <c:tx>
            <c:v>Knotenmoment14</c:v>
          </c:tx>
          <c:spPr>
            <a:ln w="12700">
              <a:solidFill>
                <a:srgbClr val="808080"/>
              </a:solidFill>
              <a:prstDash val="solid"/>
            </a:ln>
          </c:spPr>
          <c:marker>
            <c:symbol val="none"/>
          </c:marker>
          <c:xVal>
            <c:numRef>
              <c:f>KLasten!$C$63:$L$63</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KLasten!$M$63:$V$63</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5"/>
          <c:order val="135"/>
          <c:tx>
            <c:v>Knotenmoment15</c:v>
          </c:tx>
          <c:spPr>
            <a:ln w="12700">
              <a:solidFill>
                <a:srgbClr val="808080"/>
              </a:solidFill>
              <a:prstDash val="solid"/>
            </a:ln>
          </c:spPr>
          <c:marker>
            <c:symbol val="none"/>
          </c:marker>
          <c:xVal>
            <c:numRef>
              <c:f>KLasten!$C$64:$L$64</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KLasten!$M$64:$V$64</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6"/>
          <c:order val="136"/>
          <c:tx>
            <c:v>Knotenmoment16</c:v>
          </c:tx>
          <c:spPr>
            <a:ln w="12700">
              <a:solidFill>
                <a:srgbClr val="808080"/>
              </a:solidFill>
              <a:prstDash val="solid"/>
            </a:ln>
          </c:spPr>
          <c:marker>
            <c:symbol val="none"/>
          </c:marker>
          <c:xVal>
            <c:numRef>
              <c:f>KLasten!$C$65:$L$65</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KLasten!$M$65:$V$65</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7"/>
          <c:order val="137"/>
          <c:tx>
            <c:v>Knotenmoment17</c:v>
          </c:tx>
          <c:spPr>
            <a:ln w="12700">
              <a:solidFill>
                <a:srgbClr val="808080"/>
              </a:solidFill>
              <a:prstDash val="solid"/>
            </a:ln>
          </c:spPr>
          <c:marker>
            <c:symbol val="none"/>
          </c:marker>
          <c:xVal>
            <c:numRef>
              <c:f>KLasten!$C$66:$L$66</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KLasten!$M$66:$V$66</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8"/>
          <c:order val="138"/>
          <c:tx>
            <c:v>Knotenmoment18</c:v>
          </c:tx>
          <c:spPr>
            <a:ln w="12700">
              <a:solidFill>
                <a:srgbClr val="808080"/>
              </a:solidFill>
              <a:prstDash val="solid"/>
            </a:ln>
          </c:spPr>
          <c:marker>
            <c:symbol val="none"/>
          </c:marker>
          <c:xVal>
            <c:numRef>
              <c:f>KLasten!$C$67:$L$67</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KLasten!$M$67:$V$67</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9"/>
          <c:order val="139"/>
          <c:tx>
            <c:v>Knotenmoment19</c:v>
          </c:tx>
          <c:spPr>
            <a:ln w="12700">
              <a:solidFill>
                <a:srgbClr val="808080"/>
              </a:solidFill>
              <a:prstDash val="solid"/>
            </a:ln>
          </c:spPr>
          <c:marker>
            <c:symbol val="none"/>
          </c:marker>
          <c:xVal>
            <c:numRef>
              <c:f>KLasten!$C$68:$L$68</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KLasten!$M$68:$V$68</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40"/>
          <c:order val="140"/>
          <c:tx>
            <c:v>Knotenmoment20</c:v>
          </c:tx>
          <c:spPr>
            <a:ln w="12700">
              <a:solidFill>
                <a:srgbClr val="808080"/>
              </a:solidFill>
              <a:prstDash val="solid"/>
            </a:ln>
          </c:spPr>
          <c:marker>
            <c:symbol val="none"/>
          </c:marker>
          <c:xVal>
            <c:numRef>
              <c:f>KLasten!$C$69:$L$69</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KLasten!$M$69:$V$69</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41"/>
          <c:order val="141"/>
          <c:tx>
            <c:v>Elementlast1</c:v>
          </c:tx>
          <c:spPr>
            <a:ln w="12700">
              <a:solidFill>
                <a:srgbClr val="808080"/>
              </a:solidFill>
              <a:prstDash val="solid"/>
            </a:ln>
          </c:spPr>
          <c:marker>
            <c:symbol val="none"/>
          </c:marker>
          <c:xVal>
            <c:numRef>
              <c:f>ELasten!$B$30:$R$30</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ELasten!$S$30:$AI$30</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2"/>
          <c:order val="142"/>
          <c:tx>
            <c:v>Elementlast2</c:v>
          </c:tx>
          <c:spPr>
            <a:ln w="12700">
              <a:solidFill>
                <a:srgbClr val="808080"/>
              </a:solidFill>
              <a:prstDash val="solid"/>
            </a:ln>
          </c:spPr>
          <c:marker>
            <c:symbol val="none"/>
          </c:marker>
          <c:xVal>
            <c:numRef>
              <c:f>ELasten!$B$31:$R$31</c:f>
              <c:numCache>
                <c:formatCode>General</c:formatCode>
                <c:ptCount val="17"/>
                <c:pt idx="0">
                  <c:v>0.518830975147347</c:v>
                </c:pt>
                <c:pt idx="1">
                  <c:v>0.518830975147347</c:v>
                </c:pt>
                <c:pt idx="2">
                  <c:v>0.52510796686312933</c:v>
                </c:pt>
                <c:pt idx="3">
                  <c:v>0.51255398343156466</c:v>
                </c:pt>
                <c:pt idx="4">
                  <c:v>0.518830975147347</c:v>
                </c:pt>
                <c:pt idx="5">
                  <c:v>0.981169024852653</c:v>
                </c:pt>
                <c:pt idx="6">
                  <c:v>0.981169024852653</c:v>
                </c:pt>
                <c:pt idx="7">
                  <c:v>0.981169024852653</c:v>
                </c:pt>
                <c:pt idx="8">
                  <c:v>0.981169024852653</c:v>
                </c:pt>
                <c:pt idx="9">
                  <c:v>0.98744601656843534</c:v>
                </c:pt>
                <c:pt idx="10">
                  <c:v>0.97489203313687067</c:v>
                </c:pt>
                <c:pt idx="11">
                  <c:v>0.981169024852653</c:v>
                </c:pt>
                <c:pt idx="12">
                  <c:v>0.981169024852653</c:v>
                </c:pt>
                <c:pt idx="13">
                  <c:v>0.981169024852653</c:v>
                </c:pt>
                <c:pt idx="14">
                  <c:v>0.981169024852653</c:v>
                </c:pt>
                <c:pt idx="15">
                  <c:v>0.981169024852653</c:v>
                </c:pt>
                <c:pt idx="16">
                  <c:v>0.518830975147347</c:v>
                </c:pt>
              </c:numCache>
            </c:numRef>
          </c:xVal>
          <c:yVal>
            <c:numRef>
              <c:f>ELasten!$S$31:$AI$31</c:f>
              <c:numCache>
                <c:formatCode>General</c:formatCode>
                <c:ptCount val="17"/>
                <c:pt idx="0">
                  <c:v>0.16839910769482969</c:v>
                </c:pt>
                <c:pt idx="1">
                  <c:v>0.231169024852653</c:v>
                </c:pt>
                <c:pt idx="2">
                  <c:v>0.20919955384741484</c:v>
                </c:pt>
                <c:pt idx="3">
                  <c:v>0.20919955384741484</c:v>
                </c:pt>
                <c:pt idx="4">
                  <c:v>0.231169024852653</c:v>
                </c:pt>
                <c:pt idx="5">
                  <c:v>0.231169024852653</c:v>
                </c:pt>
                <c:pt idx="6">
                  <c:v>0.231169024852653</c:v>
                </c:pt>
                <c:pt idx="7">
                  <c:v>0.231169024852653</c:v>
                </c:pt>
                <c:pt idx="8">
                  <c:v>0.231169024852653</c:v>
                </c:pt>
                <c:pt idx="9">
                  <c:v>0.20919955384741484</c:v>
                </c:pt>
                <c:pt idx="10">
                  <c:v>0.20919955384741484</c:v>
                </c:pt>
                <c:pt idx="11">
                  <c:v>0.231169024852653</c:v>
                </c:pt>
                <c:pt idx="12">
                  <c:v>0.16839910769482969</c:v>
                </c:pt>
                <c:pt idx="13">
                  <c:v>0.16839910769482969</c:v>
                </c:pt>
                <c:pt idx="14">
                  <c:v>0.16839910769482969</c:v>
                </c:pt>
                <c:pt idx="15">
                  <c:v>0.16839910769482969</c:v>
                </c:pt>
                <c:pt idx="16">
                  <c:v>0.16839910769482969</c:v>
                </c:pt>
              </c:numCache>
            </c:numRef>
          </c:yVal>
          <c:smooth val="0"/>
        </c:ser>
        <c:ser>
          <c:idx val="143"/>
          <c:order val="143"/>
          <c:tx>
            <c:v>Elementlast3</c:v>
          </c:tx>
          <c:spPr>
            <a:ln w="12700">
              <a:solidFill>
                <a:srgbClr val="808080"/>
              </a:solidFill>
              <a:prstDash val="solid"/>
            </a:ln>
          </c:spPr>
          <c:marker>
            <c:symbol val="none"/>
          </c:marker>
          <c:xVal>
            <c:numRef>
              <c:f>ELasten!$B$32:$R$32</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ELasten!$S$32:$AI$32</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4"/>
          <c:order val="144"/>
          <c:tx>
            <c:v>Elementlast4</c:v>
          </c:tx>
          <c:spPr>
            <a:ln w="12700">
              <a:solidFill>
                <a:srgbClr val="808080"/>
              </a:solidFill>
              <a:prstDash val="solid"/>
            </a:ln>
          </c:spPr>
          <c:marker>
            <c:symbol val="none"/>
          </c:marker>
          <c:xVal>
            <c:numRef>
              <c:f>ELasten!$B$33:$R$33</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ELasten!$S$33:$AI$33</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5"/>
          <c:order val="145"/>
          <c:tx>
            <c:v>Elementlast5</c:v>
          </c:tx>
          <c:spPr>
            <a:ln w="12700">
              <a:solidFill>
                <a:srgbClr val="808080"/>
              </a:solidFill>
              <a:prstDash val="solid"/>
            </a:ln>
          </c:spPr>
          <c:marker>
            <c:symbol val="none"/>
          </c:marker>
          <c:xVal>
            <c:numRef>
              <c:f>ELasten!$B$34:$R$34</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ELasten!$S$34:$AI$34</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6"/>
          <c:order val="146"/>
          <c:tx>
            <c:v>Elementlast6</c:v>
          </c:tx>
          <c:spPr>
            <a:ln w="12700">
              <a:solidFill>
                <a:srgbClr val="808080"/>
              </a:solidFill>
              <a:prstDash val="solid"/>
            </a:ln>
          </c:spPr>
          <c:marker>
            <c:symbol val="none"/>
          </c:marker>
          <c:xVal>
            <c:numRef>
              <c:f>ELasten!$B$35:$R$35</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ELasten!$S$35:$AI$35</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7"/>
          <c:order val="147"/>
          <c:tx>
            <c:v>Elementlast7</c:v>
          </c:tx>
          <c:spPr>
            <a:ln w="12700">
              <a:solidFill>
                <a:srgbClr val="808080"/>
              </a:solidFill>
              <a:prstDash val="solid"/>
            </a:ln>
          </c:spPr>
          <c:marker>
            <c:symbol val="none"/>
          </c:marker>
          <c:xVal>
            <c:numRef>
              <c:f>ELasten!$B$36:$R$36</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ELasten!$S$36:$AI$36</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8"/>
          <c:order val="148"/>
          <c:tx>
            <c:v>Elementlast8</c:v>
          </c:tx>
          <c:spPr>
            <a:ln w="12700">
              <a:solidFill>
                <a:srgbClr val="808080"/>
              </a:solidFill>
              <a:prstDash val="solid"/>
            </a:ln>
          </c:spPr>
          <c:marker>
            <c:symbol val="none"/>
          </c:marker>
          <c:xVal>
            <c:numRef>
              <c:f>ELasten!$B$37:$R$37</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ELasten!$S$37:$AI$37</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9"/>
          <c:order val="149"/>
          <c:tx>
            <c:v>Elementlast9</c:v>
          </c:tx>
          <c:spPr>
            <a:ln w="12700">
              <a:solidFill>
                <a:srgbClr val="808080"/>
              </a:solidFill>
              <a:prstDash val="solid"/>
            </a:ln>
          </c:spPr>
          <c:marker>
            <c:symbol val="none"/>
          </c:marker>
          <c:xVal>
            <c:numRef>
              <c:f>ELasten!$B$38:$R$38</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ELasten!$S$38:$AI$38</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0"/>
          <c:order val="150"/>
          <c:tx>
            <c:v>Elementlast10</c:v>
          </c:tx>
          <c:spPr>
            <a:ln w="12700">
              <a:solidFill>
                <a:srgbClr val="808080"/>
              </a:solidFill>
              <a:prstDash val="solid"/>
            </a:ln>
          </c:spPr>
          <c:marker>
            <c:symbol val="none"/>
          </c:marker>
          <c:xVal>
            <c:numRef>
              <c:f>ELasten!$B$39:$R$39</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ELasten!$S$39:$AI$39</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1"/>
          <c:order val="151"/>
          <c:tx>
            <c:v>Elementlast11</c:v>
          </c:tx>
          <c:spPr>
            <a:ln w="12700">
              <a:solidFill>
                <a:srgbClr val="808080"/>
              </a:solidFill>
              <a:prstDash val="solid"/>
            </a:ln>
          </c:spPr>
          <c:marker>
            <c:symbol val="none"/>
          </c:marker>
          <c:xVal>
            <c:numRef>
              <c:f>ELasten!$B$40:$R$40</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ELasten!$S$40:$AI$40</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2"/>
          <c:order val="152"/>
          <c:tx>
            <c:v>Elementlast12</c:v>
          </c:tx>
          <c:spPr>
            <a:ln w="12700">
              <a:solidFill>
                <a:srgbClr val="808080"/>
              </a:solidFill>
              <a:prstDash val="solid"/>
            </a:ln>
          </c:spPr>
          <c:marker>
            <c:symbol val="none"/>
          </c:marker>
          <c:xVal>
            <c:numRef>
              <c:f>ELasten!$B$41:$R$41</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ELasten!$S$41:$AI$41</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3"/>
          <c:order val="153"/>
          <c:tx>
            <c:v>Elementlast13</c:v>
          </c:tx>
          <c:spPr>
            <a:ln w="12700">
              <a:solidFill>
                <a:srgbClr val="808080"/>
              </a:solidFill>
              <a:prstDash val="solid"/>
            </a:ln>
          </c:spPr>
          <c:marker>
            <c:symbol val="none"/>
          </c:marker>
          <c:xVal>
            <c:numRef>
              <c:f>ELasten!$B$42:$R$42</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ELasten!$S$42:$AI$42</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4"/>
          <c:order val="154"/>
          <c:tx>
            <c:v>Elementlast14</c:v>
          </c:tx>
          <c:spPr>
            <a:ln w="12700">
              <a:solidFill>
                <a:srgbClr val="808080"/>
              </a:solidFill>
              <a:prstDash val="solid"/>
            </a:ln>
          </c:spPr>
          <c:marker>
            <c:symbol val="none"/>
          </c:marker>
          <c:xVal>
            <c:numRef>
              <c:f>ELasten!$B$43:$R$43</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ELasten!$S$43:$AI$43</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5"/>
          <c:order val="155"/>
          <c:tx>
            <c:v>Elementlast15</c:v>
          </c:tx>
          <c:spPr>
            <a:ln w="12700">
              <a:solidFill>
                <a:srgbClr val="808080"/>
              </a:solidFill>
              <a:prstDash val="solid"/>
            </a:ln>
          </c:spPr>
          <c:marker>
            <c:symbol val="none"/>
          </c:marker>
          <c:xVal>
            <c:numRef>
              <c:f>ELasten!$B$44:$R$44</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ELasten!$S$44:$AI$44</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6"/>
          <c:order val="156"/>
          <c:tx>
            <c:v>Elementlast16</c:v>
          </c:tx>
          <c:spPr>
            <a:ln w="12700">
              <a:solidFill>
                <a:srgbClr val="808080"/>
              </a:solidFill>
              <a:prstDash val="solid"/>
            </a:ln>
          </c:spPr>
          <c:marker>
            <c:symbol val="none"/>
          </c:marker>
          <c:xVal>
            <c:numRef>
              <c:f>ELasten!$B$45:$R$45</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ELasten!$S$45:$AI$45</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7"/>
          <c:order val="157"/>
          <c:tx>
            <c:v>Elementlast17</c:v>
          </c:tx>
          <c:spPr>
            <a:ln w="12700">
              <a:solidFill>
                <a:srgbClr val="808080"/>
              </a:solidFill>
              <a:prstDash val="solid"/>
            </a:ln>
          </c:spPr>
          <c:marker>
            <c:symbol val="none"/>
          </c:marker>
          <c:xVal>
            <c:numRef>
              <c:f>ELasten!$B$46:$R$46</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ELasten!$S$46:$AI$46</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8"/>
          <c:order val="158"/>
          <c:tx>
            <c:v>Elementlast18</c:v>
          </c:tx>
          <c:spPr>
            <a:ln w="12700">
              <a:solidFill>
                <a:srgbClr val="808080"/>
              </a:solidFill>
              <a:prstDash val="solid"/>
            </a:ln>
          </c:spPr>
          <c:marker>
            <c:symbol val="none"/>
          </c:marker>
          <c:xVal>
            <c:numRef>
              <c:f>ELasten!$B$47:$R$47</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ELasten!$S$47:$AI$47</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9"/>
          <c:order val="159"/>
          <c:tx>
            <c:v>Elementlast19</c:v>
          </c:tx>
          <c:spPr>
            <a:ln w="12700">
              <a:solidFill>
                <a:srgbClr val="808080"/>
              </a:solidFill>
              <a:prstDash val="solid"/>
            </a:ln>
          </c:spPr>
          <c:marker>
            <c:symbol val="none"/>
          </c:marker>
          <c:xVal>
            <c:numRef>
              <c:f>ELasten!$B$48:$R$48</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ELasten!$S$48:$AI$48</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60"/>
          <c:order val="160"/>
          <c:tx>
            <c:v>Elementlast20</c:v>
          </c:tx>
          <c:spPr>
            <a:ln w="12700">
              <a:solidFill>
                <a:srgbClr val="808080"/>
              </a:solidFill>
              <a:prstDash val="solid"/>
            </a:ln>
          </c:spPr>
          <c:marker>
            <c:symbol val="none"/>
          </c:marker>
          <c:xVal>
            <c:numRef>
              <c:f>ELasten!$B$49:$R$49</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ELasten!$S$49:$AI$49</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dLbls>
          <c:showLegendKey val="0"/>
          <c:showVal val="0"/>
          <c:showCatName val="0"/>
          <c:showSerName val="0"/>
          <c:showPercent val="0"/>
          <c:showBubbleSize val="0"/>
        </c:dLbls>
        <c:axId val="369291136"/>
        <c:axId val="369287216"/>
      </c:scatterChart>
      <c:valAx>
        <c:axId val="369291136"/>
        <c:scaling>
          <c:orientation val="minMax"/>
        </c:scaling>
        <c:delete val="1"/>
        <c:axPos val="b"/>
        <c:numFmt formatCode="General" sourceLinked="1"/>
        <c:majorTickMark val="out"/>
        <c:minorTickMark val="none"/>
        <c:tickLblPos val="nextTo"/>
        <c:crossAx val="369287216"/>
        <c:crosses val="max"/>
        <c:crossBetween val="midCat"/>
        <c:majorUnit val="1.0000000000000002E-2"/>
      </c:valAx>
      <c:valAx>
        <c:axId val="369287216"/>
        <c:scaling>
          <c:orientation val="maxMin"/>
        </c:scaling>
        <c:delete val="1"/>
        <c:axPos val="r"/>
        <c:numFmt formatCode="General" sourceLinked="1"/>
        <c:majorTickMark val="out"/>
        <c:minorTickMark val="none"/>
        <c:tickLblPos val="nextTo"/>
        <c:crossAx val="369291136"/>
        <c:crosses val="max"/>
        <c:crossBetween val="midCat"/>
        <c:majorUnit val="1.0000000000000002E-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288971371766539E-2"/>
          <c:y val="3.1758814591681471E-2"/>
          <c:w val="0.95945446873636708"/>
          <c:h val="0.93484114366706383"/>
        </c:manualLayout>
      </c:layout>
      <c:scatterChart>
        <c:scatterStyle val="lineMarker"/>
        <c:varyColors val="0"/>
        <c:ser>
          <c:idx val="0"/>
          <c:order val="0"/>
          <c:spPr>
            <a:ln w="25400">
              <a:solidFill>
                <a:srgbClr val="000080"/>
              </a:solidFill>
              <a:prstDash val="solid"/>
            </a:ln>
          </c:spPr>
          <c:marker>
            <c:symbol val="none"/>
          </c:marker>
          <c:xVal>
            <c:numRef>
              <c:f>System!$K$2:$L$2</c:f>
              <c:numCache>
                <c:formatCode>General</c:formatCode>
                <c:ptCount val="2"/>
                <c:pt idx="0">
                  <c:v>0</c:v>
                </c:pt>
                <c:pt idx="1">
                  <c:v>0.5</c:v>
                </c:pt>
              </c:numCache>
            </c:numRef>
          </c:xVal>
          <c:yVal>
            <c:numRef>
              <c:f>System!$M$2:$N$2</c:f>
              <c:numCache>
                <c:formatCode>General</c:formatCode>
                <c:ptCount val="2"/>
                <c:pt idx="0">
                  <c:v>0.75</c:v>
                </c:pt>
                <c:pt idx="1">
                  <c:v>0.25</c:v>
                </c:pt>
              </c:numCache>
            </c:numRef>
          </c:yVal>
          <c:smooth val="0"/>
        </c:ser>
        <c:ser>
          <c:idx val="1"/>
          <c:order val="1"/>
          <c:spPr>
            <a:ln w="25400">
              <a:solidFill>
                <a:srgbClr val="000080"/>
              </a:solidFill>
              <a:prstDash val="solid"/>
            </a:ln>
          </c:spPr>
          <c:marker>
            <c:symbol val="none"/>
          </c:marker>
          <c:xVal>
            <c:numRef>
              <c:f>System!$K$3:$L$3</c:f>
              <c:numCache>
                <c:formatCode>General</c:formatCode>
                <c:ptCount val="2"/>
                <c:pt idx="0">
                  <c:v>0.5</c:v>
                </c:pt>
                <c:pt idx="1">
                  <c:v>1</c:v>
                </c:pt>
              </c:numCache>
            </c:numRef>
          </c:xVal>
          <c:yVal>
            <c:numRef>
              <c:f>System!$M$3:$N$3</c:f>
              <c:numCache>
                <c:formatCode>General</c:formatCode>
                <c:ptCount val="2"/>
                <c:pt idx="0">
                  <c:v>0.25</c:v>
                </c:pt>
                <c:pt idx="1">
                  <c:v>0.25</c:v>
                </c:pt>
              </c:numCache>
            </c:numRef>
          </c:yVal>
          <c:smooth val="0"/>
        </c:ser>
        <c:ser>
          <c:idx val="2"/>
          <c:order val="2"/>
          <c:spPr>
            <a:ln w="25400">
              <a:solidFill>
                <a:srgbClr val="000080"/>
              </a:solidFill>
              <a:prstDash val="solid"/>
            </a:ln>
          </c:spPr>
          <c:marker>
            <c:symbol val="none"/>
          </c:marker>
          <c:xVal>
            <c:numRef>
              <c:f>System!$K$4:$L$4</c:f>
              <c:numCache>
                <c:formatCode>General</c:formatCode>
                <c:ptCount val="2"/>
                <c:pt idx="0">
                  <c:v>0</c:v>
                </c:pt>
                <c:pt idx="1">
                  <c:v>0</c:v>
                </c:pt>
              </c:numCache>
            </c:numRef>
          </c:xVal>
          <c:yVal>
            <c:numRef>
              <c:f>System!$M$4:$N$4</c:f>
              <c:numCache>
                <c:formatCode>General</c:formatCode>
                <c:ptCount val="2"/>
                <c:pt idx="0">
                  <c:v>0</c:v>
                </c:pt>
                <c:pt idx="1">
                  <c:v>0</c:v>
                </c:pt>
              </c:numCache>
            </c:numRef>
          </c:yVal>
          <c:smooth val="0"/>
        </c:ser>
        <c:ser>
          <c:idx val="3"/>
          <c:order val="3"/>
          <c:spPr>
            <a:ln w="25400">
              <a:solidFill>
                <a:srgbClr val="000080"/>
              </a:solidFill>
              <a:prstDash val="solid"/>
            </a:ln>
          </c:spPr>
          <c:marker>
            <c:symbol val="none"/>
          </c:marker>
          <c:xVal>
            <c:numRef>
              <c:f>System!$K$5:$L$5</c:f>
              <c:numCache>
                <c:formatCode>General</c:formatCode>
                <c:ptCount val="2"/>
                <c:pt idx="0">
                  <c:v>0</c:v>
                </c:pt>
                <c:pt idx="1">
                  <c:v>0</c:v>
                </c:pt>
              </c:numCache>
            </c:numRef>
          </c:xVal>
          <c:yVal>
            <c:numRef>
              <c:f>System!$M$5:$N$5</c:f>
              <c:numCache>
                <c:formatCode>General</c:formatCode>
                <c:ptCount val="2"/>
                <c:pt idx="0">
                  <c:v>0</c:v>
                </c:pt>
                <c:pt idx="1">
                  <c:v>0</c:v>
                </c:pt>
              </c:numCache>
            </c:numRef>
          </c:yVal>
          <c:smooth val="0"/>
        </c:ser>
        <c:ser>
          <c:idx val="4"/>
          <c:order val="4"/>
          <c:spPr>
            <a:ln w="25400">
              <a:solidFill>
                <a:srgbClr val="000080"/>
              </a:solidFill>
              <a:prstDash val="solid"/>
            </a:ln>
          </c:spPr>
          <c:marker>
            <c:symbol val="none"/>
          </c:marker>
          <c:xVal>
            <c:numRef>
              <c:f>System!$K$6:$L$6</c:f>
              <c:numCache>
                <c:formatCode>General</c:formatCode>
                <c:ptCount val="2"/>
                <c:pt idx="0">
                  <c:v>0</c:v>
                </c:pt>
                <c:pt idx="1">
                  <c:v>0</c:v>
                </c:pt>
              </c:numCache>
            </c:numRef>
          </c:xVal>
          <c:yVal>
            <c:numRef>
              <c:f>System!$M$6:$N$6</c:f>
              <c:numCache>
                <c:formatCode>General</c:formatCode>
                <c:ptCount val="2"/>
                <c:pt idx="0">
                  <c:v>0</c:v>
                </c:pt>
                <c:pt idx="1">
                  <c:v>0</c:v>
                </c:pt>
              </c:numCache>
            </c:numRef>
          </c:yVal>
          <c:smooth val="0"/>
        </c:ser>
        <c:ser>
          <c:idx val="5"/>
          <c:order val="5"/>
          <c:spPr>
            <a:ln w="25400">
              <a:solidFill>
                <a:srgbClr val="000080"/>
              </a:solidFill>
              <a:prstDash val="solid"/>
            </a:ln>
          </c:spPr>
          <c:marker>
            <c:symbol val="none"/>
          </c:marker>
          <c:xVal>
            <c:numRef>
              <c:f>System!$K$7:$L$7</c:f>
              <c:numCache>
                <c:formatCode>General</c:formatCode>
                <c:ptCount val="2"/>
                <c:pt idx="0">
                  <c:v>0</c:v>
                </c:pt>
                <c:pt idx="1">
                  <c:v>0</c:v>
                </c:pt>
              </c:numCache>
            </c:numRef>
          </c:xVal>
          <c:yVal>
            <c:numRef>
              <c:f>System!$M$7:$N$7</c:f>
              <c:numCache>
                <c:formatCode>General</c:formatCode>
                <c:ptCount val="2"/>
                <c:pt idx="0">
                  <c:v>0</c:v>
                </c:pt>
                <c:pt idx="1">
                  <c:v>0</c:v>
                </c:pt>
              </c:numCache>
            </c:numRef>
          </c:yVal>
          <c:smooth val="0"/>
        </c:ser>
        <c:ser>
          <c:idx val="6"/>
          <c:order val="6"/>
          <c:spPr>
            <a:ln w="25400">
              <a:solidFill>
                <a:srgbClr val="000080"/>
              </a:solidFill>
              <a:prstDash val="solid"/>
            </a:ln>
          </c:spPr>
          <c:marker>
            <c:symbol val="none"/>
          </c:marker>
          <c:xVal>
            <c:numRef>
              <c:f>System!$K$8:$L$8</c:f>
              <c:numCache>
                <c:formatCode>General</c:formatCode>
                <c:ptCount val="2"/>
                <c:pt idx="0">
                  <c:v>0</c:v>
                </c:pt>
                <c:pt idx="1">
                  <c:v>0</c:v>
                </c:pt>
              </c:numCache>
            </c:numRef>
          </c:xVal>
          <c:yVal>
            <c:numRef>
              <c:f>System!$M$8:$N$8</c:f>
              <c:numCache>
                <c:formatCode>General</c:formatCode>
                <c:ptCount val="2"/>
                <c:pt idx="0">
                  <c:v>0</c:v>
                </c:pt>
                <c:pt idx="1">
                  <c:v>0</c:v>
                </c:pt>
              </c:numCache>
            </c:numRef>
          </c:yVal>
          <c:smooth val="0"/>
        </c:ser>
        <c:ser>
          <c:idx val="7"/>
          <c:order val="7"/>
          <c:spPr>
            <a:ln w="25400">
              <a:solidFill>
                <a:srgbClr val="000080"/>
              </a:solidFill>
              <a:prstDash val="solid"/>
            </a:ln>
          </c:spPr>
          <c:marker>
            <c:symbol val="none"/>
          </c:marker>
          <c:xVal>
            <c:numRef>
              <c:f>System!$K$9:$L$9</c:f>
              <c:numCache>
                <c:formatCode>General</c:formatCode>
                <c:ptCount val="2"/>
                <c:pt idx="0">
                  <c:v>0</c:v>
                </c:pt>
                <c:pt idx="1">
                  <c:v>0</c:v>
                </c:pt>
              </c:numCache>
            </c:numRef>
          </c:xVal>
          <c:yVal>
            <c:numRef>
              <c:f>System!$M$9:$N$9</c:f>
              <c:numCache>
                <c:formatCode>General</c:formatCode>
                <c:ptCount val="2"/>
                <c:pt idx="0">
                  <c:v>0</c:v>
                </c:pt>
                <c:pt idx="1">
                  <c:v>0</c:v>
                </c:pt>
              </c:numCache>
            </c:numRef>
          </c:yVal>
          <c:smooth val="0"/>
        </c:ser>
        <c:ser>
          <c:idx val="8"/>
          <c:order val="8"/>
          <c:spPr>
            <a:ln w="25400">
              <a:solidFill>
                <a:srgbClr val="000080"/>
              </a:solidFill>
              <a:prstDash val="solid"/>
            </a:ln>
          </c:spPr>
          <c:marker>
            <c:symbol val="none"/>
          </c:marker>
          <c:xVal>
            <c:numRef>
              <c:f>System!$K$10:$L$10</c:f>
              <c:numCache>
                <c:formatCode>General</c:formatCode>
                <c:ptCount val="2"/>
                <c:pt idx="0">
                  <c:v>0</c:v>
                </c:pt>
                <c:pt idx="1">
                  <c:v>0</c:v>
                </c:pt>
              </c:numCache>
            </c:numRef>
          </c:xVal>
          <c:yVal>
            <c:numRef>
              <c:f>System!$M$10:$N$10</c:f>
              <c:numCache>
                <c:formatCode>General</c:formatCode>
                <c:ptCount val="2"/>
                <c:pt idx="0">
                  <c:v>0</c:v>
                </c:pt>
                <c:pt idx="1">
                  <c:v>0</c:v>
                </c:pt>
              </c:numCache>
            </c:numRef>
          </c:yVal>
          <c:smooth val="0"/>
        </c:ser>
        <c:ser>
          <c:idx val="9"/>
          <c:order val="9"/>
          <c:spPr>
            <a:ln w="25400">
              <a:solidFill>
                <a:srgbClr val="000080"/>
              </a:solidFill>
              <a:prstDash val="solid"/>
            </a:ln>
          </c:spPr>
          <c:marker>
            <c:symbol val="none"/>
          </c:marker>
          <c:xVal>
            <c:numRef>
              <c:f>System!$K$11:$L$11</c:f>
              <c:numCache>
                <c:formatCode>General</c:formatCode>
                <c:ptCount val="2"/>
                <c:pt idx="0">
                  <c:v>0</c:v>
                </c:pt>
                <c:pt idx="1">
                  <c:v>0</c:v>
                </c:pt>
              </c:numCache>
            </c:numRef>
          </c:xVal>
          <c:yVal>
            <c:numRef>
              <c:f>System!$M$11:$N$11</c:f>
              <c:numCache>
                <c:formatCode>General</c:formatCode>
                <c:ptCount val="2"/>
                <c:pt idx="0">
                  <c:v>0</c:v>
                </c:pt>
                <c:pt idx="1">
                  <c:v>0</c:v>
                </c:pt>
              </c:numCache>
            </c:numRef>
          </c:yVal>
          <c:smooth val="0"/>
        </c:ser>
        <c:ser>
          <c:idx val="10"/>
          <c:order val="10"/>
          <c:spPr>
            <a:ln w="25400">
              <a:solidFill>
                <a:srgbClr val="000080"/>
              </a:solidFill>
              <a:prstDash val="solid"/>
            </a:ln>
          </c:spPr>
          <c:marker>
            <c:symbol val="none"/>
          </c:marker>
          <c:xVal>
            <c:numRef>
              <c:f>System!$K$12:$L$12</c:f>
              <c:numCache>
                <c:formatCode>General</c:formatCode>
                <c:ptCount val="2"/>
                <c:pt idx="0">
                  <c:v>0</c:v>
                </c:pt>
                <c:pt idx="1">
                  <c:v>0</c:v>
                </c:pt>
              </c:numCache>
            </c:numRef>
          </c:xVal>
          <c:yVal>
            <c:numRef>
              <c:f>System!$M$12:$N$12</c:f>
              <c:numCache>
                <c:formatCode>General</c:formatCode>
                <c:ptCount val="2"/>
                <c:pt idx="0">
                  <c:v>0</c:v>
                </c:pt>
                <c:pt idx="1">
                  <c:v>0</c:v>
                </c:pt>
              </c:numCache>
            </c:numRef>
          </c:yVal>
          <c:smooth val="0"/>
        </c:ser>
        <c:ser>
          <c:idx val="11"/>
          <c:order val="11"/>
          <c:spPr>
            <a:ln w="25400">
              <a:solidFill>
                <a:srgbClr val="000080"/>
              </a:solidFill>
              <a:prstDash val="solid"/>
            </a:ln>
          </c:spPr>
          <c:marker>
            <c:symbol val="none"/>
          </c:marker>
          <c:xVal>
            <c:numRef>
              <c:f>System!$K$13:$L$13</c:f>
              <c:numCache>
                <c:formatCode>General</c:formatCode>
                <c:ptCount val="2"/>
                <c:pt idx="0">
                  <c:v>0</c:v>
                </c:pt>
                <c:pt idx="1">
                  <c:v>0</c:v>
                </c:pt>
              </c:numCache>
            </c:numRef>
          </c:xVal>
          <c:yVal>
            <c:numRef>
              <c:f>System!$M$13:$N$13</c:f>
              <c:numCache>
                <c:formatCode>General</c:formatCode>
                <c:ptCount val="2"/>
                <c:pt idx="0">
                  <c:v>0</c:v>
                </c:pt>
                <c:pt idx="1">
                  <c:v>0</c:v>
                </c:pt>
              </c:numCache>
            </c:numRef>
          </c:yVal>
          <c:smooth val="0"/>
        </c:ser>
        <c:ser>
          <c:idx val="12"/>
          <c:order val="12"/>
          <c:spPr>
            <a:ln w="12700">
              <a:solidFill>
                <a:srgbClr val="99CCFF"/>
              </a:solidFill>
              <a:prstDash val="solid"/>
            </a:ln>
          </c:spPr>
          <c:marker>
            <c:symbol val="none"/>
          </c:marker>
          <c:xVal>
            <c:numRef>
              <c:f>System!$K$14:$L$14</c:f>
              <c:numCache>
                <c:formatCode>General</c:formatCode>
                <c:ptCount val="2"/>
                <c:pt idx="0">
                  <c:v>0</c:v>
                </c:pt>
                <c:pt idx="1">
                  <c:v>0</c:v>
                </c:pt>
              </c:numCache>
            </c:numRef>
          </c:xVal>
          <c:yVal>
            <c:numRef>
              <c:f>System!$M$14:$N$14</c:f>
              <c:numCache>
                <c:formatCode>General</c:formatCode>
                <c:ptCount val="2"/>
                <c:pt idx="0">
                  <c:v>0</c:v>
                </c:pt>
                <c:pt idx="1">
                  <c:v>0</c:v>
                </c:pt>
              </c:numCache>
            </c:numRef>
          </c:yVal>
          <c:smooth val="0"/>
        </c:ser>
        <c:ser>
          <c:idx val="13"/>
          <c:order val="13"/>
          <c:spPr>
            <a:ln w="12700">
              <a:solidFill>
                <a:srgbClr val="FF99CC"/>
              </a:solidFill>
              <a:prstDash val="solid"/>
            </a:ln>
          </c:spPr>
          <c:marker>
            <c:symbol val="none"/>
          </c:marker>
          <c:xVal>
            <c:numRef>
              <c:f>System!$K$15:$L$15</c:f>
              <c:numCache>
                <c:formatCode>General</c:formatCode>
                <c:ptCount val="2"/>
                <c:pt idx="0">
                  <c:v>0</c:v>
                </c:pt>
                <c:pt idx="1">
                  <c:v>0</c:v>
                </c:pt>
              </c:numCache>
            </c:numRef>
          </c:xVal>
          <c:yVal>
            <c:numRef>
              <c:f>System!$M$15:$N$15</c:f>
              <c:numCache>
                <c:formatCode>General</c:formatCode>
                <c:ptCount val="2"/>
                <c:pt idx="0">
                  <c:v>0</c:v>
                </c:pt>
                <c:pt idx="1">
                  <c:v>0</c:v>
                </c:pt>
              </c:numCache>
            </c:numRef>
          </c:yVal>
          <c:smooth val="0"/>
        </c:ser>
        <c:ser>
          <c:idx val="14"/>
          <c:order val="14"/>
          <c:spPr>
            <a:ln w="12700">
              <a:solidFill>
                <a:srgbClr val="CC99FF"/>
              </a:solidFill>
              <a:prstDash val="solid"/>
            </a:ln>
          </c:spPr>
          <c:marker>
            <c:symbol val="none"/>
          </c:marker>
          <c:xVal>
            <c:numRef>
              <c:f>System!$K$16:$L$16</c:f>
              <c:numCache>
                <c:formatCode>General</c:formatCode>
                <c:ptCount val="2"/>
                <c:pt idx="0">
                  <c:v>0</c:v>
                </c:pt>
                <c:pt idx="1">
                  <c:v>0</c:v>
                </c:pt>
              </c:numCache>
            </c:numRef>
          </c:xVal>
          <c:yVal>
            <c:numRef>
              <c:f>System!$M$16:$N$16</c:f>
              <c:numCache>
                <c:formatCode>General</c:formatCode>
                <c:ptCount val="2"/>
                <c:pt idx="0">
                  <c:v>0</c:v>
                </c:pt>
                <c:pt idx="1">
                  <c:v>0</c:v>
                </c:pt>
              </c:numCache>
            </c:numRef>
          </c:yVal>
          <c:smooth val="0"/>
        </c:ser>
        <c:ser>
          <c:idx val="15"/>
          <c:order val="15"/>
          <c:spPr>
            <a:ln w="12700">
              <a:solidFill>
                <a:srgbClr val="FFCC99"/>
              </a:solidFill>
              <a:prstDash val="solid"/>
            </a:ln>
          </c:spPr>
          <c:marker>
            <c:symbol val="none"/>
          </c:marker>
          <c:xVal>
            <c:numRef>
              <c:f>System!$K$17:$L$17</c:f>
              <c:numCache>
                <c:formatCode>General</c:formatCode>
                <c:ptCount val="2"/>
                <c:pt idx="0">
                  <c:v>0</c:v>
                </c:pt>
                <c:pt idx="1">
                  <c:v>0</c:v>
                </c:pt>
              </c:numCache>
            </c:numRef>
          </c:xVal>
          <c:yVal>
            <c:numRef>
              <c:f>System!$M$17:$N$17</c:f>
              <c:numCache>
                <c:formatCode>General</c:formatCode>
                <c:ptCount val="2"/>
                <c:pt idx="0">
                  <c:v>0</c:v>
                </c:pt>
                <c:pt idx="1">
                  <c:v>0</c:v>
                </c:pt>
              </c:numCache>
            </c:numRef>
          </c:yVal>
          <c:smooth val="0"/>
        </c:ser>
        <c:ser>
          <c:idx val="16"/>
          <c:order val="16"/>
          <c:spPr>
            <a:ln w="12700">
              <a:solidFill>
                <a:srgbClr val="3366FF"/>
              </a:solidFill>
              <a:prstDash val="solid"/>
            </a:ln>
          </c:spPr>
          <c:marker>
            <c:symbol val="none"/>
          </c:marker>
          <c:xVal>
            <c:numRef>
              <c:f>System!$K$18:$L$18</c:f>
              <c:numCache>
                <c:formatCode>General</c:formatCode>
                <c:ptCount val="2"/>
                <c:pt idx="0">
                  <c:v>0</c:v>
                </c:pt>
                <c:pt idx="1">
                  <c:v>0</c:v>
                </c:pt>
              </c:numCache>
            </c:numRef>
          </c:xVal>
          <c:yVal>
            <c:numRef>
              <c:f>System!$M$18:$N$18</c:f>
              <c:numCache>
                <c:formatCode>General</c:formatCode>
                <c:ptCount val="2"/>
                <c:pt idx="0">
                  <c:v>0</c:v>
                </c:pt>
                <c:pt idx="1">
                  <c:v>0</c:v>
                </c:pt>
              </c:numCache>
            </c:numRef>
          </c:yVal>
          <c:smooth val="0"/>
        </c:ser>
        <c:ser>
          <c:idx val="17"/>
          <c:order val="17"/>
          <c:spPr>
            <a:ln w="12700">
              <a:solidFill>
                <a:srgbClr val="33CCCC"/>
              </a:solidFill>
              <a:prstDash val="solid"/>
            </a:ln>
          </c:spPr>
          <c:marker>
            <c:symbol val="none"/>
          </c:marker>
          <c:xVal>
            <c:numRef>
              <c:f>System!$K$19:$L$19</c:f>
              <c:numCache>
                <c:formatCode>General</c:formatCode>
                <c:ptCount val="2"/>
                <c:pt idx="0">
                  <c:v>0</c:v>
                </c:pt>
                <c:pt idx="1">
                  <c:v>0</c:v>
                </c:pt>
              </c:numCache>
            </c:numRef>
          </c:xVal>
          <c:yVal>
            <c:numRef>
              <c:f>System!$M$19:$N$19</c:f>
              <c:numCache>
                <c:formatCode>General</c:formatCode>
                <c:ptCount val="2"/>
                <c:pt idx="0">
                  <c:v>0</c:v>
                </c:pt>
                <c:pt idx="1">
                  <c:v>0</c:v>
                </c:pt>
              </c:numCache>
            </c:numRef>
          </c:yVal>
          <c:smooth val="0"/>
        </c:ser>
        <c:ser>
          <c:idx val="18"/>
          <c:order val="18"/>
          <c:spPr>
            <a:ln w="12700">
              <a:solidFill>
                <a:srgbClr val="99CC00"/>
              </a:solidFill>
              <a:prstDash val="solid"/>
            </a:ln>
          </c:spPr>
          <c:marker>
            <c:symbol val="none"/>
          </c:marker>
          <c:xVal>
            <c:numRef>
              <c:f>System!$K$20:$L$20</c:f>
              <c:numCache>
                <c:formatCode>General</c:formatCode>
                <c:ptCount val="2"/>
                <c:pt idx="0">
                  <c:v>0</c:v>
                </c:pt>
                <c:pt idx="1">
                  <c:v>0</c:v>
                </c:pt>
              </c:numCache>
            </c:numRef>
          </c:xVal>
          <c:yVal>
            <c:numRef>
              <c:f>System!$M$20:$N$20</c:f>
              <c:numCache>
                <c:formatCode>General</c:formatCode>
                <c:ptCount val="2"/>
                <c:pt idx="0">
                  <c:v>0</c:v>
                </c:pt>
                <c:pt idx="1">
                  <c:v>0</c:v>
                </c:pt>
              </c:numCache>
            </c:numRef>
          </c:yVal>
          <c:smooth val="0"/>
        </c:ser>
        <c:ser>
          <c:idx val="19"/>
          <c:order val="19"/>
          <c:spPr>
            <a:ln w="12700">
              <a:solidFill>
                <a:srgbClr val="FFCC00"/>
              </a:solidFill>
              <a:prstDash val="solid"/>
            </a:ln>
          </c:spPr>
          <c:marker>
            <c:symbol val="none"/>
          </c:marker>
          <c:dPt>
            <c:idx val="1"/>
            <c:bubble3D val="0"/>
            <c:spPr>
              <a:ln w="25400">
                <a:solidFill>
                  <a:srgbClr val="002060"/>
                </a:solidFill>
                <a:prstDash val="solid"/>
              </a:ln>
            </c:spPr>
          </c:dPt>
          <c:xVal>
            <c:numRef>
              <c:f>System!$K$21:$L$21</c:f>
              <c:numCache>
                <c:formatCode>General</c:formatCode>
                <c:ptCount val="2"/>
                <c:pt idx="0">
                  <c:v>0</c:v>
                </c:pt>
                <c:pt idx="1">
                  <c:v>0</c:v>
                </c:pt>
              </c:numCache>
            </c:numRef>
          </c:xVal>
          <c:yVal>
            <c:numRef>
              <c:f>System!$M$21:$N$21</c:f>
              <c:numCache>
                <c:formatCode>General</c:formatCode>
                <c:ptCount val="2"/>
                <c:pt idx="0">
                  <c:v>0</c:v>
                </c:pt>
                <c:pt idx="1">
                  <c:v>0</c:v>
                </c:pt>
              </c:numCache>
            </c:numRef>
          </c:yVal>
          <c:smooth val="0"/>
        </c:ser>
        <c:ser>
          <c:idx val="20"/>
          <c:order val="20"/>
          <c:spPr>
            <a:ln w="6350">
              <a:solidFill>
                <a:schemeClr val="bg1">
                  <a:lumMod val="75000"/>
                </a:schemeClr>
              </a:solidFill>
            </a:ln>
          </c:spPr>
          <c:marker>
            <c:symbol val="none"/>
          </c:marker>
          <c:xVal>
            <c:numRef>
              <c:f>KnotenData!$H$6:$H$9</c:f>
              <c:numCache>
                <c:formatCode>General</c:formatCode>
                <c:ptCount val="4"/>
                <c:pt idx="0">
                  <c:v>-0.12769917157823307</c:v>
                </c:pt>
                <c:pt idx="1">
                  <c:v>1.1276991715782332</c:v>
                </c:pt>
                <c:pt idx="2">
                  <c:v>1.1276991715782332</c:v>
                </c:pt>
                <c:pt idx="3">
                  <c:v>-0.12769917157823307</c:v>
                </c:pt>
              </c:numCache>
            </c:numRef>
          </c:xVal>
          <c:yVal>
            <c:numRef>
              <c:f>KnotenData!$I$6:$I$9</c:f>
              <c:numCache>
                <c:formatCode>General</c:formatCode>
                <c:ptCount val="4"/>
                <c:pt idx="0">
                  <c:v>1.1026991715782331</c:v>
                </c:pt>
                <c:pt idx="1">
                  <c:v>1.1026991715782331</c:v>
                </c:pt>
                <c:pt idx="2">
                  <c:v>-0.15269917157823309</c:v>
                </c:pt>
                <c:pt idx="3">
                  <c:v>-0.15269917157823309</c:v>
                </c:pt>
              </c:numCache>
            </c:numRef>
          </c:yVal>
          <c:smooth val="0"/>
        </c:ser>
        <c:ser>
          <c:idx val="21"/>
          <c:order val="21"/>
          <c:tx>
            <c:v>LagerV1</c:v>
          </c:tx>
          <c:spPr>
            <a:ln w="12700">
              <a:solidFill>
                <a:srgbClr val="808080"/>
              </a:solidFill>
              <a:prstDash val="solid"/>
            </a:ln>
          </c:spPr>
          <c:marker>
            <c:symbol val="none"/>
          </c:marker>
          <c:xVal>
            <c:numRef>
              <c:f>Symbole!$C$4:$F$4</c:f>
              <c:numCache>
                <c:formatCode>General</c:formatCode>
                <c:ptCount val="4"/>
                <c:pt idx="0">
                  <c:v>0</c:v>
                </c:pt>
                <c:pt idx="1">
                  <c:v>3.1384958578911652E-2</c:v>
                </c:pt>
                <c:pt idx="2">
                  <c:v>-3.1384958578911652E-2</c:v>
                </c:pt>
                <c:pt idx="3">
                  <c:v>0</c:v>
                </c:pt>
              </c:numCache>
            </c:numRef>
          </c:xVal>
          <c:yVal>
            <c:numRef>
              <c:f>Symbole!$G$4:$J$4</c:f>
              <c:numCache>
                <c:formatCode>General</c:formatCode>
                <c:ptCount val="4"/>
                <c:pt idx="0">
                  <c:v>0.75</c:v>
                </c:pt>
                <c:pt idx="1">
                  <c:v>0.80435874825867493</c:v>
                </c:pt>
                <c:pt idx="2">
                  <c:v>0.80435874825867493</c:v>
                </c:pt>
                <c:pt idx="3">
                  <c:v>0.75</c:v>
                </c:pt>
              </c:numCache>
            </c:numRef>
          </c:yVal>
          <c:smooth val="0"/>
        </c:ser>
        <c:ser>
          <c:idx val="22"/>
          <c:order val="22"/>
          <c:tx>
            <c:v>LagerV2</c:v>
          </c:tx>
          <c:spPr>
            <a:ln w="12700">
              <a:solidFill>
                <a:srgbClr val="808080"/>
              </a:solidFill>
              <a:prstDash val="solid"/>
            </a:ln>
          </c:spPr>
          <c:marker>
            <c:symbol val="none"/>
          </c:marker>
          <c:xVal>
            <c:numRef>
              <c:f>Symbole!$C$5:$F$5</c:f>
              <c:numCache>
                <c:formatCode>General</c:formatCode>
                <c:ptCount val="4"/>
                <c:pt idx="0">
                  <c:v>0.5</c:v>
                </c:pt>
                <c:pt idx="1">
                  <c:v>0.5</c:v>
                </c:pt>
                <c:pt idx="2">
                  <c:v>0.5</c:v>
                </c:pt>
                <c:pt idx="3">
                  <c:v>0.5</c:v>
                </c:pt>
              </c:numCache>
            </c:numRef>
          </c:xVal>
          <c:yVal>
            <c:numRef>
              <c:f>Symbole!$G$5:$J$5</c:f>
              <c:numCache>
                <c:formatCode>General</c:formatCode>
                <c:ptCount val="4"/>
                <c:pt idx="0">
                  <c:v>0.25</c:v>
                </c:pt>
                <c:pt idx="1">
                  <c:v>0.25</c:v>
                </c:pt>
                <c:pt idx="2">
                  <c:v>0.25</c:v>
                </c:pt>
                <c:pt idx="3">
                  <c:v>0.25</c:v>
                </c:pt>
              </c:numCache>
            </c:numRef>
          </c:yVal>
          <c:smooth val="0"/>
        </c:ser>
        <c:ser>
          <c:idx val="23"/>
          <c:order val="23"/>
          <c:tx>
            <c:v>LagerV3</c:v>
          </c:tx>
          <c:spPr>
            <a:ln w="12700">
              <a:solidFill>
                <a:srgbClr val="808080"/>
              </a:solidFill>
              <a:prstDash val="solid"/>
            </a:ln>
          </c:spPr>
          <c:marker>
            <c:symbol val="none"/>
          </c:marker>
          <c:xVal>
            <c:numRef>
              <c:f>Symbole!$C$6:$F$6</c:f>
              <c:numCache>
                <c:formatCode>General</c:formatCode>
                <c:ptCount val="4"/>
                <c:pt idx="0">
                  <c:v>1</c:v>
                </c:pt>
                <c:pt idx="1">
                  <c:v>1.0313849585789117</c:v>
                </c:pt>
                <c:pt idx="2">
                  <c:v>0.96861504142108834</c:v>
                </c:pt>
                <c:pt idx="3">
                  <c:v>1</c:v>
                </c:pt>
              </c:numCache>
            </c:numRef>
          </c:xVal>
          <c:yVal>
            <c:numRef>
              <c:f>Symbole!$G$6:$J$6</c:f>
              <c:numCache>
                <c:formatCode>General</c:formatCode>
                <c:ptCount val="4"/>
                <c:pt idx="0">
                  <c:v>0.25</c:v>
                </c:pt>
                <c:pt idx="1">
                  <c:v>0.30435874825867498</c:v>
                </c:pt>
                <c:pt idx="2">
                  <c:v>0.30435874825867498</c:v>
                </c:pt>
                <c:pt idx="3">
                  <c:v>0.25</c:v>
                </c:pt>
              </c:numCache>
            </c:numRef>
          </c:yVal>
          <c:smooth val="0"/>
        </c:ser>
        <c:ser>
          <c:idx val="24"/>
          <c:order val="24"/>
          <c:tx>
            <c:v>LagerV4</c:v>
          </c:tx>
          <c:spPr>
            <a:ln w="12700">
              <a:solidFill>
                <a:srgbClr val="808080"/>
              </a:solidFill>
              <a:prstDash val="solid"/>
            </a:ln>
          </c:spPr>
          <c:marker>
            <c:symbol val="none"/>
          </c:marker>
          <c:xVal>
            <c:numRef>
              <c:f>Symbole!$C$7:$F$7</c:f>
              <c:numCache>
                <c:formatCode>General</c:formatCode>
                <c:ptCount val="4"/>
                <c:pt idx="0">
                  <c:v>0.5</c:v>
                </c:pt>
                <c:pt idx="1">
                  <c:v>0.5</c:v>
                </c:pt>
                <c:pt idx="2">
                  <c:v>0.5</c:v>
                </c:pt>
                <c:pt idx="3">
                  <c:v>0.5</c:v>
                </c:pt>
              </c:numCache>
            </c:numRef>
          </c:xVal>
          <c:yVal>
            <c:numRef>
              <c:f>Symbole!$G$7:$J$7</c:f>
              <c:numCache>
                <c:formatCode>General</c:formatCode>
                <c:ptCount val="4"/>
                <c:pt idx="0">
                  <c:v>0.47499999999999998</c:v>
                </c:pt>
                <c:pt idx="1">
                  <c:v>0.47499999999999998</c:v>
                </c:pt>
                <c:pt idx="2">
                  <c:v>0.47499999999999998</c:v>
                </c:pt>
                <c:pt idx="3">
                  <c:v>0.47499999999999998</c:v>
                </c:pt>
              </c:numCache>
            </c:numRef>
          </c:yVal>
          <c:smooth val="0"/>
        </c:ser>
        <c:ser>
          <c:idx val="25"/>
          <c:order val="25"/>
          <c:tx>
            <c:v>LagerV5</c:v>
          </c:tx>
          <c:spPr>
            <a:ln w="12700">
              <a:solidFill>
                <a:srgbClr val="808080"/>
              </a:solidFill>
              <a:prstDash val="solid"/>
            </a:ln>
          </c:spPr>
          <c:marker>
            <c:symbol val="none"/>
          </c:marker>
          <c:xVal>
            <c:numRef>
              <c:f>Symbole!$C$8:$F$8</c:f>
              <c:numCache>
                <c:formatCode>General</c:formatCode>
                <c:ptCount val="4"/>
                <c:pt idx="0">
                  <c:v>0.5</c:v>
                </c:pt>
                <c:pt idx="1">
                  <c:v>0.5</c:v>
                </c:pt>
                <c:pt idx="2">
                  <c:v>0.5</c:v>
                </c:pt>
                <c:pt idx="3">
                  <c:v>0.5</c:v>
                </c:pt>
              </c:numCache>
            </c:numRef>
          </c:xVal>
          <c:yVal>
            <c:numRef>
              <c:f>Symbole!$G$8:$J$8</c:f>
              <c:numCache>
                <c:formatCode>General</c:formatCode>
                <c:ptCount val="4"/>
                <c:pt idx="0">
                  <c:v>0.47499999999999998</c:v>
                </c:pt>
                <c:pt idx="1">
                  <c:v>0.47499999999999998</c:v>
                </c:pt>
                <c:pt idx="2">
                  <c:v>0.47499999999999998</c:v>
                </c:pt>
                <c:pt idx="3">
                  <c:v>0.47499999999999998</c:v>
                </c:pt>
              </c:numCache>
            </c:numRef>
          </c:yVal>
          <c:smooth val="0"/>
        </c:ser>
        <c:ser>
          <c:idx val="26"/>
          <c:order val="26"/>
          <c:tx>
            <c:v>LagerV6</c:v>
          </c:tx>
          <c:spPr>
            <a:ln w="12700">
              <a:solidFill>
                <a:srgbClr val="808080"/>
              </a:solidFill>
              <a:prstDash val="solid"/>
            </a:ln>
          </c:spPr>
          <c:marker>
            <c:symbol val="none"/>
          </c:marker>
          <c:xVal>
            <c:numRef>
              <c:f>Symbole!$C$9:$F$9</c:f>
              <c:numCache>
                <c:formatCode>General</c:formatCode>
                <c:ptCount val="4"/>
                <c:pt idx="0">
                  <c:v>0.5</c:v>
                </c:pt>
                <c:pt idx="1">
                  <c:v>0.5</c:v>
                </c:pt>
                <c:pt idx="2">
                  <c:v>0.5</c:v>
                </c:pt>
                <c:pt idx="3">
                  <c:v>0.5</c:v>
                </c:pt>
              </c:numCache>
            </c:numRef>
          </c:xVal>
          <c:yVal>
            <c:numRef>
              <c:f>Symbole!$G$9:$J$9</c:f>
              <c:numCache>
                <c:formatCode>General</c:formatCode>
                <c:ptCount val="4"/>
                <c:pt idx="0">
                  <c:v>0.47499999999999998</c:v>
                </c:pt>
                <c:pt idx="1">
                  <c:v>0.47499999999999998</c:v>
                </c:pt>
                <c:pt idx="2">
                  <c:v>0.47499999999999998</c:v>
                </c:pt>
                <c:pt idx="3">
                  <c:v>0.47499999999999998</c:v>
                </c:pt>
              </c:numCache>
            </c:numRef>
          </c:yVal>
          <c:smooth val="0"/>
        </c:ser>
        <c:ser>
          <c:idx val="27"/>
          <c:order val="27"/>
          <c:tx>
            <c:v>LagerV7</c:v>
          </c:tx>
          <c:spPr>
            <a:ln w="12700">
              <a:solidFill>
                <a:srgbClr val="808080"/>
              </a:solidFill>
              <a:prstDash val="solid"/>
            </a:ln>
          </c:spPr>
          <c:marker>
            <c:symbol val="none"/>
          </c:marker>
          <c:xVal>
            <c:numRef>
              <c:f>Symbole!$C$10:$F$10</c:f>
              <c:numCache>
                <c:formatCode>General</c:formatCode>
                <c:ptCount val="4"/>
                <c:pt idx="0">
                  <c:v>0.5</c:v>
                </c:pt>
                <c:pt idx="1">
                  <c:v>0.5</c:v>
                </c:pt>
                <c:pt idx="2">
                  <c:v>0.5</c:v>
                </c:pt>
                <c:pt idx="3">
                  <c:v>0.5</c:v>
                </c:pt>
              </c:numCache>
            </c:numRef>
          </c:xVal>
          <c:yVal>
            <c:numRef>
              <c:f>Symbole!$G$10:$J$10</c:f>
              <c:numCache>
                <c:formatCode>General</c:formatCode>
                <c:ptCount val="4"/>
                <c:pt idx="0">
                  <c:v>0.47499999999999998</c:v>
                </c:pt>
                <c:pt idx="1">
                  <c:v>0.47499999999999998</c:v>
                </c:pt>
                <c:pt idx="2">
                  <c:v>0.47499999999999998</c:v>
                </c:pt>
                <c:pt idx="3">
                  <c:v>0.47499999999999998</c:v>
                </c:pt>
              </c:numCache>
            </c:numRef>
          </c:yVal>
          <c:smooth val="0"/>
        </c:ser>
        <c:ser>
          <c:idx val="28"/>
          <c:order val="28"/>
          <c:tx>
            <c:v>LagerV8</c:v>
          </c:tx>
          <c:spPr>
            <a:ln w="12700">
              <a:solidFill>
                <a:srgbClr val="808080"/>
              </a:solidFill>
              <a:prstDash val="solid"/>
            </a:ln>
          </c:spPr>
          <c:marker>
            <c:symbol val="none"/>
          </c:marker>
          <c:xVal>
            <c:numRef>
              <c:f>Symbole!$C$11:$F$11</c:f>
              <c:numCache>
                <c:formatCode>General</c:formatCode>
                <c:ptCount val="4"/>
                <c:pt idx="0">
                  <c:v>0.5</c:v>
                </c:pt>
                <c:pt idx="1">
                  <c:v>0.5</c:v>
                </c:pt>
                <c:pt idx="2">
                  <c:v>0.5</c:v>
                </c:pt>
                <c:pt idx="3">
                  <c:v>0.5</c:v>
                </c:pt>
              </c:numCache>
            </c:numRef>
          </c:xVal>
          <c:yVal>
            <c:numRef>
              <c:f>Symbole!$G$11:$J$11</c:f>
              <c:numCache>
                <c:formatCode>General</c:formatCode>
                <c:ptCount val="4"/>
                <c:pt idx="0">
                  <c:v>0.47499999999999998</c:v>
                </c:pt>
                <c:pt idx="1">
                  <c:v>0.47499999999999998</c:v>
                </c:pt>
                <c:pt idx="2">
                  <c:v>0.47499999999999998</c:v>
                </c:pt>
                <c:pt idx="3">
                  <c:v>0.47499999999999998</c:v>
                </c:pt>
              </c:numCache>
            </c:numRef>
          </c:yVal>
          <c:smooth val="0"/>
        </c:ser>
        <c:ser>
          <c:idx val="29"/>
          <c:order val="29"/>
          <c:tx>
            <c:v>LagerV9</c:v>
          </c:tx>
          <c:spPr>
            <a:ln w="12700">
              <a:solidFill>
                <a:srgbClr val="808080"/>
              </a:solidFill>
              <a:prstDash val="solid"/>
            </a:ln>
          </c:spPr>
          <c:marker>
            <c:symbol val="none"/>
          </c:marker>
          <c:xVal>
            <c:numRef>
              <c:f>Symbole!$C$12:$F$12</c:f>
              <c:numCache>
                <c:formatCode>General</c:formatCode>
                <c:ptCount val="4"/>
                <c:pt idx="0">
                  <c:v>0.5</c:v>
                </c:pt>
                <c:pt idx="1">
                  <c:v>0.5</c:v>
                </c:pt>
                <c:pt idx="2">
                  <c:v>0.5</c:v>
                </c:pt>
                <c:pt idx="3">
                  <c:v>0.5</c:v>
                </c:pt>
              </c:numCache>
            </c:numRef>
          </c:xVal>
          <c:yVal>
            <c:numRef>
              <c:f>Symbole!$G$12:$J$12</c:f>
              <c:numCache>
                <c:formatCode>General</c:formatCode>
                <c:ptCount val="4"/>
                <c:pt idx="0">
                  <c:v>0.47499999999999998</c:v>
                </c:pt>
                <c:pt idx="1">
                  <c:v>0.47499999999999998</c:v>
                </c:pt>
                <c:pt idx="2">
                  <c:v>0.47499999999999998</c:v>
                </c:pt>
                <c:pt idx="3">
                  <c:v>0.47499999999999998</c:v>
                </c:pt>
              </c:numCache>
            </c:numRef>
          </c:yVal>
          <c:smooth val="0"/>
        </c:ser>
        <c:ser>
          <c:idx val="30"/>
          <c:order val="30"/>
          <c:tx>
            <c:v>LagerV10</c:v>
          </c:tx>
          <c:spPr>
            <a:ln w="12700">
              <a:solidFill>
                <a:srgbClr val="808080"/>
              </a:solidFill>
              <a:prstDash val="solid"/>
            </a:ln>
          </c:spPr>
          <c:marker>
            <c:symbol val="none"/>
          </c:marker>
          <c:xVal>
            <c:numRef>
              <c:f>Symbole!$C$13:$F$13</c:f>
              <c:numCache>
                <c:formatCode>General</c:formatCode>
                <c:ptCount val="4"/>
                <c:pt idx="0">
                  <c:v>0.5</c:v>
                </c:pt>
                <c:pt idx="1">
                  <c:v>0.5</c:v>
                </c:pt>
                <c:pt idx="2">
                  <c:v>0.5</c:v>
                </c:pt>
                <c:pt idx="3">
                  <c:v>0.5</c:v>
                </c:pt>
              </c:numCache>
            </c:numRef>
          </c:xVal>
          <c:yVal>
            <c:numRef>
              <c:f>Symbole!$G$13:$J$13</c:f>
              <c:numCache>
                <c:formatCode>General</c:formatCode>
                <c:ptCount val="4"/>
                <c:pt idx="0">
                  <c:v>0.47499999999999998</c:v>
                </c:pt>
                <c:pt idx="1">
                  <c:v>0.47499999999999998</c:v>
                </c:pt>
                <c:pt idx="2">
                  <c:v>0.47499999999999998</c:v>
                </c:pt>
                <c:pt idx="3">
                  <c:v>0.47499999999999998</c:v>
                </c:pt>
              </c:numCache>
            </c:numRef>
          </c:yVal>
          <c:smooth val="0"/>
        </c:ser>
        <c:ser>
          <c:idx val="31"/>
          <c:order val="31"/>
          <c:tx>
            <c:v>LagerV11</c:v>
          </c:tx>
          <c:spPr>
            <a:ln w="12700">
              <a:solidFill>
                <a:srgbClr val="808080"/>
              </a:solidFill>
              <a:prstDash val="solid"/>
            </a:ln>
          </c:spPr>
          <c:marker>
            <c:symbol val="none"/>
          </c:marker>
          <c:xVal>
            <c:numRef>
              <c:f>Symbole!$C$14:$F$14</c:f>
              <c:numCache>
                <c:formatCode>General</c:formatCode>
                <c:ptCount val="4"/>
                <c:pt idx="0">
                  <c:v>0.5</c:v>
                </c:pt>
                <c:pt idx="1">
                  <c:v>0.5</c:v>
                </c:pt>
                <c:pt idx="2">
                  <c:v>0.5</c:v>
                </c:pt>
                <c:pt idx="3">
                  <c:v>0.5</c:v>
                </c:pt>
              </c:numCache>
            </c:numRef>
          </c:xVal>
          <c:yVal>
            <c:numRef>
              <c:f>Symbole!$G$14:$J$14</c:f>
              <c:numCache>
                <c:formatCode>General</c:formatCode>
                <c:ptCount val="4"/>
                <c:pt idx="0">
                  <c:v>0.47499999999999998</c:v>
                </c:pt>
                <c:pt idx="1">
                  <c:v>0.47499999999999998</c:v>
                </c:pt>
                <c:pt idx="2">
                  <c:v>0.47499999999999998</c:v>
                </c:pt>
                <c:pt idx="3">
                  <c:v>0.47499999999999998</c:v>
                </c:pt>
              </c:numCache>
            </c:numRef>
          </c:yVal>
          <c:smooth val="0"/>
        </c:ser>
        <c:ser>
          <c:idx val="32"/>
          <c:order val="32"/>
          <c:tx>
            <c:v>LagerV12</c:v>
          </c:tx>
          <c:spPr>
            <a:ln w="12700">
              <a:solidFill>
                <a:srgbClr val="808080"/>
              </a:solidFill>
              <a:prstDash val="solid"/>
            </a:ln>
          </c:spPr>
          <c:marker>
            <c:symbol val="none"/>
          </c:marker>
          <c:xVal>
            <c:numRef>
              <c:f>Symbole!$C$15:$F$15</c:f>
              <c:numCache>
                <c:formatCode>General</c:formatCode>
                <c:ptCount val="4"/>
                <c:pt idx="0">
                  <c:v>0.5</c:v>
                </c:pt>
                <c:pt idx="1">
                  <c:v>0.5</c:v>
                </c:pt>
                <c:pt idx="2">
                  <c:v>0.5</c:v>
                </c:pt>
                <c:pt idx="3">
                  <c:v>0.5</c:v>
                </c:pt>
              </c:numCache>
            </c:numRef>
          </c:xVal>
          <c:yVal>
            <c:numRef>
              <c:f>Symbole!$G$15:$J$15</c:f>
              <c:numCache>
                <c:formatCode>General</c:formatCode>
                <c:ptCount val="4"/>
                <c:pt idx="0">
                  <c:v>0.47499999999999998</c:v>
                </c:pt>
                <c:pt idx="1">
                  <c:v>0.47499999999999998</c:v>
                </c:pt>
                <c:pt idx="2">
                  <c:v>0.47499999999999998</c:v>
                </c:pt>
                <c:pt idx="3">
                  <c:v>0.47499999999999998</c:v>
                </c:pt>
              </c:numCache>
            </c:numRef>
          </c:yVal>
          <c:smooth val="0"/>
        </c:ser>
        <c:ser>
          <c:idx val="33"/>
          <c:order val="33"/>
          <c:tx>
            <c:v>LagerV13</c:v>
          </c:tx>
          <c:spPr>
            <a:ln w="12700">
              <a:solidFill>
                <a:srgbClr val="808080"/>
              </a:solidFill>
              <a:prstDash val="solid"/>
            </a:ln>
          </c:spPr>
          <c:marker>
            <c:symbol val="none"/>
          </c:marker>
          <c:xVal>
            <c:numRef>
              <c:f>Symbole!$C$16:$F$16</c:f>
              <c:numCache>
                <c:formatCode>General</c:formatCode>
                <c:ptCount val="4"/>
                <c:pt idx="0">
                  <c:v>0.5</c:v>
                </c:pt>
                <c:pt idx="1">
                  <c:v>0.5</c:v>
                </c:pt>
                <c:pt idx="2">
                  <c:v>0.5</c:v>
                </c:pt>
                <c:pt idx="3">
                  <c:v>0.5</c:v>
                </c:pt>
              </c:numCache>
            </c:numRef>
          </c:xVal>
          <c:yVal>
            <c:numRef>
              <c:f>Symbole!$G$16:$J$16</c:f>
              <c:numCache>
                <c:formatCode>General</c:formatCode>
                <c:ptCount val="4"/>
                <c:pt idx="0">
                  <c:v>0.47499999999999998</c:v>
                </c:pt>
                <c:pt idx="1">
                  <c:v>0.47499999999999998</c:v>
                </c:pt>
                <c:pt idx="2">
                  <c:v>0.47499999999999998</c:v>
                </c:pt>
                <c:pt idx="3">
                  <c:v>0.47499999999999998</c:v>
                </c:pt>
              </c:numCache>
            </c:numRef>
          </c:yVal>
          <c:smooth val="0"/>
        </c:ser>
        <c:ser>
          <c:idx val="34"/>
          <c:order val="34"/>
          <c:tx>
            <c:v>LagerV14</c:v>
          </c:tx>
          <c:spPr>
            <a:ln w="12700">
              <a:solidFill>
                <a:srgbClr val="808080"/>
              </a:solidFill>
              <a:prstDash val="solid"/>
            </a:ln>
          </c:spPr>
          <c:marker>
            <c:symbol val="none"/>
          </c:marker>
          <c:xVal>
            <c:numRef>
              <c:f>Symbole!$C$17:$F$17</c:f>
              <c:numCache>
                <c:formatCode>General</c:formatCode>
                <c:ptCount val="4"/>
                <c:pt idx="0">
                  <c:v>0.5</c:v>
                </c:pt>
                <c:pt idx="1">
                  <c:v>0.5</c:v>
                </c:pt>
                <c:pt idx="2">
                  <c:v>0.5</c:v>
                </c:pt>
                <c:pt idx="3">
                  <c:v>0.5</c:v>
                </c:pt>
              </c:numCache>
            </c:numRef>
          </c:xVal>
          <c:yVal>
            <c:numRef>
              <c:f>Symbole!$G$17:$J$17</c:f>
              <c:numCache>
                <c:formatCode>General</c:formatCode>
                <c:ptCount val="4"/>
                <c:pt idx="0">
                  <c:v>0.47499999999999998</c:v>
                </c:pt>
                <c:pt idx="1">
                  <c:v>0.47499999999999998</c:v>
                </c:pt>
                <c:pt idx="2">
                  <c:v>0.47499999999999998</c:v>
                </c:pt>
                <c:pt idx="3">
                  <c:v>0.47499999999999998</c:v>
                </c:pt>
              </c:numCache>
            </c:numRef>
          </c:yVal>
          <c:smooth val="0"/>
        </c:ser>
        <c:ser>
          <c:idx val="35"/>
          <c:order val="35"/>
          <c:tx>
            <c:v>LagerV15</c:v>
          </c:tx>
          <c:spPr>
            <a:ln w="12700">
              <a:solidFill>
                <a:srgbClr val="808080"/>
              </a:solidFill>
              <a:prstDash val="solid"/>
            </a:ln>
          </c:spPr>
          <c:marker>
            <c:symbol val="none"/>
          </c:marker>
          <c:xVal>
            <c:numRef>
              <c:f>Symbole!$C$18:$F$18</c:f>
              <c:numCache>
                <c:formatCode>General</c:formatCode>
                <c:ptCount val="4"/>
                <c:pt idx="0">
                  <c:v>0.5</c:v>
                </c:pt>
                <c:pt idx="1">
                  <c:v>0.5</c:v>
                </c:pt>
                <c:pt idx="2">
                  <c:v>0.5</c:v>
                </c:pt>
                <c:pt idx="3">
                  <c:v>0.5</c:v>
                </c:pt>
              </c:numCache>
            </c:numRef>
          </c:xVal>
          <c:yVal>
            <c:numRef>
              <c:f>Symbole!$G$18:$J$18</c:f>
              <c:numCache>
                <c:formatCode>General</c:formatCode>
                <c:ptCount val="4"/>
                <c:pt idx="0">
                  <c:v>0.47499999999999998</c:v>
                </c:pt>
                <c:pt idx="1">
                  <c:v>0.47499999999999998</c:v>
                </c:pt>
                <c:pt idx="2">
                  <c:v>0.47499999999999998</c:v>
                </c:pt>
                <c:pt idx="3">
                  <c:v>0.47499999999999998</c:v>
                </c:pt>
              </c:numCache>
            </c:numRef>
          </c:yVal>
          <c:smooth val="0"/>
        </c:ser>
        <c:ser>
          <c:idx val="36"/>
          <c:order val="36"/>
          <c:tx>
            <c:v>LagerV16</c:v>
          </c:tx>
          <c:spPr>
            <a:ln w="12700">
              <a:solidFill>
                <a:srgbClr val="808080"/>
              </a:solidFill>
              <a:prstDash val="solid"/>
            </a:ln>
          </c:spPr>
          <c:marker>
            <c:symbol val="none"/>
          </c:marker>
          <c:xVal>
            <c:numRef>
              <c:f>Symbole!$C$19:$F$19</c:f>
              <c:numCache>
                <c:formatCode>General</c:formatCode>
                <c:ptCount val="4"/>
                <c:pt idx="0">
                  <c:v>0.5</c:v>
                </c:pt>
                <c:pt idx="1">
                  <c:v>0.5</c:v>
                </c:pt>
                <c:pt idx="2">
                  <c:v>0.5</c:v>
                </c:pt>
                <c:pt idx="3">
                  <c:v>0.5</c:v>
                </c:pt>
              </c:numCache>
            </c:numRef>
          </c:xVal>
          <c:yVal>
            <c:numRef>
              <c:f>Symbole!$G$19:$J$19</c:f>
              <c:numCache>
                <c:formatCode>General</c:formatCode>
                <c:ptCount val="4"/>
                <c:pt idx="0">
                  <c:v>0.47499999999999998</c:v>
                </c:pt>
                <c:pt idx="1">
                  <c:v>0.47499999999999998</c:v>
                </c:pt>
                <c:pt idx="2">
                  <c:v>0.47499999999999998</c:v>
                </c:pt>
                <c:pt idx="3">
                  <c:v>0.47499999999999998</c:v>
                </c:pt>
              </c:numCache>
            </c:numRef>
          </c:yVal>
          <c:smooth val="0"/>
        </c:ser>
        <c:ser>
          <c:idx val="37"/>
          <c:order val="37"/>
          <c:tx>
            <c:v>LagerV17</c:v>
          </c:tx>
          <c:spPr>
            <a:ln w="12700">
              <a:solidFill>
                <a:srgbClr val="808080"/>
              </a:solidFill>
              <a:prstDash val="solid"/>
            </a:ln>
          </c:spPr>
          <c:marker>
            <c:symbol val="none"/>
          </c:marker>
          <c:xVal>
            <c:numRef>
              <c:f>Symbole!$C$20:$F$20</c:f>
              <c:numCache>
                <c:formatCode>General</c:formatCode>
                <c:ptCount val="4"/>
                <c:pt idx="0">
                  <c:v>0.5</c:v>
                </c:pt>
                <c:pt idx="1">
                  <c:v>0.5</c:v>
                </c:pt>
                <c:pt idx="2">
                  <c:v>0.5</c:v>
                </c:pt>
                <c:pt idx="3">
                  <c:v>0.5</c:v>
                </c:pt>
              </c:numCache>
            </c:numRef>
          </c:xVal>
          <c:yVal>
            <c:numRef>
              <c:f>Symbole!$G$20:$J$20</c:f>
              <c:numCache>
                <c:formatCode>General</c:formatCode>
                <c:ptCount val="4"/>
                <c:pt idx="0">
                  <c:v>0.47499999999999998</c:v>
                </c:pt>
                <c:pt idx="1">
                  <c:v>0.47499999999999998</c:v>
                </c:pt>
                <c:pt idx="2">
                  <c:v>0.47499999999999998</c:v>
                </c:pt>
                <c:pt idx="3">
                  <c:v>0.47499999999999998</c:v>
                </c:pt>
              </c:numCache>
            </c:numRef>
          </c:yVal>
          <c:smooth val="0"/>
        </c:ser>
        <c:ser>
          <c:idx val="38"/>
          <c:order val="38"/>
          <c:tx>
            <c:v>LagerV18</c:v>
          </c:tx>
          <c:spPr>
            <a:ln w="12700">
              <a:solidFill>
                <a:srgbClr val="808080"/>
              </a:solidFill>
              <a:prstDash val="solid"/>
            </a:ln>
          </c:spPr>
          <c:marker>
            <c:symbol val="none"/>
          </c:marker>
          <c:xVal>
            <c:numRef>
              <c:f>Symbole!$C$21:$F$21</c:f>
              <c:numCache>
                <c:formatCode>General</c:formatCode>
                <c:ptCount val="4"/>
                <c:pt idx="0">
                  <c:v>0.5</c:v>
                </c:pt>
                <c:pt idx="1">
                  <c:v>0.5</c:v>
                </c:pt>
                <c:pt idx="2">
                  <c:v>0.5</c:v>
                </c:pt>
                <c:pt idx="3">
                  <c:v>0.5</c:v>
                </c:pt>
              </c:numCache>
            </c:numRef>
          </c:xVal>
          <c:yVal>
            <c:numRef>
              <c:f>Symbole!$G$21:$J$21</c:f>
              <c:numCache>
                <c:formatCode>General</c:formatCode>
                <c:ptCount val="4"/>
                <c:pt idx="0">
                  <c:v>0.47499999999999998</c:v>
                </c:pt>
                <c:pt idx="1">
                  <c:v>0.47499999999999998</c:v>
                </c:pt>
                <c:pt idx="2">
                  <c:v>0.47499999999999998</c:v>
                </c:pt>
                <c:pt idx="3">
                  <c:v>0.47499999999999998</c:v>
                </c:pt>
              </c:numCache>
            </c:numRef>
          </c:yVal>
          <c:smooth val="0"/>
        </c:ser>
        <c:ser>
          <c:idx val="39"/>
          <c:order val="39"/>
          <c:tx>
            <c:v>LagerV19</c:v>
          </c:tx>
          <c:spPr>
            <a:ln w="12700">
              <a:solidFill>
                <a:srgbClr val="808080"/>
              </a:solidFill>
              <a:prstDash val="solid"/>
            </a:ln>
          </c:spPr>
          <c:marker>
            <c:symbol val="none"/>
          </c:marker>
          <c:xVal>
            <c:numRef>
              <c:f>Symbole!$C$22:$F$22</c:f>
              <c:numCache>
                <c:formatCode>General</c:formatCode>
                <c:ptCount val="4"/>
                <c:pt idx="0">
                  <c:v>0.5</c:v>
                </c:pt>
                <c:pt idx="1">
                  <c:v>0.5</c:v>
                </c:pt>
                <c:pt idx="2">
                  <c:v>0.5</c:v>
                </c:pt>
                <c:pt idx="3">
                  <c:v>0.5</c:v>
                </c:pt>
              </c:numCache>
            </c:numRef>
          </c:xVal>
          <c:yVal>
            <c:numRef>
              <c:f>Symbole!$G$22:$J$22</c:f>
              <c:numCache>
                <c:formatCode>General</c:formatCode>
                <c:ptCount val="4"/>
                <c:pt idx="0">
                  <c:v>0.47499999999999998</c:v>
                </c:pt>
                <c:pt idx="1">
                  <c:v>0.47499999999999998</c:v>
                </c:pt>
                <c:pt idx="2">
                  <c:v>0.47499999999999998</c:v>
                </c:pt>
                <c:pt idx="3">
                  <c:v>0.47499999999999998</c:v>
                </c:pt>
              </c:numCache>
            </c:numRef>
          </c:yVal>
          <c:smooth val="0"/>
        </c:ser>
        <c:ser>
          <c:idx val="40"/>
          <c:order val="40"/>
          <c:tx>
            <c:v>LagerV20</c:v>
          </c:tx>
          <c:spPr>
            <a:ln w="12700">
              <a:solidFill>
                <a:srgbClr val="808080"/>
              </a:solidFill>
              <a:prstDash val="solid"/>
            </a:ln>
          </c:spPr>
          <c:marker>
            <c:symbol val="none"/>
          </c:marker>
          <c:xVal>
            <c:numRef>
              <c:f>Symbole!$C$23:$F$23</c:f>
              <c:numCache>
                <c:formatCode>General</c:formatCode>
                <c:ptCount val="4"/>
                <c:pt idx="0">
                  <c:v>0.5</c:v>
                </c:pt>
                <c:pt idx="1">
                  <c:v>0.5</c:v>
                </c:pt>
                <c:pt idx="2">
                  <c:v>0.5</c:v>
                </c:pt>
                <c:pt idx="3">
                  <c:v>0.5</c:v>
                </c:pt>
              </c:numCache>
            </c:numRef>
          </c:xVal>
          <c:yVal>
            <c:numRef>
              <c:f>Symbole!$G$23:$J$23</c:f>
              <c:numCache>
                <c:formatCode>General</c:formatCode>
                <c:ptCount val="4"/>
                <c:pt idx="0">
                  <c:v>0.47499999999999998</c:v>
                </c:pt>
                <c:pt idx="1">
                  <c:v>0.47499999999999998</c:v>
                </c:pt>
                <c:pt idx="2">
                  <c:v>0.47499999999999998</c:v>
                </c:pt>
                <c:pt idx="3">
                  <c:v>0.47499999999999998</c:v>
                </c:pt>
              </c:numCache>
            </c:numRef>
          </c:yVal>
          <c:smooth val="0"/>
        </c:ser>
        <c:ser>
          <c:idx val="41"/>
          <c:order val="41"/>
          <c:tx>
            <c:v>LagerH1</c:v>
          </c:tx>
          <c:spPr>
            <a:ln w="12700">
              <a:solidFill>
                <a:srgbClr val="808080"/>
              </a:solidFill>
              <a:prstDash val="solid"/>
            </a:ln>
          </c:spPr>
          <c:marker>
            <c:symbol val="none"/>
          </c:marker>
          <c:xVal>
            <c:numRef>
              <c:f>Symbole!$C$27:$F$27</c:f>
              <c:numCache>
                <c:formatCode>General</c:formatCode>
                <c:ptCount val="4"/>
                <c:pt idx="0">
                  <c:v>0</c:v>
                </c:pt>
                <c:pt idx="1">
                  <c:v>-5.4358748258674983E-2</c:v>
                </c:pt>
                <c:pt idx="2">
                  <c:v>-5.4358748258674983E-2</c:v>
                </c:pt>
                <c:pt idx="3">
                  <c:v>0</c:v>
                </c:pt>
              </c:numCache>
            </c:numRef>
          </c:xVal>
          <c:yVal>
            <c:numRef>
              <c:f>Symbole!$G$27:$J$27</c:f>
              <c:numCache>
                <c:formatCode>General</c:formatCode>
                <c:ptCount val="4"/>
                <c:pt idx="0">
                  <c:v>0.75</c:v>
                </c:pt>
                <c:pt idx="1">
                  <c:v>0.78138495857891166</c:v>
                </c:pt>
                <c:pt idx="2">
                  <c:v>0.71861504142108834</c:v>
                </c:pt>
                <c:pt idx="3">
                  <c:v>0.75</c:v>
                </c:pt>
              </c:numCache>
            </c:numRef>
          </c:yVal>
          <c:smooth val="0"/>
        </c:ser>
        <c:ser>
          <c:idx val="42"/>
          <c:order val="42"/>
          <c:tx>
            <c:v>LagerH2</c:v>
          </c:tx>
          <c:spPr>
            <a:ln w="12700">
              <a:solidFill>
                <a:srgbClr val="808080"/>
              </a:solidFill>
              <a:prstDash val="solid"/>
            </a:ln>
          </c:spPr>
          <c:marker>
            <c:symbol val="none"/>
          </c:marker>
          <c:xVal>
            <c:numRef>
              <c:f>Symbole!$C$28:$F$28</c:f>
              <c:numCache>
                <c:formatCode>General</c:formatCode>
                <c:ptCount val="4"/>
                <c:pt idx="0">
                  <c:v>0.5</c:v>
                </c:pt>
                <c:pt idx="1">
                  <c:v>0.5</c:v>
                </c:pt>
                <c:pt idx="2">
                  <c:v>0.5</c:v>
                </c:pt>
                <c:pt idx="3">
                  <c:v>0.5</c:v>
                </c:pt>
              </c:numCache>
            </c:numRef>
          </c:xVal>
          <c:yVal>
            <c:numRef>
              <c:f>Symbole!$G$28:$J$28</c:f>
              <c:numCache>
                <c:formatCode>General</c:formatCode>
                <c:ptCount val="4"/>
                <c:pt idx="0">
                  <c:v>0.25</c:v>
                </c:pt>
                <c:pt idx="1">
                  <c:v>0.25</c:v>
                </c:pt>
                <c:pt idx="2">
                  <c:v>0.25</c:v>
                </c:pt>
                <c:pt idx="3">
                  <c:v>0.25</c:v>
                </c:pt>
              </c:numCache>
            </c:numRef>
          </c:yVal>
          <c:smooth val="0"/>
        </c:ser>
        <c:ser>
          <c:idx val="43"/>
          <c:order val="43"/>
          <c:tx>
            <c:v>LagerH3</c:v>
          </c:tx>
          <c:spPr>
            <a:ln w="12700">
              <a:solidFill>
                <a:srgbClr val="808080"/>
              </a:solidFill>
              <a:prstDash val="solid"/>
            </a:ln>
          </c:spPr>
          <c:marker>
            <c:symbol val="none"/>
          </c:marker>
          <c:xVal>
            <c:numRef>
              <c:f>Symbole!$C$29:$F$29</c:f>
              <c:numCache>
                <c:formatCode>General</c:formatCode>
                <c:ptCount val="4"/>
                <c:pt idx="0">
                  <c:v>1</c:v>
                </c:pt>
                <c:pt idx="1">
                  <c:v>0.94564125174132507</c:v>
                </c:pt>
                <c:pt idx="2">
                  <c:v>0.94564125174132507</c:v>
                </c:pt>
                <c:pt idx="3">
                  <c:v>1</c:v>
                </c:pt>
              </c:numCache>
            </c:numRef>
          </c:xVal>
          <c:yVal>
            <c:numRef>
              <c:f>Symbole!$G$29:$J$29</c:f>
              <c:numCache>
                <c:formatCode>General</c:formatCode>
                <c:ptCount val="4"/>
                <c:pt idx="0">
                  <c:v>0.25</c:v>
                </c:pt>
                <c:pt idx="1">
                  <c:v>0.28138495857891166</c:v>
                </c:pt>
                <c:pt idx="2">
                  <c:v>0.21861504142108834</c:v>
                </c:pt>
                <c:pt idx="3">
                  <c:v>0.25</c:v>
                </c:pt>
              </c:numCache>
            </c:numRef>
          </c:yVal>
          <c:smooth val="0"/>
        </c:ser>
        <c:ser>
          <c:idx val="44"/>
          <c:order val="44"/>
          <c:tx>
            <c:v>LagerH4</c:v>
          </c:tx>
          <c:spPr>
            <a:ln w="12700">
              <a:solidFill>
                <a:srgbClr val="808080"/>
              </a:solidFill>
              <a:prstDash val="solid"/>
            </a:ln>
          </c:spPr>
          <c:marker>
            <c:symbol val="none"/>
          </c:marker>
          <c:xVal>
            <c:numRef>
              <c:f>Symbole!$C$30:$F$30</c:f>
              <c:numCache>
                <c:formatCode>General</c:formatCode>
                <c:ptCount val="4"/>
                <c:pt idx="0">
                  <c:v>0.5</c:v>
                </c:pt>
                <c:pt idx="1">
                  <c:v>0.5</c:v>
                </c:pt>
                <c:pt idx="2">
                  <c:v>0.5</c:v>
                </c:pt>
                <c:pt idx="3">
                  <c:v>0.5</c:v>
                </c:pt>
              </c:numCache>
            </c:numRef>
          </c:xVal>
          <c:yVal>
            <c:numRef>
              <c:f>Symbole!$G$30:$J$30</c:f>
              <c:numCache>
                <c:formatCode>General</c:formatCode>
                <c:ptCount val="4"/>
                <c:pt idx="0">
                  <c:v>0.47499999999999998</c:v>
                </c:pt>
                <c:pt idx="1">
                  <c:v>0.47499999999999998</c:v>
                </c:pt>
                <c:pt idx="2">
                  <c:v>0.47499999999999998</c:v>
                </c:pt>
                <c:pt idx="3">
                  <c:v>0.47499999999999998</c:v>
                </c:pt>
              </c:numCache>
            </c:numRef>
          </c:yVal>
          <c:smooth val="0"/>
        </c:ser>
        <c:ser>
          <c:idx val="45"/>
          <c:order val="45"/>
          <c:tx>
            <c:v>LagerH5</c:v>
          </c:tx>
          <c:spPr>
            <a:ln w="12700">
              <a:solidFill>
                <a:srgbClr val="808080"/>
              </a:solidFill>
              <a:prstDash val="solid"/>
            </a:ln>
          </c:spPr>
          <c:marker>
            <c:symbol val="none"/>
          </c:marker>
          <c:xVal>
            <c:numRef>
              <c:f>Symbole!$C$31:$F$31</c:f>
              <c:numCache>
                <c:formatCode>General</c:formatCode>
                <c:ptCount val="4"/>
                <c:pt idx="0">
                  <c:v>0.5</c:v>
                </c:pt>
                <c:pt idx="1">
                  <c:v>0.5</c:v>
                </c:pt>
                <c:pt idx="2">
                  <c:v>0.5</c:v>
                </c:pt>
                <c:pt idx="3">
                  <c:v>0.5</c:v>
                </c:pt>
              </c:numCache>
            </c:numRef>
          </c:xVal>
          <c:yVal>
            <c:numRef>
              <c:f>Symbole!$G$31:$J$31</c:f>
              <c:numCache>
                <c:formatCode>General</c:formatCode>
                <c:ptCount val="4"/>
                <c:pt idx="0">
                  <c:v>0.47499999999999998</c:v>
                </c:pt>
                <c:pt idx="1">
                  <c:v>0.47499999999999998</c:v>
                </c:pt>
                <c:pt idx="2">
                  <c:v>0.47499999999999998</c:v>
                </c:pt>
                <c:pt idx="3">
                  <c:v>0.47499999999999998</c:v>
                </c:pt>
              </c:numCache>
            </c:numRef>
          </c:yVal>
          <c:smooth val="0"/>
        </c:ser>
        <c:ser>
          <c:idx val="46"/>
          <c:order val="46"/>
          <c:tx>
            <c:v>LagerH6</c:v>
          </c:tx>
          <c:spPr>
            <a:ln w="12700">
              <a:solidFill>
                <a:srgbClr val="808080"/>
              </a:solidFill>
              <a:prstDash val="solid"/>
            </a:ln>
          </c:spPr>
          <c:marker>
            <c:symbol val="none"/>
          </c:marker>
          <c:xVal>
            <c:numRef>
              <c:f>Symbole!$C$32:$F$32</c:f>
              <c:numCache>
                <c:formatCode>General</c:formatCode>
                <c:ptCount val="4"/>
                <c:pt idx="0">
                  <c:v>0.5</c:v>
                </c:pt>
                <c:pt idx="1">
                  <c:v>0.5</c:v>
                </c:pt>
                <c:pt idx="2">
                  <c:v>0.5</c:v>
                </c:pt>
                <c:pt idx="3">
                  <c:v>0.5</c:v>
                </c:pt>
              </c:numCache>
            </c:numRef>
          </c:xVal>
          <c:yVal>
            <c:numRef>
              <c:f>Symbole!$G$32:$J$32</c:f>
              <c:numCache>
                <c:formatCode>General</c:formatCode>
                <c:ptCount val="4"/>
                <c:pt idx="0">
                  <c:v>0.47499999999999998</c:v>
                </c:pt>
                <c:pt idx="1">
                  <c:v>0.47499999999999998</c:v>
                </c:pt>
                <c:pt idx="2">
                  <c:v>0.47499999999999998</c:v>
                </c:pt>
                <c:pt idx="3">
                  <c:v>0.47499999999999998</c:v>
                </c:pt>
              </c:numCache>
            </c:numRef>
          </c:yVal>
          <c:smooth val="0"/>
        </c:ser>
        <c:ser>
          <c:idx val="47"/>
          <c:order val="47"/>
          <c:tx>
            <c:v>LagerH7</c:v>
          </c:tx>
          <c:spPr>
            <a:ln w="12700">
              <a:solidFill>
                <a:srgbClr val="808080"/>
              </a:solidFill>
              <a:prstDash val="solid"/>
            </a:ln>
          </c:spPr>
          <c:marker>
            <c:symbol val="none"/>
          </c:marker>
          <c:xVal>
            <c:numRef>
              <c:f>Symbole!$C$33:$F$33</c:f>
              <c:numCache>
                <c:formatCode>General</c:formatCode>
                <c:ptCount val="4"/>
                <c:pt idx="0">
                  <c:v>0.5</c:v>
                </c:pt>
                <c:pt idx="1">
                  <c:v>0.5</c:v>
                </c:pt>
                <c:pt idx="2">
                  <c:v>0.5</c:v>
                </c:pt>
                <c:pt idx="3">
                  <c:v>0.5</c:v>
                </c:pt>
              </c:numCache>
            </c:numRef>
          </c:xVal>
          <c:yVal>
            <c:numRef>
              <c:f>Symbole!$G$33:$J$33</c:f>
              <c:numCache>
                <c:formatCode>General</c:formatCode>
                <c:ptCount val="4"/>
                <c:pt idx="0">
                  <c:v>0.47499999999999998</c:v>
                </c:pt>
                <c:pt idx="1">
                  <c:v>0.47499999999999998</c:v>
                </c:pt>
                <c:pt idx="2">
                  <c:v>0.47499999999999998</c:v>
                </c:pt>
                <c:pt idx="3">
                  <c:v>0.47499999999999998</c:v>
                </c:pt>
              </c:numCache>
            </c:numRef>
          </c:yVal>
          <c:smooth val="0"/>
        </c:ser>
        <c:ser>
          <c:idx val="48"/>
          <c:order val="48"/>
          <c:tx>
            <c:v>LagerH8</c:v>
          </c:tx>
          <c:spPr>
            <a:ln w="12700">
              <a:solidFill>
                <a:srgbClr val="808080"/>
              </a:solidFill>
              <a:prstDash val="solid"/>
            </a:ln>
          </c:spPr>
          <c:marker>
            <c:symbol val="none"/>
          </c:marker>
          <c:xVal>
            <c:numRef>
              <c:f>Symbole!$C$34:$F$34</c:f>
              <c:numCache>
                <c:formatCode>General</c:formatCode>
                <c:ptCount val="4"/>
                <c:pt idx="0">
                  <c:v>0.5</c:v>
                </c:pt>
                <c:pt idx="1">
                  <c:v>0.5</c:v>
                </c:pt>
                <c:pt idx="2">
                  <c:v>0.5</c:v>
                </c:pt>
                <c:pt idx="3">
                  <c:v>0.5</c:v>
                </c:pt>
              </c:numCache>
            </c:numRef>
          </c:xVal>
          <c:yVal>
            <c:numRef>
              <c:f>Symbole!$G$34:$J$34</c:f>
              <c:numCache>
                <c:formatCode>General</c:formatCode>
                <c:ptCount val="4"/>
                <c:pt idx="0">
                  <c:v>0.47499999999999998</c:v>
                </c:pt>
                <c:pt idx="1">
                  <c:v>0.47499999999999998</c:v>
                </c:pt>
                <c:pt idx="2">
                  <c:v>0.47499999999999998</c:v>
                </c:pt>
                <c:pt idx="3">
                  <c:v>0.47499999999999998</c:v>
                </c:pt>
              </c:numCache>
            </c:numRef>
          </c:yVal>
          <c:smooth val="0"/>
        </c:ser>
        <c:ser>
          <c:idx val="49"/>
          <c:order val="49"/>
          <c:tx>
            <c:v>LagerH9</c:v>
          </c:tx>
          <c:spPr>
            <a:ln w="12700">
              <a:solidFill>
                <a:srgbClr val="808080"/>
              </a:solidFill>
              <a:prstDash val="solid"/>
            </a:ln>
          </c:spPr>
          <c:marker>
            <c:symbol val="none"/>
          </c:marker>
          <c:xVal>
            <c:numRef>
              <c:f>Symbole!$C$35:$F$35</c:f>
              <c:numCache>
                <c:formatCode>General</c:formatCode>
                <c:ptCount val="4"/>
                <c:pt idx="0">
                  <c:v>0.5</c:v>
                </c:pt>
                <c:pt idx="1">
                  <c:v>0.5</c:v>
                </c:pt>
                <c:pt idx="2">
                  <c:v>0.5</c:v>
                </c:pt>
                <c:pt idx="3">
                  <c:v>0.5</c:v>
                </c:pt>
              </c:numCache>
            </c:numRef>
          </c:xVal>
          <c:yVal>
            <c:numRef>
              <c:f>Symbole!$G$35:$J$35</c:f>
              <c:numCache>
                <c:formatCode>General</c:formatCode>
                <c:ptCount val="4"/>
                <c:pt idx="0">
                  <c:v>0.47499999999999998</c:v>
                </c:pt>
                <c:pt idx="1">
                  <c:v>0.47499999999999998</c:v>
                </c:pt>
                <c:pt idx="2">
                  <c:v>0.47499999999999998</c:v>
                </c:pt>
                <c:pt idx="3">
                  <c:v>0.47499999999999998</c:v>
                </c:pt>
              </c:numCache>
            </c:numRef>
          </c:yVal>
          <c:smooth val="0"/>
        </c:ser>
        <c:ser>
          <c:idx val="50"/>
          <c:order val="50"/>
          <c:tx>
            <c:v>LagerH10</c:v>
          </c:tx>
          <c:spPr>
            <a:ln w="12700">
              <a:solidFill>
                <a:srgbClr val="808080"/>
              </a:solidFill>
              <a:prstDash val="solid"/>
            </a:ln>
          </c:spPr>
          <c:marker>
            <c:symbol val="none"/>
          </c:marker>
          <c:xVal>
            <c:numRef>
              <c:f>Symbole!$C$36:$F$36</c:f>
              <c:numCache>
                <c:formatCode>General</c:formatCode>
                <c:ptCount val="4"/>
                <c:pt idx="0">
                  <c:v>0.5</c:v>
                </c:pt>
                <c:pt idx="1">
                  <c:v>0.5</c:v>
                </c:pt>
                <c:pt idx="2">
                  <c:v>0.5</c:v>
                </c:pt>
                <c:pt idx="3">
                  <c:v>0.5</c:v>
                </c:pt>
              </c:numCache>
            </c:numRef>
          </c:xVal>
          <c:yVal>
            <c:numRef>
              <c:f>Symbole!$G$36:$J$36</c:f>
              <c:numCache>
                <c:formatCode>General</c:formatCode>
                <c:ptCount val="4"/>
                <c:pt idx="0">
                  <c:v>0.47499999999999998</c:v>
                </c:pt>
                <c:pt idx="1">
                  <c:v>0.47499999999999998</c:v>
                </c:pt>
                <c:pt idx="2">
                  <c:v>0.47499999999999998</c:v>
                </c:pt>
                <c:pt idx="3">
                  <c:v>0.47499999999999998</c:v>
                </c:pt>
              </c:numCache>
            </c:numRef>
          </c:yVal>
          <c:smooth val="0"/>
        </c:ser>
        <c:ser>
          <c:idx val="51"/>
          <c:order val="51"/>
          <c:tx>
            <c:v>LagerH11</c:v>
          </c:tx>
          <c:spPr>
            <a:ln w="12700">
              <a:solidFill>
                <a:srgbClr val="808080"/>
              </a:solidFill>
              <a:prstDash val="solid"/>
            </a:ln>
          </c:spPr>
          <c:marker>
            <c:symbol val="none"/>
          </c:marker>
          <c:xVal>
            <c:numRef>
              <c:f>Symbole!$C$37:$F$37</c:f>
              <c:numCache>
                <c:formatCode>General</c:formatCode>
                <c:ptCount val="4"/>
                <c:pt idx="0">
                  <c:v>0.5</c:v>
                </c:pt>
                <c:pt idx="1">
                  <c:v>0.5</c:v>
                </c:pt>
                <c:pt idx="2">
                  <c:v>0.5</c:v>
                </c:pt>
                <c:pt idx="3">
                  <c:v>0.5</c:v>
                </c:pt>
              </c:numCache>
            </c:numRef>
          </c:xVal>
          <c:yVal>
            <c:numRef>
              <c:f>Symbole!$G$37:$J$37</c:f>
              <c:numCache>
                <c:formatCode>General</c:formatCode>
                <c:ptCount val="4"/>
                <c:pt idx="0">
                  <c:v>0.47499999999999998</c:v>
                </c:pt>
                <c:pt idx="1">
                  <c:v>0.47499999999999998</c:v>
                </c:pt>
                <c:pt idx="2">
                  <c:v>0.47499999999999998</c:v>
                </c:pt>
                <c:pt idx="3">
                  <c:v>0.47499999999999998</c:v>
                </c:pt>
              </c:numCache>
            </c:numRef>
          </c:yVal>
          <c:smooth val="0"/>
        </c:ser>
        <c:ser>
          <c:idx val="52"/>
          <c:order val="52"/>
          <c:tx>
            <c:v>LagerH12</c:v>
          </c:tx>
          <c:spPr>
            <a:ln w="12700">
              <a:solidFill>
                <a:srgbClr val="808080"/>
              </a:solidFill>
              <a:prstDash val="solid"/>
            </a:ln>
          </c:spPr>
          <c:marker>
            <c:symbol val="none"/>
          </c:marker>
          <c:xVal>
            <c:numRef>
              <c:f>Symbole!$C$38:$F$38</c:f>
              <c:numCache>
                <c:formatCode>General</c:formatCode>
                <c:ptCount val="4"/>
                <c:pt idx="0">
                  <c:v>0.5</c:v>
                </c:pt>
                <c:pt idx="1">
                  <c:v>0.5</c:v>
                </c:pt>
                <c:pt idx="2">
                  <c:v>0.5</c:v>
                </c:pt>
                <c:pt idx="3">
                  <c:v>0.5</c:v>
                </c:pt>
              </c:numCache>
            </c:numRef>
          </c:xVal>
          <c:yVal>
            <c:numRef>
              <c:f>Symbole!$G$38:$J$38</c:f>
              <c:numCache>
                <c:formatCode>General</c:formatCode>
                <c:ptCount val="4"/>
                <c:pt idx="0">
                  <c:v>0.47499999999999998</c:v>
                </c:pt>
                <c:pt idx="1">
                  <c:v>0.47499999999999998</c:v>
                </c:pt>
                <c:pt idx="2">
                  <c:v>0.47499999999999998</c:v>
                </c:pt>
                <c:pt idx="3">
                  <c:v>0.47499999999999998</c:v>
                </c:pt>
              </c:numCache>
            </c:numRef>
          </c:yVal>
          <c:smooth val="0"/>
        </c:ser>
        <c:ser>
          <c:idx val="53"/>
          <c:order val="53"/>
          <c:tx>
            <c:v>LagerH13</c:v>
          </c:tx>
          <c:spPr>
            <a:ln w="12700">
              <a:solidFill>
                <a:srgbClr val="808080"/>
              </a:solidFill>
              <a:prstDash val="solid"/>
            </a:ln>
          </c:spPr>
          <c:marker>
            <c:symbol val="none"/>
          </c:marker>
          <c:xVal>
            <c:numRef>
              <c:f>Symbole!$C$39:$F$39</c:f>
              <c:numCache>
                <c:formatCode>General</c:formatCode>
                <c:ptCount val="4"/>
                <c:pt idx="0">
                  <c:v>0.5</c:v>
                </c:pt>
                <c:pt idx="1">
                  <c:v>0.5</c:v>
                </c:pt>
                <c:pt idx="2">
                  <c:v>0.5</c:v>
                </c:pt>
                <c:pt idx="3">
                  <c:v>0.5</c:v>
                </c:pt>
              </c:numCache>
            </c:numRef>
          </c:xVal>
          <c:yVal>
            <c:numRef>
              <c:f>Symbole!$G$39:$J$39</c:f>
              <c:numCache>
                <c:formatCode>General</c:formatCode>
                <c:ptCount val="4"/>
                <c:pt idx="0">
                  <c:v>0.47499999999999998</c:v>
                </c:pt>
                <c:pt idx="1">
                  <c:v>0.47499999999999998</c:v>
                </c:pt>
                <c:pt idx="2">
                  <c:v>0.47499999999999998</c:v>
                </c:pt>
                <c:pt idx="3">
                  <c:v>0.47499999999999998</c:v>
                </c:pt>
              </c:numCache>
            </c:numRef>
          </c:yVal>
          <c:smooth val="0"/>
        </c:ser>
        <c:ser>
          <c:idx val="54"/>
          <c:order val="54"/>
          <c:tx>
            <c:v>LagerH14</c:v>
          </c:tx>
          <c:spPr>
            <a:ln w="12700">
              <a:solidFill>
                <a:srgbClr val="808080"/>
              </a:solidFill>
              <a:prstDash val="solid"/>
            </a:ln>
          </c:spPr>
          <c:marker>
            <c:symbol val="none"/>
          </c:marker>
          <c:xVal>
            <c:numRef>
              <c:f>Symbole!$C$40:$F$40</c:f>
              <c:numCache>
                <c:formatCode>General</c:formatCode>
                <c:ptCount val="4"/>
                <c:pt idx="0">
                  <c:v>0.5</c:v>
                </c:pt>
                <c:pt idx="1">
                  <c:v>0.5</c:v>
                </c:pt>
                <c:pt idx="2">
                  <c:v>0.5</c:v>
                </c:pt>
                <c:pt idx="3">
                  <c:v>0.5</c:v>
                </c:pt>
              </c:numCache>
            </c:numRef>
          </c:xVal>
          <c:yVal>
            <c:numRef>
              <c:f>Symbole!$G$40:$J$40</c:f>
              <c:numCache>
                <c:formatCode>General</c:formatCode>
                <c:ptCount val="4"/>
                <c:pt idx="0">
                  <c:v>0.47499999999999998</c:v>
                </c:pt>
                <c:pt idx="1">
                  <c:v>0.47499999999999998</c:v>
                </c:pt>
                <c:pt idx="2">
                  <c:v>0.47499999999999998</c:v>
                </c:pt>
                <c:pt idx="3">
                  <c:v>0.47499999999999998</c:v>
                </c:pt>
              </c:numCache>
            </c:numRef>
          </c:yVal>
          <c:smooth val="0"/>
        </c:ser>
        <c:ser>
          <c:idx val="55"/>
          <c:order val="55"/>
          <c:tx>
            <c:v>LagerH15</c:v>
          </c:tx>
          <c:spPr>
            <a:ln w="12700">
              <a:solidFill>
                <a:srgbClr val="808080"/>
              </a:solidFill>
              <a:prstDash val="solid"/>
            </a:ln>
          </c:spPr>
          <c:marker>
            <c:symbol val="none"/>
          </c:marker>
          <c:xVal>
            <c:numRef>
              <c:f>Symbole!$C$41:$F$41</c:f>
              <c:numCache>
                <c:formatCode>General</c:formatCode>
                <c:ptCount val="4"/>
                <c:pt idx="0">
                  <c:v>0.5</c:v>
                </c:pt>
                <c:pt idx="1">
                  <c:v>0.5</c:v>
                </c:pt>
                <c:pt idx="2">
                  <c:v>0.5</c:v>
                </c:pt>
                <c:pt idx="3">
                  <c:v>0.5</c:v>
                </c:pt>
              </c:numCache>
            </c:numRef>
          </c:xVal>
          <c:yVal>
            <c:numRef>
              <c:f>Symbole!$G$41:$J$41</c:f>
              <c:numCache>
                <c:formatCode>General</c:formatCode>
                <c:ptCount val="4"/>
                <c:pt idx="0">
                  <c:v>0.47499999999999998</c:v>
                </c:pt>
                <c:pt idx="1">
                  <c:v>0.47499999999999998</c:v>
                </c:pt>
                <c:pt idx="2">
                  <c:v>0.47499999999999998</c:v>
                </c:pt>
                <c:pt idx="3">
                  <c:v>0.47499999999999998</c:v>
                </c:pt>
              </c:numCache>
            </c:numRef>
          </c:yVal>
          <c:smooth val="0"/>
        </c:ser>
        <c:ser>
          <c:idx val="56"/>
          <c:order val="56"/>
          <c:tx>
            <c:v>LagerH16</c:v>
          </c:tx>
          <c:spPr>
            <a:ln w="12700">
              <a:solidFill>
                <a:srgbClr val="808080"/>
              </a:solidFill>
              <a:prstDash val="solid"/>
            </a:ln>
          </c:spPr>
          <c:marker>
            <c:symbol val="none"/>
          </c:marker>
          <c:xVal>
            <c:numRef>
              <c:f>Symbole!$C$42:$F$42</c:f>
              <c:numCache>
                <c:formatCode>General</c:formatCode>
                <c:ptCount val="4"/>
                <c:pt idx="0">
                  <c:v>0.5</c:v>
                </c:pt>
                <c:pt idx="1">
                  <c:v>0.5</c:v>
                </c:pt>
                <c:pt idx="2">
                  <c:v>0.5</c:v>
                </c:pt>
                <c:pt idx="3">
                  <c:v>0.5</c:v>
                </c:pt>
              </c:numCache>
            </c:numRef>
          </c:xVal>
          <c:yVal>
            <c:numRef>
              <c:f>Symbole!$G$42:$J$42</c:f>
              <c:numCache>
                <c:formatCode>General</c:formatCode>
                <c:ptCount val="4"/>
                <c:pt idx="0">
                  <c:v>0.47499999999999998</c:v>
                </c:pt>
                <c:pt idx="1">
                  <c:v>0.47499999999999998</c:v>
                </c:pt>
                <c:pt idx="2">
                  <c:v>0.47499999999999998</c:v>
                </c:pt>
                <c:pt idx="3">
                  <c:v>0.47499999999999998</c:v>
                </c:pt>
              </c:numCache>
            </c:numRef>
          </c:yVal>
          <c:smooth val="0"/>
        </c:ser>
        <c:ser>
          <c:idx val="57"/>
          <c:order val="57"/>
          <c:tx>
            <c:v>LagerH17</c:v>
          </c:tx>
          <c:spPr>
            <a:ln w="12700">
              <a:solidFill>
                <a:srgbClr val="808080"/>
              </a:solidFill>
              <a:prstDash val="solid"/>
            </a:ln>
          </c:spPr>
          <c:marker>
            <c:symbol val="none"/>
          </c:marker>
          <c:xVal>
            <c:numRef>
              <c:f>Symbole!$C$43:$F$43</c:f>
              <c:numCache>
                <c:formatCode>General</c:formatCode>
                <c:ptCount val="4"/>
                <c:pt idx="0">
                  <c:v>0.5</c:v>
                </c:pt>
                <c:pt idx="1">
                  <c:v>0.5</c:v>
                </c:pt>
                <c:pt idx="2">
                  <c:v>0.5</c:v>
                </c:pt>
                <c:pt idx="3">
                  <c:v>0.5</c:v>
                </c:pt>
              </c:numCache>
            </c:numRef>
          </c:xVal>
          <c:yVal>
            <c:numRef>
              <c:f>Symbole!$G$43:$J$43</c:f>
              <c:numCache>
                <c:formatCode>General</c:formatCode>
                <c:ptCount val="4"/>
                <c:pt idx="0">
                  <c:v>0.47499999999999998</c:v>
                </c:pt>
                <c:pt idx="1">
                  <c:v>0.47499999999999998</c:v>
                </c:pt>
                <c:pt idx="2">
                  <c:v>0.47499999999999998</c:v>
                </c:pt>
                <c:pt idx="3">
                  <c:v>0.47499999999999998</c:v>
                </c:pt>
              </c:numCache>
            </c:numRef>
          </c:yVal>
          <c:smooth val="0"/>
        </c:ser>
        <c:ser>
          <c:idx val="58"/>
          <c:order val="58"/>
          <c:tx>
            <c:v>LagerH18</c:v>
          </c:tx>
          <c:spPr>
            <a:ln w="12700">
              <a:solidFill>
                <a:srgbClr val="808080"/>
              </a:solidFill>
              <a:prstDash val="solid"/>
            </a:ln>
          </c:spPr>
          <c:marker>
            <c:symbol val="none"/>
          </c:marker>
          <c:xVal>
            <c:numRef>
              <c:f>Symbole!$C$44:$F$44</c:f>
              <c:numCache>
                <c:formatCode>General</c:formatCode>
                <c:ptCount val="4"/>
                <c:pt idx="0">
                  <c:v>0.5</c:v>
                </c:pt>
                <c:pt idx="1">
                  <c:v>0.5</c:v>
                </c:pt>
                <c:pt idx="2">
                  <c:v>0.5</c:v>
                </c:pt>
                <c:pt idx="3">
                  <c:v>0.5</c:v>
                </c:pt>
              </c:numCache>
            </c:numRef>
          </c:xVal>
          <c:yVal>
            <c:numRef>
              <c:f>Symbole!$G$44:$J$44</c:f>
              <c:numCache>
                <c:formatCode>General</c:formatCode>
                <c:ptCount val="4"/>
                <c:pt idx="0">
                  <c:v>0.47499999999999998</c:v>
                </c:pt>
                <c:pt idx="1">
                  <c:v>0.47499999999999998</c:v>
                </c:pt>
                <c:pt idx="2">
                  <c:v>0.47499999999999998</c:v>
                </c:pt>
                <c:pt idx="3">
                  <c:v>0.47499999999999998</c:v>
                </c:pt>
              </c:numCache>
            </c:numRef>
          </c:yVal>
          <c:smooth val="0"/>
        </c:ser>
        <c:ser>
          <c:idx val="59"/>
          <c:order val="59"/>
          <c:tx>
            <c:v>LagerH19</c:v>
          </c:tx>
          <c:spPr>
            <a:ln w="12700">
              <a:solidFill>
                <a:srgbClr val="808080"/>
              </a:solidFill>
              <a:prstDash val="solid"/>
            </a:ln>
          </c:spPr>
          <c:marker>
            <c:symbol val="none"/>
          </c:marker>
          <c:xVal>
            <c:numRef>
              <c:f>Symbole!$C$45:$F$45</c:f>
              <c:numCache>
                <c:formatCode>General</c:formatCode>
                <c:ptCount val="4"/>
                <c:pt idx="0">
                  <c:v>0.5</c:v>
                </c:pt>
                <c:pt idx="1">
                  <c:v>0.5</c:v>
                </c:pt>
                <c:pt idx="2">
                  <c:v>0.5</c:v>
                </c:pt>
                <c:pt idx="3">
                  <c:v>0.5</c:v>
                </c:pt>
              </c:numCache>
            </c:numRef>
          </c:xVal>
          <c:yVal>
            <c:numRef>
              <c:f>Symbole!$G$45:$J$45</c:f>
              <c:numCache>
                <c:formatCode>General</c:formatCode>
                <c:ptCount val="4"/>
                <c:pt idx="0">
                  <c:v>0.47499999999999998</c:v>
                </c:pt>
                <c:pt idx="1">
                  <c:v>0.47499999999999998</c:v>
                </c:pt>
                <c:pt idx="2">
                  <c:v>0.47499999999999998</c:v>
                </c:pt>
                <c:pt idx="3">
                  <c:v>0.47499999999999998</c:v>
                </c:pt>
              </c:numCache>
            </c:numRef>
          </c:yVal>
          <c:smooth val="0"/>
        </c:ser>
        <c:ser>
          <c:idx val="60"/>
          <c:order val="60"/>
          <c:tx>
            <c:v>LagerH20</c:v>
          </c:tx>
          <c:spPr>
            <a:ln w="12700">
              <a:solidFill>
                <a:srgbClr val="808080"/>
              </a:solidFill>
              <a:prstDash val="solid"/>
            </a:ln>
          </c:spPr>
          <c:marker>
            <c:symbol val="none"/>
          </c:marker>
          <c:xVal>
            <c:numRef>
              <c:f>Symbole!$C$46:$F$46</c:f>
              <c:numCache>
                <c:formatCode>General</c:formatCode>
                <c:ptCount val="4"/>
                <c:pt idx="0">
                  <c:v>0.5</c:v>
                </c:pt>
                <c:pt idx="1">
                  <c:v>0.5</c:v>
                </c:pt>
                <c:pt idx="2">
                  <c:v>0.5</c:v>
                </c:pt>
                <c:pt idx="3">
                  <c:v>0.5</c:v>
                </c:pt>
              </c:numCache>
            </c:numRef>
          </c:xVal>
          <c:yVal>
            <c:numRef>
              <c:f>Symbole!$G$46:$J$46</c:f>
              <c:numCache>
                <c:formatCode>General</c:formatCode>
                <c:ptCount val="4"/>
                <c:pt idx="0">
                  <c:v>0.47499999999999998</c:v>
                </c:pt>
                <c:pt idx="1">
                  <c:v>0.47499999999999998</c:v>
                </c:pt>
                <c:pt idx="2">
                  <c:v>0.47499999999999998</c:v>
                </c:pt>
                <c:pt idx="3">
                  <c:v>0.47499999999999998</c:v>
                </c:pt>
              </c:numCache>
            </c:numRef>
          </c:yVal>
          <c:smooth val="0"/>
        </c:ser>
        <c:ser>
          <c:idx val="61"/>
          <c:order val="61"/>
          <c:tx>
            <c:v>LagerR1</c:v>
          </c:tx>
          <c:spPr>
            <a:ln w="12700">
              <a:solidFill>
                <a:srgbClr val="808080"/>
              </a:solidFill>
              <a:prstDash val="solid"/>
            </a:ln>
          </c:spPr>
          <c:marker>
            <c:symbol val="none"/>
          </c:marker>
          <c:xVal>
            <c:numRef>
              <c:f>Symbole!$C$50:$G$50</c:f>
              <c:numCache>
                <c:formatCode>General</c:formatCode>
                <c:ptCount val="5"/>
                <c:pt idx="0">
                  <c:v>0</c:v>
                </c:pt>
                <c:pt idx="1">
                  <c:v>0</c:v>
                </c:pt>
                <c:pt idx="2">
                  <c:v>0</c:v>
                </c:pt>
                <c:pt idx="3">
                  <c:v>0</c:v>
                </c:pt>
                <c:pt idx="4">
                  <c:v>0</c:v>
                </c:pt>
              </c:numCache>
            </c:numRef>
          </c:xVal>
          <c:yVal>
            <c:numRef>
              <c:f>Symbole!$H$50:$L$50</c:f>
              <c:numCache>
                <c:formatCode>General</c:formatCode>
                <c:ptCount val="5"/>
                <c:pt idx="0">
                  <c:v>0.75</c:v>
                </c:pt>
                <c:pt idx="1">
                  <c:v>0.75</c:v>
                </c:pt>
                <c:pt idx="2">
                  <c:v>0.75</c:v>
                </c:pt>
                <c:pt idx="3">
                  <c:v>0.75</c:v>
                </c:pt>
                <c:pt idx="4">
                  <c:v>0.75</c:v>
                </c:pt>
              </c:numCache>
            </c:numRef>
          </c:yVal>
          <c:smooth val="0"/>
        </c:ser>
        <c:ser>
          <c:idx val="62"/>
          <c:order val="62"/>
          <c:tx>
            <c:v>LagerR2</c:v>
          </c:tx>
          <c:spPr>
            <a:ln w="12700">
              <a:solidFill>
                <a:srgbClr val="808080"/>
              </a:solidFill>
              <a:prstDash val="solid"/>
            </a:ln>
          </c:spPr>
          <c:marker>
            <c:symbol val="none"/>
          </c:marker>
          <c:xVal>
            <c:numRef>
              <c:f>Symbole!$C$51:$G$51</c:f>
              <c:numCache>
                <c:formatCode>General</c:formatCode>
                <c:ptCount val="5"/>
                <c:pt idx="0">
                  <c:v>0.5</c:v>
                </c:pt>
                <c:pt idx="1">
                  <c:v>0.5</c:v>
                </c:pt>
                <c:pt idx="2">
                  <c:v>0.5</c:v>
                </c:pt>
                <c:pt idx="3">
                  <c:v>0.5</c:v>
                </c:pt>
                <c:pt idx="4">
                  <c:v>0.5</c:v>
                </c:pt>
              </c:numCache>
            </c:numRef>
          </c:xVal>
          <c:yVal>
            <c:numRef>
              <c:f>Symbole!$H$51:$L$51</c:f>
              <c:numCache>
                <c:formatCode>General</c:formatCode>
                <c:ptCount val="5"/>
                <c:pt idx="0">
                  <c:v>0.25</c:v>
                </c:pt>
                <c:pt idx="1">
                  <c:v>0.25</c:v>
                </c:pt>
                <c:pt idx="2">
                  <c:v>0.25</c:v>
                </c:pt>
                <c:pt idx="3">
                  <c:v>0.25</c:v>
                </c:pt>
                <c:pt idx="4">
                  <c:v>0.25</c:v>
                </c:pt>
              </c:numCache>
            </c:numRef>
          </c:yVal>
          <c:smooth val="0"/>
        </c:ser>
        <c:ser>
          <c:idx val="63"/>
          <c:order val="63"/>
          <c:tx>
            <c:v>LagerR3</c:v>
          </c:tx>
          <c:spPr>
            <a:ln w="12700">
              <a:solidFill>
                <a:srgbClr val="808080"/>
              </a:solidFill>
              <a:prstDash val="solid"/>
            </a:ln>
          </c:spPr>
          <c:marker>
            <c:symbol val="none"/>
          </c:marker>
          <c:xVal>
            <c:numRef>
              <c:f>Symbole!$C$52:$G$52</c:f>
              <c:numCache>
                <c:formatCode>General</c:formatCode>
                <c:ptCount val="5"/>
                <c:pt idx="0">
                  <c:v>1</c:v>
                </c:pt>
                <c:pt idx="1">
                  <c:v>1</c:v>
                </c:pt>
                <c:pt idx="2">
                  <c:v>1</c:v>
                </c:pt>
                <c:pt idx="3">
                  <c:v>1</c:v>
                </c:pt>
                <c:pt idx="4">
                  <c:v>1</c:v>
                </c:pt>
              </c:numCache>
            </c:numRef>
          </c:xVal>
          <c:yVal>
            <c:numRef>
              <c:f>Symbole!$H$52:$L$52</c:f>
              <c:numCache>
                <c:formatCode>General</c:formatCode>
                <c:ptCount val="5"/>
                <c:pt idx="0">
                  <c:v>0.25</c:v>
                </c:pt>
                <c:pt idx="1">
                  <c:v>0.25</c:v>
                </c:pt>
                <c:pt idx="2">
                  <c:v>0.25</c:v>
                </c:pt>
                <c:pt idx="3">
                  <c:v>0.25</c:v>
                </c:pt>
                <c:pt idx="4">
                  <c:v>0.25</c:v>
                </c:pt>
              </c:numCache>
            </c:numRef>
          </c:yVal>
          <c:smooth val="0"/>
        </c:ser>
        <c:ser>
          <c:idx val="64"/>
          <c:order val="64"/>
          <c:tx>
            <c:v>LagerR4</c:v>
          </c:tx>
          <c:spPr>
            <a:ln w="12700">
              <a:solidFill>
                <a:srgbClr val="808080"/>
              </a:solidFill>
              <a:prstDash val="solid"/>
            </a:ln>
          </c:spPr>
          <c:marker>
            <c:symbol val="none"/>
          </c:marker>
          <c:xVal>
            <c:numRef>
              <c:f>Symbole!$C$53:$G$53</c:f>
              <c:numCache>
                <c:formatCode>General</c:formatCode>
                <c:ptCount val="5"/>
                <c:pt idx="0">
                  <c:v>0.5</c:v>
                </c:pt>
                <c:pt idx="1">
                  <c:v>0.5</c:v>
                </c:pt>
                <c:pt idx="2">
                  <c:v>0.5</c:v>
                </c:pt>
                <c:pt idx="3">
                  <c:v>0.5</c:v>
                </c:pt>
                <c:pt idx="4">
                  <c:v>0.5</c:v>
                </c:pt>
              </c:numCache>
            </c:numRef>
          </c:xVal>
          <c:yVal>
            <c:numRef>
              <c:f>Symbole!$H$53:$L$53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5"/>
          <c:order val="65"/>
          <c:tx>
            <c:v>LagerR5</c:v>
          </c:tx>
          <c:spPr>
            <a:ln w="12700">
              <a:solidFill>
                <a:srgbClr val="808080"/>
              </a:solidFill>
              <a:prstDash val="solid"/>
            </a:ln>
          </c:spPr>
          <c:marker>
            <c:symbol val="none"/>
          </c:marker>
          <c:xVal>
            <c:numRef>
              <c:f>Symbole!$C$54:$G$54</c:f>
              <c:numCache>
                <c:formatCode>General</c:formatCode>
                <c:ptCount val="5"/>
                <c:pt idx="0">
                  <c:v>0.5</c:v>
                </c:pt>
                <c:pt idx="1">
                  <c:v>0.5</c:v>
                </c:pt>
                <c:pt idx="2">
                  <c:v>0.5</c:v>
                </c:pt>
                <c:pt idx="3">
                  <c:v>0.5</c:v>
                </c:pt>
                <c:pt idx="4">
                  <c:v>0.5</c:v>
                </c:pt>
              </c:numCache>
            </c:numRef>
          </c:xVal>
          <c:yVal>
            <c:numRef>
              <c:f>Symbole!$H$54:$L$54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6"/>
          <c:order val="66"/>
          <c:tx>
            <c:v>LagerR6</c:v>
          </c:tx>
          <c:spPr>
            <a:ln w="12700">
              <a:solidFill>
                <a:srgbClr val="808080"/>
              </a:solidFill>
              <a:prstDash val="solid"/>
            </a:ln>
          </c:spPr>
          <c:marker>
            <c:symbol val="none"/>
          </c:marker>
          <c:xVal>
            <c:numRef>
              <c:f>Symbole!$C$55:$G$55</c:f>
              <c:numCache>
                <c:formatCode>General</c:formatCode>
                <c:ptCount val="5"/>
                <c:pt idx="0">
                  <c:v>0.5</c:v>
                </c:pt>
                <c:pt idx="1">
                  <c:v>0.5</c:v>
                </c:pt>
                <c:pt idx="2">
                  <c:v>0.5</c:v>
                </c:pt>
                <c:pt idx="3">
                  <c:v>0.5</c:v>
                </c:pt>
                <c:pt idx="4">
                  <c:v>0.5</c:v>
                </c:pt>
              </c:numCache>
            </c:numRef>
          </c:xVal>
          <c:yVal>
            <c:numRef>
              <c:f>Symbole!$H$55:$L$55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7"/>
          <c:order val="67"/>
          <c:tx>
            <c:v>LagerR7</c:v>
          </c:tx>
          <c:spPr>
            <a:ln w="12700">
              <a:solidFill>
                <a:srgbClr val="808080"/>
              </a:solidFill>
              <a:prstDash val="solid"/>
            </a:ln>
          </c:spPr>
          <c:marker>
            <c:symbol val="none"/>
          </c:marker>
          <c:xVal>
            <c:numRef>
              <c:f>Symbole!$C$56:$G$56</c:f>
              <c:numCache>
                <c:formatCode>General</c:formatCode>
                <c:ptCount val="5"/>
                <c:pt idx="0">
                  <c:v>0.5</c:v>
                </c:pt>
                <c:pt idx="1">
                  <c:v>0.5</c:v>
                </c:pt>
                <c:pt idx="2">
                  <c:v>0.5</c:v>
                </c:pt>
                <c:pt idx="3">
                  <c:v>0.5</c:v>
                </c:pt>
                <c:pt idx="4">
                  <c:v>0.5</c:v>
                </c:pt>
              </c:numCache>
            </c:numRef>
          </c:xVal>
          <c:yVal>
            <c:numRef>
              <c:f>Symbole!$H$56:$L$56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8"/>
          <c:order val="68"/>
          <c:tx>
            <c:v>LagerR8</c:v>
          </c:tx>
          <c:spPr>
            <a:ln w="12700">
              <a:solidFill>
                <a:srgbClr val="808080"/>
              </a:solidFill>
              <a:prstDash val="solid"/>
            </a:ln>
          </c:spPr>
          <c:marker>
            <c:symbol val="none"/>
          </c:marker>
          <c:xVal>
            <c:numRef>
              <c:f>Symbole!$C$57:$G$57</c:f>
              <c:numCache>
                <c:formatCode>General</c:formatCode>
                <c:ptCount val="5"/>
                <c:pt idx="0">
                  <c:v>0.5</c:v>
                </c:pt>
                <c:pt idx="1">
                  <c:v>0.5</c:v>
                </c:pt>
                <c:pt idx="2">
                  <c:v>0.5</c:v>
                </c:pt>
                <c:pt idx="3">
                  <c:v>0.5</c:v>
                </c:pt>
                <c:pt idx="4">
                  <c:v>0.5</c:v>
                </c:pt>
              </c:numCache>
            </c:numRef>
          </c:xVal>
          <c:yVal>
            <c:numRef>
              <c:f>Symbole!$H$57:$L$57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9"/>
          <c:order val="69"/>
          <c:tx>
            <c:v>LagerR9</c:v>
          </c:tx>
          <c:spPr>
            <a:ln w="12700">
              <a:solidFill>
                <a:srgbClr val="808080"/>
              </a:solidFill>
              <a:prstDash val="solid"/>
            </a:ln>
          </c:spPr>
          <c:marker>
            <c:symbol val="none"/>
          </c:marker>
          <c:xVal>
            <c:numRef>
              <c:f>Symbole!$C$58:$G$58</c:f>
              <c:numCache>
                <c:formatCode>General</c:formatCode>
                <c:ptCount val="5"/>
                <c:pt idx="0">
                  <c:v>0.5</c:v>
                </c:pt>
                <c:pt idx="1">
                  <c:v>0.5</c:v>
                </c:pt>
                <c:pt idx="2">
                  <c:v>0.5</c:v>
                </c:pt>
                <c:pt idx="3">
                  <c:v>0.5</c:v>
                </c:pt>
                <c:pt idx="4">
                  <c:v>0.5</c:v>
                </c:pt>
              </c:numCache>
            </c:numRef>
          </c:xVal>
          <c:yVal>
            <c:numRef>
              <c:f>Symbole!$H$58:$L$58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0"/>
          <c:order val="70"/>
          <c:tx>
            <c:v>LagerR10</c:v>
          </c:tx>
          <c:spPr>
            <a:ln w="12700">
              <a:solidFill>
                <a:srgbClr val="808080"/>
              </a:solidFill>
              <a:prstDash val="solid"/>
            </a:ln>
          </c:spPr>
          <c:marker>
            <c:symbol val="none"/>
          </c:marker>
          <c:xVal>
            <c:numRef>
              <c:f>Symbole!$C$59:$G$59</c:f>
              <c:numCache>
                <c:formatCode>General</c:formatCode>
                <c:ptCount val="5"/>
                <c:pt idx="0">
                  <c:v>0.5</c:v>
                </c:pt>
                <c:pt idx="1">
                  <c:v>0.5</c:v>
                </c:pt>
                <c:pt idx="2">
                  <c:v>0.5</c:v>
                </c:pt>
                <c:pt idx="3">
                  <c:v>0.5</c:v>
                </c:pt>
                <c:pt idx="4">
                  <c:v>0.5</c:v>
                </c:pt>
              </c:numCache>
            </c:numRef>
          </c:xVal>
          <c:yVal>
            <c:numRef>
              <c:f>Symbole!$H$59:$L$59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1"/>
          <c:order val="71"/>
          <c:tx>
            <c:v>LagerR11</c:v>
          </c:tx>
          <c:spPr>
            <a:ln w="12700">
              <a:solidFill>
                <a:srgbClr val="808080"/>
              </a:solidFill>
              <a:prstDash val="solid"/>
            </a:ln>
          </c:spPr>
          <c:marker>
            <c:symbol val="none"/>
          </c:marker>
          <c:xVal>
            <c:numRef>
              <c:f>Symbole!$C$60:$G$60</c:f>
              <c:numCache>
                <c:formatCode>General</c:formatCode>
                <c:ptCount val="5"/>
                <c:pt idx="0">
                  <c:v>0.5</c:v>
                </c:pt>
                <c:pt idx="1">
                  <c:v>0.5</c:v>
                </c:pt>
                <c:pt idx="2">
                  <c:v>0.5</c:v>
                </c:pt>
                <c:pt idx="3">
                  <c:v>0.5</c:v>
                </c:pt>
                <c:pt idx="4">
                  <c:v>0.5</c:v>
                </c:pt>
              </c:numCache>
            </c:numRef>
          </c:xVal>
          <c:yVal>
            <c:numRef>
              <c:f>Symbole!$H$60:$L$60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2"/>
          <c:order val="72"/>
          <c:tx>
            <c:v>LagerR12</c:v>
          </c:tx>
          <c:spPr>
            <a:ln w="12700">
              <a:solidFill>
                <a:srgbClr val="808080"/>
              </a:solidFill>
              <a:prstDash val="solid"/>
            </a:ln>
          </c:spPr>
          <c:marker>
            <c:symbol val="none"/>
          </c:marker>
          <c:xVal>
            <c:numRef>
              <c:f>Symbole!$C$61:$G$61</c:f>
              <c:numCache>
                <c:formatCode>General</c:formatCode>
                <c:ptCount val="5"/>
                <c:pt idx="0">
                  <c:v>0.5</c:v>
                </c:pt>
                <c:pt idx="1">
                  <c:v>0.5</c:v>
                </c:pt>
                <c:pt idx="2">
                  <c:v>0.5</c:v>
                </c:pt>
                <c:pt idx="3">
                  <c:v>0.5</c:v>
                </c:pt>
                <c:pt idx="4">
                  <c:v>0.5</c:v>
                </c:pt>
              </c:numCache>
            </c:numRef>
          </c:xVal>
          <c:yVal>
            <c:numRef>
              <c:f>Symbole!$H$61:$L$61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3"/>
          <c:order val="73"/>
          <c:tx>
            <c:v>LagerR13</c:v>
          </c:tx>
          <c:spPr>
            <a:ln w="12700">
              <a:solidFill>
                <a:srgbClr val="808080"/>
              </a:solidFill>
              <a:prstDash val="solid"/>
            </a:ln>
          </c:spPr>
          <c:marker>
            <c:symbol val="none"/>
          </c:marker>
          <c:xVal>
            <c:numRef>
              <c:f>Symbole!$C$62:$G$62</c:f>
              <c:numCache>
                <c:formatCode>General</c:formatCode>
                <c:ptCount val="5"/>
                <c:pt idx="0">
                  <c:v>0.5</c:v>
                </c:pt>
                <c:pt idx="1">
                  <c:v>0.5</c:v>
                </c:pt>
                <c:pt idx="2">
                  <c:v>0.5</c:v>
                </c:pt>
                <c:pt idx="3">
                  <c:v>0.5</c:v>
                </c:pt>
                <c:pt idx="4">
                  <c:v>0.5</c:v>
                </c:pt>
              </c:numCache>
            </c:numRef>
          </c:xVal>
          <c:yVal>
            <c:numRef>
              <c:f>Symbole!$H$62:$L$62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4"/>
          <c:order val="74"/>
          <c:tx>
            <c:v>LagerR14</c:v>
          </c:tx>
          <c:spPr>
            <a:ln w="12700">
              <a:solidFill>
                <a:srgbClr val="808080"/>
              </a:solidFill>
              <a:prstDash val="solid"/>
            </a:ln>
          </c:spPr>
          <c:marker>
            <c:symbol val="none"/>
          </c:marker>
          <c:xVal>
            <c:numRef>
              <c:f>Symbole!$C$63:$G$63</c:f>
              <c:numCache>
                <c:formatCode>General</c:formatCode>
                <c:ptCount val="5"/>
                <c:pt idx="0">
                  <c:v>0.5</c:v>
                </c:pt>
                <c:pt idx="1">
                  <c:v>0.5</c:v>
                </c:pt>
                <c:pt idx="2">
                  <c:v>0.5</c:v>
                </c:pt>
                <c:pt idx="3">
                  <c:v>0.5</c:v>
                </c:pt>
                <c:pt idx="4">
                  <c:v>0.5</c:v>
                </c:pt>
              </c:numCache>
            </c:numRef>
          </c:xVal>
          <c:yVal>
            <c:numRef>
              <c:f>Symbole!$H$63:$L$63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5"/>
          <c:order val="75"/>
          <c:tx>
            <c:v>LagerR15</c:v>
          </c:tx>
          <c:spPr>
            <a:ln w="12700">
              <a:solidFill>
                <a:srgbClr val="808080"/>
              </a:solidFill>
              <a:prstDash val="solid"/>
            </a:ln>
          </c:spPr>
          <c:marker>
            <c:symbol val="none"/>
          </c:marker>
          <c:xVal>
            <c:numRef>
              <c:f>Symbole!$C$64:$G$64</c:f>
              <c:numCache>
                <c:formatCode>General</c:formatCode>
                <c:ptCount val="5"/>
                <c:pt idx="0">
                  <c:v>0.5</c:v>
                </c:pt>
                <c:pt idx="1">
                  <c:v>0.5</c:v>
                </c:pt>
                <c:pt idx="2">
                  <c:v>0.5</c:v>
                </c:pt>
                <c:pt idx="3">
                  <c:v>0.5</c:v>
                </c:pt>
                <c:pt idx="4">
                  <c:v>0.5</c:v>
                </c:pt>
              </c:numCache>
            </c:numRef>
          </c:xVal>
          <c:yVal>
            <c:numRef>
              <c:f>Symbole!$H$64:$L$64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6"/>
          <c:order val="76"/>
          <c:tx>
            <c:v>LagerR16</c:v>
          </c:tx>
          <c:spPr>
            <a:ln w="12700">
              <a:solidFill>
                <a:srgbClr val="808080"/>
              </a:solidFill>
              <a:prstDash val="solid"/>
            </a:ln>
          </c:spPr>
          <c:marker>
            <c:symbol val="none"/>
          </c:marker>
          <c:xVal>
            <c:numRef>
              <c:f>Symbole!$C$65:$G$65</c:f>
              <c:numCache>
                <c:formatCode>General</c:formatCode>
                <c:ptCount val="5"/>
                <c:pt idx="0">
                  <c:v>0.5</c:v>
                </c:pt>
                <c:pt idx="1">
                  <c:v>0.5</c:v>
                </c:pt>
                <c:pt idx="2">
                  <c:v>0.5</c:v>
                </c:pt>
                <c:pt idx="3">
                  <c:v>0.5</c:v>
                </c:pt>
                <c:pt idx="4">
                  <c:v>0.5</c:v>
                </c:pt>
              </c:numCache>
            </c:numRef>
          </c:xVal>
          <c:yVal>
            <c:numRef>
              <c:f>Symbole!$H$65:$L$65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7"/>
          <c:order val="77"/>
          <c:tx>
            <c:v>LagerR17</c:v>
          </c:tx>
          <c:spPr>
            <a:ln w="12700">
              <a:solidFill>
                <a:srgbClr val="808080"/>
              </a:solidFill>
              <a:prstDash val="solid"/>
            </a:ln>
          </c:spPr>
          <c:marker>
            <c:symbol val="none"/>
          </c:marker>
          <c:xVal>
            <c:numRef>
              <c:f>Symbole!$C$66:$G$66</c:f>
              <c:numCache>
                <c:formatCode>General</c:formatCode>
                <c:ptCount val="5"/>
                <c:pt idx="0">
                  <c:v>0.5</c:v>
                </c:pt>
                <c:pt idx="1">
                  <c:v>0.5</c:v>
                </c:pt>
                <c:pt idx="2">
                  <c:v>0.5</c:v>
                </c:pt>
                <c:pt idx="3">
                  <c:v>0.5</c:v>
                </c:pt>
                <c:pt idx="4">
                  <c:v>0.5</c:v>
                </c:pt>
              </c:numCache>
            </c:numRef>
          </c:xVal>
          <c:yVal>
            <c:numRef>
              <c:f>Symbole!$H$66:$L$66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8"/>
          <c:order val="78"/>
          <c:tx>
            <c:v>LagerR18</c:v>
          </c:tx>
          <c:spPr>
            <a:ln w="12700">
              <a:solidFill>
                <a:srgbClr val="808080"/>
              </a:solidFill>
              <a:prstDash val="solid"/>
            </a:ln>
          </c:spPr>
          <c:marker>
            <c:symbol val="none"/>
          </c:marker>
          <c:xVal>
            <c:numRef>
              <c:f>Symbole!$C$67:$G$67</c:f>
              <c:numCache>
                <c:formatCode>General</c:formatCode>
                <c:ptCount val="5"/>
                <c:pt idx="0">
                  <c:v>0.5</c:v>
                </c:pt>
                <c:pt idx="1">
                  <c:v>0.5</c:v>
                </c:pt>
                <c:pt idx="2">
                  <c:v>0.5</c:v>
                </c:pt>
                <c:pt idx="3">
                  <c:v>0.5</c:v>
                </c:pt>
                <c:pt idx="4">
                  <c:v>0.5</c:v>
                </c:pt>
              </c:numCache>
            </c:numRef>
          </c:xVal>
          <c:yVal>
            <c:numRef>
              <c:f>Symbole!$H$67:$L$67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9"/>
          <c:order val="79"/>
          <c:tx>
            <c:v>LagerR19</c:v>
          </c:tx>
          <c:spPr>
            <a:ln w="12700">
              <a:solidFill>
                <a:srgbClr val="808080"/>
              </a:solidFill>
              <a:prstDash val="solid"/>
            </a:ln>
          </c:spPr>
          <c:marker>
            <c:symbol val="none"/>
          </c:marker>
          <c:xVal>
            <c:numRef>
              <c:f>Symbole!$C$68:$G$68</c:f>
              <c:numCache>
                <c:formatCode>General</c:formatCode>
                <c:ptCount val="5"/>
                <c:pt idx="0">
                  <c:v>0.5</c:v>
                </c:pt>
                <c:pt idx="1">
                  <c:v>0.5</c:v>
                </c:pt>
                <c:pt idx="2">
                  <c:v>0.5</c:v>
                </c:pt>
                <c:pt idx="3">
                  <c:v>0.5</c:v>
                </c:pt>
                <c:pt idx="4">
                  <c:v>0.5</c:v>
                </c:pt>
              </c:numCache>
            </c:numRef>
          </c:xVal>
          <c:yVal>
            <c:numRef>
              <c:f>Symbole!$H$68:$L$68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0"/>
          <c:order val="80"/>
          <c:tx>
            <c:v>LagerR20</c:v>
          </c:tx>
          <c:spPr>
            <a:ln w="12700">
              <a:solidFill>
                <a:srgbClr val="808080"/>
              </a:solidFill>
              <a:prstDash val="solid"/>
            </a:ln>
          </c:spPr>
          <c:marker>
            <c:symbol val="none"/>
          </c:marker>
          <c:xVal>
            <c:numRef>
              <c:f>Symbole!$C$69:$G$69</c:f>
              <c:numCache>
                <c:formatCode>General</c:formatCode>
                <c:ptCount val="5"/>
                <c:pt idx="0">
                  <c:v>0.5</c:v>
                </c:pt>
                <c:pt idx="1">
                  <c:v>0.5</c:v>
                </c:pt>
                <c:pt idx="2">
                  <c:v>0.5</c:v>
                </c:pt>
                <c:pt idx="3">
                  <c:v>0.5</c:v>
                </c:pt>
                <c:pt idx="4">
                  <c:v>0.5</c:v>
                </c:pt>
              </c:numCache>
            </c:numRef>
          </c:xVal>
          <c:yVal>
            <c:numRef>
              <c:f>Symbole!$H$69:$L$69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1"/>
          <c:order val="81"/>
          <c:tx>
            <c:v>KnotenkraftV1</c:v>
          </c:tx>
          <c:spPr>
            <a:ln w="12700">
              <a:solidFill>
                <a:srgbClr val="808080"/>
              </a:solidFill>
              <a:prstDash val="solid"/>
            </a:ln>
          </c:spPr>
          <c:marker>
            <c:symbol val="none"/>
          </c:marker>
          <c:xVal>
            <c:numRef>
              <c:f>KLasten!$C$4:$G$4</c:f>
              <c:numCache>
                <c:formatCode>General</c:formatCode>
                <c:ptCount val="5"/>
                <c:pt idx="0">
                  <c:v>0</c:v>
                </c:pt>
                <c:pt idx="1">
                  <c:v>0</c:v>
                </c:pt>
                <c:pt idx="2">
                  <c:v>0</c:v>
                </c:pt>
                <c:pt idx="3">
                  <c:v>0</c:v>
                </c:pt>
                <c:pt idx="4">
                  <c:v>0</c:v>
                </c:pt>
              </c:numCache>
            </c:numRef>
          </c:xVal>
          <c:yVal>
            <c:numRef>
              <c:f>KLasten!$H$4:$L$4</c:f>
              <c:numCache>
                <c:formatCode>General</c:formatCode>
                <c:ptCount val="5"/>
                <c:pt idx="0">
                  <c:v>0.75</c:v>
                </c:pt>
                <c:pt idx="1">
                  <c:v>0.75</c:v>
                </c:pt>
                <c:pt idx="2">
                  <c:v>0.75</c:v>
                </c:pt>
                <c:pt idx="3">
                  <c:v>0.75</c:v>
                </c:pt>
                <c:pt idx="4">
                  <c:v>0.75</c:v>
                </c:pt>
              </c:numCache>
            </c:numRef>
          </c:yVal>
          <c:smooth val="0"/>
        </c:ser>
        <c:ser>
          <c:idx val="82"/>
          <c:order val="82"/>
          <c:tx>
            <c:v>KnotenkraftV2</c:v>
          </c:tx>
          <c:spPr>
            <a:ln w="12700">
              <a:solidFill>
                <a:srgbClr val="808080"/>
              </a:solidFill>
              <a:prstDash val="solid"/>
            </a:ln>
          </c:spPr>
          <c:marker>
            <c:symbol val="none"/>
          </c:marker>
          <c:xVal>
            <c:numRef>
              <c:f>KLasten!$C$5:$G$5</c:f>
              <c:numCache>
                <c:formatCode>General</c:formatCode>
                <c:ptCount val="5"/>
                <c:pt idx="0">
                  <c:v>0.5</c:v>
                </c:pt>
                <c:pt idx="1">
                  <c:v>0.5</c:v>
                </c:pt>
                <c:pt idx="2">
                  <c:v>0.48744601656843534</c:v>
                </c:pt>
                <c:pt idx="3">
                  <c:v>0.51255398343156466</c:v>
                </c:pt>
                <c:pt idx="4">
                  <c:v>0.5</c:v>
                </c:pt>
              </c:numCache>
            </c:numRef>
          </c:xVal>
          <c:yVal>
            <c:numRef>
              <c:f>KLasten!$H$5:$L$5</c:f>
              <c:numCache>
                <c:formatCode>General</c:formatCode>
                <c:ptCount val="5"/>
                <c:pt idx="0">
                  <c:v>9.9352198821224064E-2</c:v>
                </c:pt>
                <c:pt idx="1">
                  <c:v>0.22489203313687067</c:v>
                </c:pt>
                <c:pt idx="2">
                  <c:v>0.18095309112639435</c:v>
                </c:pt>
                <c:pt idx="3">
                  <c:v>0.18095309112639435</c:v>
                </c:pt>
                <c:pt idx="4">
                  <c:v>0.22489203313687067</c:v>
                </c:pt>
              </c:numCache>
            </c:numRef>
          </c:yVal>
          <c:smooth val="0"/>
        </c:ser>
        <c:ser>
          <c:idx val="83"/>
          <c:order val="83"/>
          <c:tx>
            <c:v>KnotenkraftV3</c:v>
          </c:tx>
          <c:spPr>
            <a:ln w="12700">
              <a:solidFill>
                <a:srgbClr val="808080"/>
              </a:solidFill>
              <a:prstDash val="solid"/>
            </a:ln>
          </c:spPr>
          <c:marker>
            <c:symbol val="none"/>
          </c:marker>
          <c:xVal>
            <c:numRef>
              <c:f>KLasten!$C$6:$G$6</c:f>
              <c:numCache>
                <c:formatCode>General</c:formatCode>
                <c:ptCount val="5"/>
                <c:pt idx="0">
                  <c:v>1</c:v>
                </c:pt>
                <c:pt idx="1">
                  <c:v>1</c:v>
                </c:pt>
                <c:pt idx="2">
                  <c:v>1</c:v>
                </c:pt>
                <c:pt idx="3">
                  <c:v>1</c:v>
                </c:pt>
                <c:pt idx="4">
                  <c:v>1</c:v>
                </c:pt>
              </c:numCache>
            </c:numRef>
          </c:xVal>
          <c:yVal>
            <c:numRef>
              <c:f>KLasten!$H$6:$L$6</c:f>
              <c:numCache>
                <c:formatCode>General</c:formatCode>
                <c:ptCount val="5"/>
                <c:pt idx="0">
                  <c:v>0.25</c:v>
                </c:pt>
                <c:pt idx="1">
                  <c:v>0.25</c:v>
                </c:pt>
                <c:pt idx="2">
                  <c:v>0.25</c:v>
                </c:pt>
                <c:pt idx="3">
                  <c:v>0.25</c:v>
                </c:pt>
                <c:pt idx="4">
                  <c:v>0.25</c:v>
                </c:pt>
              </c:numCache>
            </c:numRef>
          </c:yVal>
          <c:smooth val="0"/>
        </c:ser>
        <c:ser>
          <c:idx val="84"/>
          <c:order val="84"/>
          <c:tx>
            <c:v>KnotenkraftV4</c:v>
          </c:tx>
          <c:spPr>
            <a:ln w="12700">
              <a:solidFill>
                <a:srgbClr val="808080"/>
              </a:solidFill>
              <a:prstDash val="solid"/>
            </a:ln>
          </c:spPr>
          <c:marker>
            <c:symbol val="none"/>
          </c:marker>
          <c:xVal>
            <c:numRef>
              <c:f>KLasten!$C$7:$G$7</c:f>
              <c:numCache>
                <c:formatCode>General</c:formatCode>
                <c:ptCount val="5"/>
                <c:pt idx="0">
                  <c:v>0.5</c:v>
                </c:pt>
                <c:pt idx="1">
                  <c:v>0.5</c:v>
                </c:pt>
                <c:pt idx="2">
                  <c:v>0.5</c:v>
                </c:pt>
                <c:pt idx="3">
                  <c:v>0.5</c:v>
                </c:pt>
                <c:pt idx="4">
                  <c:v>0.5</c:v>
                </c:pt>
              </c:numCache>
            </c:numRef>
          </c:xVal>
          <c:yVal>
            <c:numRef>
              <c:f>KLasten!$H$7:$L$7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5"/>
          <c:order val="85"/>
          <c:tx>
            <c:v>KnotenkraftV5</c:v>
          </c:tx>
          <c:spPr>
            <a:ln w="12700">
              <a:solidFill>
                <a:srgbClr val="808080"/>
              </a:solidFill>
              <a:prstDash val="solid"/>
            </a:ln>
          </c:spPr>
          <c:marker>
            <c:symbol val="none"/>
          </c:marker>
          <c:xVal>
            <c:numRef>
              <c:f>KLasten!$C$8:$G$8</c:f>
              <c:numCache>
                <c:formatCode>General</c:formatCode>
                <c:ptCount val="5"/>
                <c:pt idx="0">
                  <c:v>0.5</c:v>
                </c:pt>
                <c:pt idx="1">
                  <c:v>0.5</c:v>
                </c:pt>
                <c:pt idx="2">
                  <c:v>0.5</c:v>
                </c:pt>
                <c:pt idx="3">
                  <c:v>0.5</c:v>
                </c:pt>
                <c:pt idx="4">
                  <c:v>0.5</c:v>
                </c:pt>
              </c:numCache>
            </c:numRef>
          </c:xVal>
          <c:yVal>
            <c:numRef>
              <c:f>KLasten!$H$8:$L$8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6"/>
          <c:order val="86"/>
          <c:tx>
            <c:v>KnotenkraftV6</c:v>
          </c:tx>
          <c:spPr>
            <a:ln w="12700">
              <a:solidFill>
                <a:srgbClr val="808080"/>
              </a:solidFill>
              <a:prstDash val="solid"/>
            </a:ln>
          </c:spPr>
          <c:marker>
            <c:symbol val="none"/>
          </c:marker>
          <c:xVal>
            <c:numRef>
              <c:f>KLasten!$C$9:$G$9</c:f>
              <c:numCache>
                <c:formatCode>General</c:formatCode>
                <c:ptCount val="5"/>
                <c:pt idx="0">
                  <c:v>0.5</c:v>
                </c:pt>
                <c:pt idx="1">
                  <c:v>0.5</c:v>
                </c:pt>
                <c:pt idx="2">
                  <c:v>0.5</c:v>
                </c:pt>
                <c:pt idx="3">
                  <c:v>0.5</c:v>
                </c:pt>
                <c:pt idx="4">
                  <c:v>0.5</c:v>
                </c:pt>
              </c:numCache>
            </c:numRef>
          </c:xVal>
          <c:yVal>
            <c:numRef>
              <c:f>KLasten!$H$9:$L$9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7"/>
          <c:order val="87"/>
          <c:tx>
            <c:v>KnotenkraftV7</c:v>
          </c:tx>
          <c:spPr>
            <a:ln w="12700">
              <a:solidFill>
                <a:srgbClr val="808080"/>
              </a:solidFill>
              <a:prstDash val="solid"/>
            </a:ln>
          </c:spPr>
          <c:marker>
            <c:symbol val="none"/>
          </c:marker>
          <c:xVal>
            <c:numRef>
              <c:f>KLasten!$C$10:$G$10</c:f>
              <c:numCache>
                <c:formatCode>General</c:formatCode>
                <c:ptCount val="5"/>
                <c:pt idx="0">
                  <c:v>0.5</c:v>
                </c:pt>
                <c:pt idx="1">
                  <c:v>0.5</c:v>
                </c:pt>
                <c:pt idx="2">
                  <c:v>0.5</c:v>
                </c:pt>
                <c:pt idx="3">
                  <c:v>0.5</c:v>
                </c:pt>
                <c:pt idx="4">
                  <c:v>0.5</c:v>
                </c:pt>
              </c:numCache>
            </c:numRef>
          </c:xVal>
          <c:yVal>
            <c:numRef>
              <c:f>KLasten!$H$10:$L$10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8"/>
          <c:order val="88"/>
          <c:tx>
            <c:v>KnotenkraftV8</c:v>
          </c:tx>
          <c:spPr>
            <a:ln w="12700">
              <a:solidFill>
                <a:srgbClr val="808080"/>
              </a:solidFill>
              <a:prstDash val="solid"/>
            </a:ln>
          </c:spPr>
          <c:marker>
            <c:symbol val="none"/>
          </c:marker>
          <c:xVal>
            <c:numRef>
              <c:f>KLasten!$C$11:$G$11</c:f>
              <c:numCache>
                <c:formatCode>General</c:formatCode>
                <c:ptCount val="5"/>
                <c:pt idx="0">
                  <c:v>0.5</c:v>
                </c:pt>
                <c:pt idx="1">
                  <c:v>0.5</c:v>
                </c:pt>
                <c:pt idx="2">
                  <c:v>0.5</c:v>
                </c:pt>
                <c:pt idx="3">
                  <c:v>0.5</c:v>
                </c:pt>
                <c:pt idx="4">
                  <c:v>0.5</c:v>
                </c:pt>
              </c:numCache>
            </c:numRef>
          </c:xVal>
          <c:yVal>
            <c:numRef>
              <c:f>KLasten!$H$11:$L$11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9"/>
          <c:order val="89"/>
          <c:tx>
            <c:v>KnotenkraftV9</c:v>
          </c:tx>
          <c:spPr>
            <a:ln w="12700">
              <a:solidFill>
                <a:srgbClr val="808080"/>
              </a:solidFill>
              <a:prstDash val="solid"/>
            </a:ln>
          </c:spPr>
          <c:marker>
            <c:symbol val="none"/>
          </c:marker>
          <c:xVal>
            <c:numRef>
              <c:f>KLasten!$C$12:$G$12</c:f>
              <c:numCache>
                <c:formatCode>General</c:formatCode>
                <c:ptCount val="5"/>
                <c:pt idx="0">
                  <c:v>0.5</c:v>
                </c:pt>
                <c:pt idx="1">
                  <c:v>0.5</c:v>
                </c:pt>
                <c:pt idx="2">
                  <c:v>0.5</c:v>
                </c:pt>
                <c:pt idx="3">
                  <c:v>0.5</c:v>
                </c:pt>
                <c:pt idx="4">
                  <c:v>0.5</c:v>
                </c:pt>
              </c:numCache>
            </c:numRef>
          </c:xVal>
          <c:yVal>
            <c:numRef>
              <c:f>KLasten!$H$12:$L$12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0"/>
          <c:order val="90"/>
          <c:tx>
            <c:v>KnotenkraftV10</c:v>
          </c:tx>
          <c:spPr>
            <a:ln w="12700">
              <a:solidFill>
                <a:srgbClr val="808080"/>
              </a:solidFill>
              <a:prstDash val="solid"/>
            </a:ln>
          </c:spPr>
          <c:marker>
            <c:symbol val="none"/>
          </c:marker>
          <c:xVal>
            <c:numRef>
              <c:f>KLasten!$C$13:$G$13</c:f>
              <c:numCache>
                <c:formatCode>General</c:formatCode>
                <c:ptCount val="5"/>
                <c:pt idx="0">
                  <c:v>0.5</c:v>
                </c:pt>
                <c:pt idx="1">
                  <c:v>0.5</c:v>
                </c:pt>
                <c:pt idx="2">
                  <c:v>0.5</c:v>
                </c:pt>
                <c:pt idx="3">
                  <c:v>0.5</c:v>
                </c:pt>
                <c:pt idx="4">
                  <c:v>0.5</c:v>
                </c:pt>
              </c:numCache>
            </c:numRef>
          </c:xVal>
          <c:yVal>
            <c:numRef>
              <c:f>KLasten!$H$13:$L$13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1"/>
          <c:order val="91"/>
          <c:tx>
            <c:v>KnotenkraftV11</c:v>
          </c:tx>
          <c:spPr>
            <a:ln w="12700">
              <a:solidFill>
                <a:srgbClr val="808080"/>
              </a:solidFill>
              <a:prstDash val="solid"/>
            </a:ln>
          </c:spPr>
          <c:marker>
            <c:symbol val="none"/>
          </c:marker>
          <c:xVal>
            <c:numRef>
              <c:f>KLasten!$C$14:$G$14</c:f>
              <c:numCache>
                <c:formatCode>General</c:formatCode>
                <c:ptCount val="5"/>
                <c:pt idx="0">
                  <c:v>0.5</c:v>
                </c:pt>
                <c:pt idx="1">
                  <c:v>0.5</c:v>
                </c:pt>
                <c:pt idx="2">
                  <c:v>0.5</c:v>
                </c:pt>
                <c:pt idx="3">
                  <c:v>0.5</c:v>
                </c:pt>
                <c:pt idx="4">
                  <c:v>0.5</c:v>
                </c:pt>
              </c:numCache>
            </c:numRef>
          </c:xVal>
          <c:yVal>
            <c:numRef>
              <c:f>KLasten!$H$14:$L$14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2"/>
          <c:order val="92"/>
          <c:tx>
            <c:v>KnotenkraftV12</c:v>
          </c:tx>
          <c:spPr>
            <a:ln w="12700">
              <a:solidFill>
                <a:srgbClr val="808080"/>
              </a:solidFill>
              <a:prstDash val="solid"/>
            </a:ln>
          </c:spPr>
          <c:marker>
            <c:symbol val="none"/>
          </c:marker>
          <c:xVal>
            <c:numRef>
              <c:f>KLasten!$C$15:$G$15</c:f>
              <c:numCache>
                <c:formatCode>General</c:formatCode>
                <c:ptCount val="5"/>
                <c:pt idx="0">
                  <c:v>0.5</c:v>
                </c:pt>
                <c:pt idx="1">
                  <c:v>0.5</c:v>
                </c:pt>
                <c:pt idx="2">
                  <c:v>0.5</c:v>
                </c:pt>
                <c:pt idx="3">
                  <c:v>0.5</c:v>
                </c:pt>
                <c:pt idx="4">
                  <c:v>0.5</c:v>
                </c:pt>
              </c:numCache>
            </c:numRef>
          </c:xVal>
          <c:yVal>
            <c:numRef>
              <c:f>KLasten!$H$15:$L$15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3"/>
          <c:order val="93"/>
          <c:tx>
            <c:v>KnotenkraftV13</c:v>
          </c:tx>
          <c:spPr>
            <a:ln w="12700">
              <a:solidFill>
                <a:srgbClr val="808080"/>
              </a:solidFill>
              <a:prstDash val="solid"/>
            </a:ln>
          </c:spPr>
          <c:marker>
            <c:symbol val="none"/>
          </c:marker>
          <c:xVal>
            <c:numRef>
              <c:f>KLasten!$C$16:$G$16</c:f>
              <c:numCache>
                <c:formatCode>General</c:formatCode>
                <c:ptCount val="5"/>
                <c:pt idx="0">
                  <c:v>0.5</c:v>
                </c:pt>
                <c:pt idx="1">
                  <c:v>0.5</c:v>
                </c:pt>
                <c:pt idx="2">
                  <c:v>0.5</c:v>
                </c:pt>
                <c:pt idx="3">
                  <c:v>0.5</c:v>
                </c:pt>
                <c:pt idx="4">
                  <c:v>0.5</c:v>
                </c:pt>
              </c:numCache>
            </c:numRef>
          </c:xVal>
          <c:yVal>
            <c:numRef>
              <c:f>KLasten!$H$16:$L$16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4"/>
          <c:order val="94"/>
          <c:tx>
            <c:v>KnotenkraftV14</c:v>
          </c:tx>
          <c:spPr>
            <a:ln w="12700">
              <a:solidFill>
                <a:srgbClr val="808080"/>
              </a:solidFill>
              <a:prstDash val="solid"/>
            </a:ln>
          </c:spPr>
          <c:marker>
            <c:symbol val="none"/>
          </c:marker>
          <c:xVal>
            <c:numRef>
              <c:f>KLasten!$C$17:$G$17</c:f>
              <c:numCache>
                <c:formatCode>General</c:formatCode>
                <c:ptCount val="5"/>
                <c:pt idx="0">
                  <c:v>0.5</c:v>
                </c:pt>
                <c:pt idx="1">
                  <c:v>0.5</c:v>
                </c:pt>
                <c:pt idx="2">
                  <c:v>0.5</c:v>
                </c:pt>
                <c:pt idx="3">
                  <c:v>0.5</c:v>
                </c:pt>
                <c:pt idx="4">
                  <c:v>0.5</c:v>
                </c:pt>
              </c:numCache>
            </c:numRef>
          </c:xVal>
          <c:yVal>
            <c:numRef>
              <c:f>KLasten!$H$17:$L$17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5"/>
          <c:order val="95"/>
          <c:tx>
            <c:v>KnotenkraftV15</c:v>
          </c:tx>
          <c:spPr>
            <a:ln w="12700">
              <a:solidFill>
                <a:srgbClr val="808080"/>
              </a:solidFill>
              <a:prstDash val="solid"/>
            </a:ln>
          </c:spPr>
          <c:marker>
            <c:symbol val="none"/>
          </c:marker>
          <c:xVal>
            <c:numRef>
              <c:f>KLasten!$C$18:$G$18</c:f>
              <c:numCache>
                <c:formatCode>General</c:formatCode>
                <c:ptCount val="5"/>
                <c:pt idx="0">
                  <c:v>0.5</c:v>
                </c:pt>
                <c:pt idx="1">
                  <c:v>0.5</c:v>
                </c:pt>
                <c:pt idx="2">
                  <c:v>0.5</c:v>
                </c:pt>
                <c:pt idx="3">
                  <c:v>0.5</c:v>
                </c:pt>
                <c:pt idx="4">
                  <c:v>0.5</c:v>
                </c:pt>
              </c:numCache>
            </c:numRef>
          </c:xVal>
          <c:yVal>
            <c:numRef>
              <c:f>KLasten!$H$18:$L$18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6"/>
          <c:order val="96"/>
          <c:tx>
            <c:v>KnotenkraftV16</c:v>
          </c:tx>
          <c:spPr>
            <a:ln w="12700">
              <a:solidFill>
                <a:srgbClr val="808080"/>
              </a:solidFill>
              <a:prstDash val="solid"/>
            </a:ln>
          </c:spPr>
          <c:marker>
            <c:symbol val="none"/>
          </c:marker>
          <c:xVal>
            <c:numRef>
              <c:f>KLasten!$C$19:$G$19</c:f>
              <c:numCache>
                <c:formatCode>General</c:formatCode>
                <c:ptCount val="5"/>
                <c:pt idx="0">
                  <c:v>0.5</c:v>
                </c:pt>
                <c:pt idx="1">
                  <c:v>0.5</c:v>
                </c:pt>
                <c:pt idx="2">
                  <c:v>0.5</c:v>
                </c:pt>
                <c:pt idx="3">
                  <c:v>0.5</c:v>
                </c:pt>
                <c:pt idx="4">
                  <c:v>0.5</c:v>
                </c:pt>
              </c:numCache>
            </c:numRef>
          </c:xVal>
          <c:yVal>
            <c:numRef>
              <c:f>KLasten!$H$19:$L$19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7"/>
          <c:order val="97"/>
          <c:tx>
            <c:v>KnotenkraftV17</c:v>
          </c:tx>
          <c:spPr>
            <a:ln w="12700">
              <a:solidFill>
                <a:srgbClr val="808080"/>
              </a:solidFill>
              <a:prstDash val="solid"/>
            </a:ln>
          </c:spPr>
          <c:marker>
            <c:symbol val="none"/>
          </c:marker>
          <c:xVal>
            <c:numRef>
              <c:f>KLasten!$C$20:$G$20</c:f>
              <c:numCache>
                <c:formatCode>General</c:formatCode>
                <c:ptCount val="5"/>
                <c:pt idx="0">
                  <c:v>0.5</c:v>
                </c:pt>
                <c:pt idx="1">
                  <c:v>0.5</c:v>
                </c:pt>
                <c:pt idx="2">
                  <c:v>0.5</c:v>
                </c:pt>
                <c:pt idx="3">
                  <c:v>0.5</c:v>
                </c:pt>
                <c:pt idx="4">
                  <c:v>0.5</c:v>
                </c:pt>
              </c:numCache>
            </c:numRef>
          </c:xVal>
          <c:yVal>
            <c:numRef>
              <c:f>KLasten!$H$20:$L$20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8"/>
          <c:order val="98"/>
          <c:tx>
            <c:v>KnotenkraftV18</c:v>
          </c:tx>
          <c:spPr>
            <a:ln w="12700">
              <a:solidFill>
                <a:srgbClr val="808080"/>
              </a:solidFill>
              <a:prstDash val="solid"/>
            </a:ln>
          </c:spPr>
          <c:marker>
            <c:symbol val="none"/>
          </c:marker>
          <c:xVal>
            <c:numRef>
              <c:f>KLasten!$C$21:$G$21</c:f>
              <c:numCache>
                <c:formatCode>General</c:formatCode>
                <c:ptCount val="5"/>
                <c:pt idx="0">
                  <c:v>0.5</c:v>
                </c:pt>
                <c:pt idx="1">
                  <c:v>0.5</c:v>
                </c:pt>
                <c:pt idx="2">
                  <c:v>0.5</c:v>
                </c:pt>
                <c:pt idx="3">
                  <c:v>0.5</c:v>
                </c:pt>
                <c:pt idx="4">
                  <c:v>0.5</c:v>
                </c:pt>
              </c:numCache>
            </c:numRef>
          </c:xVal>
          <c:yVal>
            <c:numRef>
              <c:f>KLasten!$H$21:$L$21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99"/>
          <c:order val="99"/>
          <c:tx>
            <c:v>KnotenkraftV19</c:v>
          </c:tx>
          <c:spPr>
            <a:ln w="12700">
              <a:solidFill>
                <a:srgbClr val="808080"/>
              </a:solidFill>
              <a:prstDash val="solid"/>
            </a:ln>
          </c:spPr>
          <c:marker>
            <c:symbol val="none"/>
          </c:marker>
          <c:xVal>
            <c:numRef>
              <c:f>KLasten!$C$22:$G$22</c:f>
              <c:numCache>
                <c:formatCode>General</c:formatCode>
                <c:ptCount val="5"/>
                <c:pt idx="0">
                  <c:v>0.5</c:v>
                </c:pt>
                <c:pt idx="1">
                  <c:v>0.5</c:v>
                </c:pt>
                <c:pt idx="2">
                  <c:v>0.5</c:v>
                </c:pt>
                <c:pt idx="3">
                  <c:v>0.5</c:v>
                </c:pt>
                <c:pt idx="4">
                  <c:v>0.5</c:v>
                </c:pt>
              </c:numCache>
            </c:numRef>
          </c:xVal>
          <c:yVal>
            <c:numRef>
              <c:f>KLasten!$H$22:$L$22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0"/>
          <c:order val="100"/>
          <c:tx>
            <c:v>KnotenkraftV20</c:v>
          </c:tx>
          <c:spPr>
            <a:ln w="12700">
              <a:solidFill>
                <a:srgbClr val="808080"/>
              </a:solidFill>
              <a:prstDash val="solid"/>
            </a:ln>
          </c:spPr>
          <c:marker>
            <c:symbol val="none"/>
          </c:marker>
          <c:xVal>
            <c:numRef>
              <c:f>KLasten!$C$23:$G$23</c:f>
              <c:numCache>
                <c:formatCode>General</c:formatCode>
                <c:ptCount val="5"/>
                <c:pt idx="0">
                  <c:v>0.5</c:v>
                </c:pt>
                <c:pt idx="1">
                  <c:v>0.5</c:v>
                </c:pt>
                <c:pt idx="2">
                  <c:v>0.5</c:v>
                </c:pt>
                <c:pt idx="3">
                  <c:v>0.5</c:v>
                </c:pt>
                <c:pt idx="4">
                  <c:v>0.5</c:v>
                </c:pt>
              </c:numCache>
            </c:numRef>
          </c:xVal>
          <c:yVal>
            <c:numRef>
              <c:f>KLasten!$H$23:$L$23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1"/>
          <c:order val="101"/>
          <c:tx>
            <c:v>KnotenkratftH1</c:v>
          </c:tx>
          <c:spPr>
            <a:ln w="12700">
              <a:solidFill>
                <a:srgbClr val="808080"/>
              </a:solidFill>
              <a:prstDash val="solid"/>
            </a:ln>
          </c:spPr>
          <c:marker>
            <c:symbol val="none"/>
          </c:marker>
          <c:xVal>
            <c:numRef>
              <c:f>KLasten!$C$27:$G$27</c:f>
              <c:numCache>
                <c:formatCode>General</c:formatCode>
                <c:ptCount val="5"/>
                <c:pt idx="0">
                  <c:v>0</c:v>
                </c:pt>
                <c:pt idx="1">
                  <c:v>0</c:v>
                </c:pt>
                <c:pt idx="2">
                  <c:v>0</c:v>
                </c:pt>
                <c:pt idx="3">
                  <c:v>0</c:v>
                </c:pt>
                <c:pt idx="4">
                  <c:v>0</c:v>
                </c:pt>
              </c:numCache>
            </c:numRef>
          </c:xVal>
          <c:yVal>
            <c:numRef>
              <c:f>KLasten!$H$27:$L$27</c:f>
              <c:numCache>
                <c:formatCode>General</c:formatCode>
                <c:ptCount val="5"/>
                <c:pt idx="0">
                  <c:v>0.75</c:v>
                </c:pt>
                <c:pt idx="1">
                  <c:v>0.75</c:v>
                </c:pt>
                <c:pt idx="2">
                  <c:v>0.75</c:v>
                </c:pt>
                <c:pt idx="3">
                  <c:v>0.75</c:v>
                </c:pt>
                <c:pt idx="4">
                  <c:v>0.75</c:v>
                </c:pt>
              </c:numCache>
            </c:numRef>
          </c:yVal>
          <c:smooth val="0"/>
        </c:ser>
        <c:ser>
          <c:idx val="102"/>
          <c:order val="102"/>
          <c:tx>
            <c:v>KnotenkratftH2</c:v>
          </c:tx>
          <c:spPr>
            <a:ln w="12700">
              <a:solidFill>
                <a:srgbClr val="808080"/>
              </a:solidFill>
              <a:prstDash val="solid"/>
            </a:ln>
          </c:spPr>
          <c:marker>
            <c:symbol val="none"/>
          </c:marker>
          <c:xVal>
            <c:numRef>
              <c:f>KLasten!$C$28:$G$28</c:f>
              <c:numCache>
                <c:formatCode>General</c:formatCode>
                <c:ptCount val="5"/>
                <c:pt idx="0">
                  <c:v>0.5</c:v>
                </c:pt>
                <c:pt idx="1">
                  <c:v>0.5</c:v>
                </c:pt>
                <c:pt idx="2">
                  <c:v>0.5</c:v>
                </c:pt>
                <c:pt idx="3">
                  <c:v>0.5</c:v>
                </c:pt>
                <c:pt idx="4">
                  <c:v>0.5</c:v>
                </c:pt>
              </c:numCache>
            </c:numRef>
          </c:xVal>
          <c:yVal>
            <c:numRef>
              <c:f>KLasten!$H$28:$L$28</c:f>
              <c:numCache>
                <c:formatCode>General</c:formatCode>
                <c:ptCount val="5"/>
                <c:pt idx="0">
                  <c:v>0.25</c:v>
                </c:pt>
                <c:pt idx="1">
                  <c:v>0.25</c:v>
                </c:pt>
                <c:pt idx="2">
                  <c:v>0.25</c:v>
                </c:pt>
                <c:pt idx="3">
                  <c:v>0.25</c:v>
                </c:pt>
                <c:pt idx="4">
                  <c:v>0.25</c:v>
                </c:pt>
              </c:numCache>
            </c:numRef>
          </c:yVal>
          <c:smooth val="0"/>
        </c:ser>
        <c:ser>
          <c:idx val="103"/>
          <c:order val="103"/>
          <c:tx>
            <c:v>KnotenkratftH3</c:v>
          </c:tx>
          <c:spPr>
            <a:ln w="12700">
              <a:solidFill>
                <a:srgbClr val="808080"/>
              </a:solidFill>
              <a:prstDash val="solid"/>
            </a:ln>
          </c:spPr>
          <c:marker>
            <c:symbol val="none"/>
          </c:marker>
          <c:xVal>
            <c:numRef>
              <c:f>KLasten!$C$29:$G$29</c:f>
              <c:numCache>
                <c:formatCode>General</c:formatCode>
                <c:ptCount val="5"/>
                <c:pt idx="0">
                  <c:v>1</c:v>
                </c:pt>
                <c:pt idx="1">
                  <c:v>1</c:v>
                </c:pt>
                <c:pt idx="2">
                  <c:v>1</c:v>
                </c:pt>
                <c:pt idx="3">
                  <c:v>1</c:v>
                </c:pt>
                <c:pt idx="4">
                  <c:v>1</c:v>
                </c:pt>
              </c:numCache>
            </c:numRef>
          </c:xVal>
          <c:yVal>
            <c:numRef>
              <c:f>KLasten!$H$29:$L$29</c:f>
              <c:numCache>
                <c:formatCode>General</c:formatCode>
                <c:ptCount val="5"/>
                <c:pt idx="0">
                  <c:v>0.25</c:v>
                </c:pt>
                <c:pt idx="1">
                  <c:v>0.25</c:v>
                </c:pt>
                <c:pt idx="2">
                  <c:v>0.25</c:v>
                </c:pt>
                <c:pt idx="3">
                  <c:v>0.25</c:v>
                </c:pt>
                <c:pt idx="4">
                  <c:v>0.25</c:v>
                </c:pt>
              </c:numCache>
            </c:numRef>
          </c:yVal>
          <c:smooth val="0"/>
        </c:ser>
        <c:ser>
          <c:idx val="104"/>
          <c:order val="104"/>
          <c:tx>
            <c:v>KnotenkratftH4</c:v>
          </c:tx>
          <c:spPr>
            <a:ln w="12700">
              <a:solidFill>
                <a:srgbClr val="808080"/>
              </a:solidFill>
              <a:prstDash val="solid"/>
            </a:ln>
          </c:spPr>
          <c:marker>
            <c:symbol val="none"/>
          </c:marker>
          <c:xVal>
            <c:numRef>
              <c:f>KLasten!$C$30:$G$30</c:f>
              <c:numCache>
                <c:formatCode>General</c:formatCode>
                <c:ptCount val="5"/>
                <c:pt idx="0">
                  <c:v>0.5</c:v>
                </c:pt>
                <c:pt idx="1">
                  <c:v>0.5</c:v>
                </c:pt>
                <c:pt idx="2">
                  <c:v>0.5</c:v>
                </c:pt>
                <c:pt idx="3">
                  <c:v>0.5</c:v>
                </c:pt>
                <c:pt idx="4">
                  <c:v>0.5</c:v>
                </c:pt>
              </c:numCache>
            </c:numRef>
          </c:xVal>
          <c:yVal>
            <c:numRef>
              <c:f>KLasten!$H$30:$L$30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5"/>
          <c:order val="105"/>
          <c:tx>
            <c:v>KnotenkratftH5</c:v>
          </c:tx>
          <c:spPr>
            <a:ln w="12700">
              <a:solidFill>
                <a:srgbClr val="808080"/>
              </a:solidFill>
              <a:prstDash val="solid"/>
            </a:ln>
          </c:spPr>
          <c:marker>
            <c:symbol val="none"/>
          </c:marker>
          <c:xVal>
            <c:numRef>
              <c:f>KLasten!$C$31:$G$31</c:f>
              <c:numCache>
                <c:formatCode>General</c:formatCode>
                <c:ptCount val="5"/>
                <c:pt idx="0">
                  <c:v>0.5</c:v>
                </c:pt>
                <c:pt idx="1">
                  <c:v>0.5</c:v>
                </c:pt>
                <c:pt idx="2">
                  <c:v>0.5</c:v>
                </c:pt>
                <c:pt idx="3">
                  <c:v>0.5</c:v>
                </c:pt>
                <c:pt idx="4">
                  <c:v>0.5</c:v>
                </c:pt>
              </c:numCache>
            </c:numRef>
          </c:xVal>
          <c:yVal>
            <c:numRef>
              <c:f>KLasten!$H$31:$L$31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6"/>
          <c:order val="106"/>
          <c:tx>
            <c:v>KnotenkratftH6</c:v>
          </c:tx>
          <c:spPr>
            <a:ln w="12700">
              <a:solidFill>
                <a:srgbClr val="808080"/>
              </a:solidFill>
              <a:prstDash val="solid"/>
            </a:ln>
          </c:spPr>
          <c:marker>
            <c:symbol val="none"/>
          </c:marker>
          <c:xVal>
            <c:numRef>
              <c:f>KLasten!$C$32:$G$32</c:f>
              <c:numCache>
                <c:formatCode>General</c:formatCode>
                <c:ptCount val="5"/>
                <c:pt idx="0">
                  <c:v>0.5</c:v>
                </c:pt>
                <c:pt idx="1">
                  <c:v>0.5</c:v>
                </c:pt>
                <c:pt idx="2">
                  <c:v>0.5</c:v>
                </c:pt>
                <c:pt idx="3">
                  <c:v>0.5</c:v>
                </c:pt>
                <c:pt idx="4">
                  <c:v>0.5</c:v>
                </c:pt>
              </c:numCache>
            </c:numRef>
          </c:xVal>
          <c:yVal>
            <c:numRef>
              <c:f>KLasten!$H$32:$L$32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7"/>
          <c:order val="107"/>
          <c:tx>
            <c:v>KnotenkratftH7</c:v>
          </c:tx>
          <c:spPr>
            <a:ln w="12700">
              <a:solidFill>
                <a:srgbClr val="808080"/>
              </a:solidFill>
              <a:prstDash val="solid"/>
            </a:ln>
          </c:spPr>
          <c:marker>
            <c:symbol val="none"/>
          </c:marker>
          <c:xVal>
            <c:numRef>
              <c:f>KLasten!$C$33:$G$33</c:f>
              <c:numCache>
                <c:formatCode>General</c:formatCode>
                <c:ptCount val="5"/>
                <c:pt idx="0">
                  <c:v>0.5</c:v>
                </c:pt>
                <c:pt idx="1">
                  <c:v>0.5</c:v>
                </c:pt>
                <c:pt idx="2">
                  <c:v>0.5</c:v>
                </c:pt>
                <c:pt idx="3">
                  <c:v>0.5</c:v>
                </c:pt>
                <c:pt idx="4">
                  <c:v>0.5</c:v>
                </c:pt>
              </c:numCache>
            </c:numRef>
          </c:xVal>
          <c:yVal>
            <c:numRef>
              <c:f>KLasten!$H$33:$L$33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8"/>
          <c:order val="108"/>
          <c:tx>
            <c:v>KnotenkratftH8</c:v>
          </c:tx>
          <c:spPr>
            <a:ln w="12700">
              <a:solidFill>
                <a:srgbClr val="808080"/>
              </a:solidFill>
              <a:prstDash val="solid"/>
            </a:ln>
          </c:spPr>
          <c:marker>
            <c:symbol val="none"/>
          </c:marker>
          <c:xVal>
            <c:numRef>
              <c:f>KLasten!$C$34:$G$34</c:f>
              <c:numCache>
                <c:formatCode>General</c:formatCode>
                <c:ptCount val="5"/>
                <c:pt idx="0">
                  <c:v>0.5</c:v>
                </c:pt>
                <c:pt idx="1">
                  <c:v>0.5</c:v>
                </c:pt>
                <c:pt idx="2">
                  <c:v>0.5</c:v>
                </c:pt>
                <c:pt idx="3">
                  <c:v>0.5</c:v>
                </c:pt>
                <c:pt idx="4">
                  <c:v>0.5</c:v>
                </c:pt>
              </c:numCache>
            </c:numRef>
          </c:xVal>
          <c:yVal>
            <c:numRef>
              <c:f>KLasten!$H$34:$L$34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09"/>
          <c:order val="109"/>
          <c:tx>
            <c:v>KnotenkratftH9</c:v>
          </c:tx>
          <c:spPr>
            <a:ln w="12700">
              <a:solidFill>
                <a:srgbClr val="808080"/>
              </a:solidFill>
              <a:prstDash val="solid"/>
            </a:ln>
          </c:spPr>
          <c:marker>
            <c:symbol val="none"/>
          </c:marker>
          <c:xVal>
            <c:numRef>
              <c:f>KLasten!$C$35:$G$35</c:f>
              <c:numCache>
                <c:formatCode>General</c:formatCode>
                <c:ptCount val="5"/>
                <c:pt idx="0">
                  <c:v>0.5</c:v>
                </c:pt>
                <c:pt idx="1">
                  <c:v>0.5</c:v>
                </c:pt>
                <c:pt idx="2">
                  <c:v>0.5</c:v>
                </c:pt>
                <c:pt idx="3">
                  <c:v>0.5</c:v>
                </c:pt>
                <c:pt idx="4">
                  <c:v>0.5</c:v>
                </c:pt>
              </c:numCache>
            </c:numRef>
          </c:xVal>
          <c:yVal>
            <c:numRef>
              <c:f>KLasten!$H$35:$L$35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0"/>
          <c:order val="110"/>
          <c:tx>
            <c:v>KnotenkratftH10</c:v>
          </c:tx>
          <c:spPr>
            <a:ln w="12700">
              <a:solidFill>
                <a:srgbClr val="808080"/>
              </a:solidFill>
              <a:prstDash val="solid"/>
            </a:ln>
          </c:spPr>
          <c:marker>
            <c:symbol val="none"/>
          </c:marker>
          <c:xVal>
            <c:numRef>
              <c:f>KLasten!$C$36:$G$36</c:f>
              <c:numCache>
                <c:formatCode>General</c:formatCode>
                <c:ptCount val="5"/>
                <c:pt idx="0">
                  <c:v>0.5</c:v>
                </c:pt>
                <c:pt idx="1">
                  <c:v>0.5</c:v>
                </c:pt>
                <c:pt idx="2">
                  <c:v>0.5</c:v>
                </c:pt>
                <c:pt idx="3">
                  <c:v>0.5</c:v>
                </c:pt>
                <c:pt idx="4">
                  <c:v>0.5</c:v>
                </c:pt>
              </c:numCache>
            </c:numRef>
          </c:xVal>
          <c:yVal>
            <c:numRef>
              <c:f>KLasten!$H$36:$L$36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1"/>
          <c:order val="111"/>
          <c:tx>
            <c:v>KnotenkratftH11</c:v>
          </c:tx>
          <c:spPr>
            <a:ln w="12700">
              <a:solidFill>
                <a:srgbClr val="808080"/>
              </a:solidFill>
              <a:prstDash val="solid"/>
            </a:ln>
          </c:spPr>
          <c:marker>
            <c:symbol val="none"/>
          </c:marker>
          <c:xVal>
            <c:numRef>
              <c:f>KLasten!$C$37:$G$37</c:f>
              <c:numCache>
                <c:formatCode>General</c:formatCode>
                <c:ptCount val="5"/>
                <c:pt idx="0">
                  <c:v>0.5</c:v>
                </c:pt>
                <c:pt idx="1">
                  <c:v>0.5</c:v>
                </c:pt>
                <c:pt idx="2">
                  <c:v>0.5</c:v>
                </c:pt>
                <c:pt idx="3">
                  <c:v>0.5</c:v>
                </c:pt>
                <c:pt idx="4">
                  <c:v>0.5</c:v>
                </c:pt>
              </c:numCache>
            </c:numRef>
          </c:xVal>
          <c:yVal>
            <c:numRef>
              <c:f>KLasten!$H$37:$L$37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2"/>
          <c:order val="112"/>
          <c:tx>
            <c:v>KnotenkratftH12</c:v>
          </c:tx>
          <c:spPr>
            <a:ln w="12700">
              <a:solidFill>
                <a:srgbClr val="808080"/>
              </a:solidFill>
              <a:prstDash val="solid"/>
            </a:ln>
          </c:spPr>
          <c:marker>
            <c:symbol val="none"/>
          </c:marker>
          <c:xVal>
            <c:numRef>
              <c:f>KLasten!$C$38:$G$38</c:f>
              <c:numCache>
                <c:formatCode>General</c:formatCode>
                <c:ptCount val="5"/>
                <c:pt idx="0">
                  <c:v>0.5</c:v>
                </c:pt>
                <c:pt idx="1">
                  <c:v>0.5</c:v>
                </c:pt>
                <c:pt idx="2">
                  <c:v>0.5</c:v>
                </c:pt>
                <c:pt idx="3">
                  <c:v>0.5</c:v>
                </c:pt>
                <c:pt idx="4">
                  <c:v>0.5</c:v>
                </c:pt>
              </c:numCache>
            </c:numRef>
          </c:xVal>
          <c:yVal>
            <c:numRef>
              <c:f>KLasten!$H$38:$L$38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3"/>
          <c:order val="113"/>
          <c:tx>
            <c:v>KnotenkratftH13</c:v>
          </c:tx>
          <c:spPr>
            <a:ln w="12700">
              <a:solidFill>
                <a:srgbClr val="808080"/>
              </a:solidFill>
              <a:prstDash val="solid"/>
            </a:ln>
          </c:spPr>
          <c:marker>
            <c:symbol val="none"/>
          </c:marker>
          <c:xVal>
            <c:numRef>
              <c:f>KLasten!$C$39:$G$39</c:f>
              <c:numCache>
                <c:formatCode>General</c:formatCode>
                <c:ptCount val="5"/>
                <c:pt idx="0">
                  <c:v>0.5</c:v>
                </c:pt>
                <c:pt idx="1">
                  <c:v>0.5</c:v>
                </c:pt>
                <c:pt idx="2">
                  <c:v>0.5</c:v>
                </c:pt>
                <c:pt idx="3">
                  <c:v>0.5</c:v>
                </c:pt>
                <c:pt idx="4">
                  <c:v>0.5</c:v>
                </c:pt>
              </c:numCache>
            </c:numRef>
          </c:xVal>
          <c:yVal>
            <c:numRef>
              <c:f>KLasten!$H$39:$L$39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4"/>
          <c:order val="114"/>
          <c:tx>
            <c:v>KnotenkratftH14</c:v>
          </c:tx>
          <c:spPr>
            <a:ln w="12700">
              <a:solidFill>
                <a:srgbClr val="808080"/>
              </a:solidFill>
              <a:prstDash val="solid"/>
            </a:ln>
          </c:spPr>
          <c:marker>
            <c:symbol val="none"/>
          </c:marker>
          <c:xVal>
            <c:numRef>
              <c:f>KLasten!$C$40:$G$40</c:f>
              <c:numCache>
                <c:formatCode>General</c:formatCode>
                <c:ptCount val="5"/>
                <c:pt idx="0">
                  <c:v>0.5</c:v>
                </c:pt>
                <c:pt idx="1">
                  <c:v>0.5</c:v>
                </c:pt>
                <c:pt idx="2">
                  <c:v>0.5</c:v>
                </c:pt>
                <c:pt idx="3">
                  <c:v>0.5</c:v>
                </c:pt>
                <c:pt idx="4">
                  <c:v>0.5</c:v>
                </c:pt>
              </c:numCache>
            </c:numRef>
          </c:xVal>
          <c:yVal>
            <c:numRef>
              <c:f>KLasten!$H$40:$L$40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5"/>
          <c:order val="115"/>
          <c:tx>
            <c:v>KnotenkratftH15</c:v>
          </c:tx>
          <c:spPr>
            <a:ln w="12700">
              <a:solidFill>
                <a:srgbClr val="808080"/>
              </a:solidFill>
              <a:prstDash val="solid"/>
            </a:ln>
          </c:spPr>
          <c:marker>
            <c:symbol val="none"/>
          </c:marker>
          <c:xVal>
            <c:numRef>
              <c:f>KLasten!$C$41:$G$41</c:f>
              <c:numCache>
                <c:formatCode>General</c:formatCode>
                <c:ptCount val="5"/>
                <c:pt idx="0">
                  <c:v>0.5</c:v>
                </c:pt>
                <c:pt idx="1">
                  <c:v>0.5</c:v>
                </c:pt>
                <c:pt idx="2">
                  <c:v>0.5</c:v>
                </c:pt>
                <c:pt idx="3">
                  <c:v>0.5</c:v>
                </c:pt>
                <c:pt idx="4">
                  <c:v>0.5</c:v>
                </c:pt>
              </c:numCache>
            </c:numRef>
          </c:xVal>
          <c:yVal>
            <c:numRef>
              <c:f>KLasten!$H$41:$L$41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6"/>
          <c:order val="116"/>
          <c:tx>
            <c:v>KnotenkratftH16</c:v>
          </c:tx>
          <c:spPr>
            <a:ln w="12700">
              <a:solidFill>
                <a:srgbClr val="808080"/>
              </a:solidFill>
              <a:prstDash val="solid"/>
            </a:ln>
          </c:spPr>
          <c:marker>
            <c:symbol val="none"/>
          </c:marker>
          <c:xVal>
            <c:numRef>
              <c:f>KLasten!$C$42:$G$42</c:f>
              <c:numCache>
                <c:formatCode>General</c:formatCode>
                <c:ptCount val="5"/>
                <c:pt idx="0">
                  <c:v>0.5</c:v>
                </c:pt>
                <c:pt idx="1">
                  <c:v>0.5</c:v>
                </c:pt>
                <c:pt idx="2">
                  <c:v>0.5</c:v>
                </c:pt>
                <c:pt idx="3">
                  <c:v>0.5</c:v>
                </c:pt>
                <c:pt idx="4">
                  <c:v>0.5</c:v>
                </c:pt>
              </c:numCache>
            </c:numRef>
          </c:xVal>
          <c:yVal>
            <c:numRef>
              <c:f>KLasten!$H$42:$L$42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7"/>
          <c:order val="117"/>
          <c:tx>
            <c:v>KnotenkratftH17</c:v>
          </c:tx>
          <c:spPr>
            <a:ln w="12700">
              <a:solidFill>
                <a:srgbClr val="808080"/>
              </a:solidFill>
              <a:prstDash val="solid"/>
            </a:ln>
          </c:spPr>
          <c:marker>
            <c:symbol val="none"/>
          </c:marker>
          <c:xVal>
            <c:numRef>
              <c:f>KLasten!$C$43:$G$43</c:f>
              <c:numCache>
                <c:formatCode>General</c:formatCode>
                <c:ptCount val="5"/>
                <c:pt idx="0">
                  <c:v>0.5</c:v>
                </c:pt>
                <c:pt idx="1">
                  <c:v>0.5</c:v>
                </c:pt>
                <c:pt idx="2">
                  <c:v>0.5</c:v>
                </c:pt>
                <c:pt idx="3">
                  <c:v>0.5</c:v>
                </c:pt>
                <c:pt idx="4">
                  <c:v>0.5</c:v>
                </c:pt>
              </c:numCache>
            </c:numRef>
          </c:xVal>
          <c:yVal>
            <c:numRef>
              <c:f>KLasten!$H$43:$L$43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8"/>
          <c:order val="118"/>
          <c:tx>
            <c:v>KnotenkratftH18</c:v>
          </c:tx>
          <c:spPr>
            <a:ln w="12700">
              <a:solidFill>
                <a:srgbClr val="808080"/>
              </a:solidFill>
              <a:prstDash val="solid"/>
            </a:ln>
          </c:spPr>
          <c:marker>
            <c:symbol val="none"/>
          </c:marker>
          <c:xVal>
            <c:numRef>
              <c:f>KLasten!$C$44:$G$44</c:f>
              <c:numCache>
                <c:formatCode>General</c:formatCode>
                <c:ptCount val="5"/>
                <c:pt idx="0">
                  <c:v>0.5</c:v>
                </c:pt>
                <c:pt idx="1">
                  <c:v>0.5</c:v>
                </c:pt>
                <c:pt idx="2">
                  <c:v>0.5</c:v>
                </c:pt>
                <c:pt idx="3">
                  <c:v>0.5</c:v>
                </c:pt>
                <c:pt idx="4">
                  <c:v>0.5</c:v>
                </c:pt>
              </c:numCache>
            </c:numRef>
          </c:xVal>
          <c:yVal>
            <c:numRef>
              <c:f>KLasten!$H$44:$L$44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19"/>
          <c:order val="119"/>
          <c:tx>
            <c:v>KnotenkratftH19</c:v>
          </c:tx>
          <c:spPr>
            <a:ln w="12700">
              <a:solidFill>
                <a:srgbClr val="808080"/>
              </a:solidFill>
              <a:prstDash val="solid"/>
            </a:ln>
          </c:spPr>
          <c:marker>
            <c:symbol val="none"/>
          </c:marker>
          <c:xVal>
            <c:numRef>
              <c:f>KLasten!$C$45:$G$45</c:f>
              <c:numCache>
                <c:formatCode>General</c:formatCode>
                <c:ptCount val="5"/>
                <c:pt idx="0">
                  <c:v>0.5</c:v>
                </c:pt>
                <c:pt idx="1">
                  <c:v>0.5</c:v>
                </c:pt>
                <c:pt idx="2">
                  <c:v>0.5</c:v>
                </c:pt>
                <c:pt idx="3">
                  <c:v>0.5</c:v>
                </c:pt>
                <c:pt idx="4">
                  <c:v>0.5</c:v>
                </c:pt>
              </c:numCache>
            </c:numRef>
          </c:xVal>
          <c:yVal>
            <c:numRef>
              <c:f>KLasten!$H$45:$L$45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20"/>
          <c:order val="120"/>
          <c:tx>
            <c:v>KnotenkratftH20</c:v>
          </c:tx>
          <c:spPr>
            <a:ln w="12700">
              <a:solidFill>
                <a:srgbClr val="808080"/>
              </a:solidFill>
              <a:prstDash val="solid"/>
            </a:ln>
          </c:spPr>
          <c:marker>
            <c:symbol val="none"/>
          </c:marker>
          <c:xVal>
            <c:numRef>
              <c:f>KLasten!$C$46:$G$46</c:f>
              <c:numCache>
                <c:formatCode>General</c:formatCode>
                <c:ptCount val="5"/>
                <c:pt idx="0">
                  <c:v>0.5</c:v>
                </c:pt>
                <c:pt idx="1">
                  <c:v>0.5</c:v>
                </c:pt>
                <c:pt idx="2">
                  <c:v>0.5</c:v>
                </c:pt>
                <c:pt idx="3">
                  <c:v>0.5</c:v>
                </c:pt>
                <c:pt idx="4">
                  <c:v>0.5</c:v>
                </c:pt>
              </c:numCache>
            </c:numRef>
          </c:xVal>
          <c:yVal>
            <c:numRef>
              <c:f>KLasten!$H$46:$L$46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121"/>
          <c:order val="121"/>
          <c:tx>
            <c:v>Knotenmoment1</c:v>
          </c:tx>
          <c:spPr>
            <a:ln w="12700">
              <a:solidFill>
                <a:srgbClr val="808080"/>
              </a:solidFill>
              <a:prstDash val="solid"/>
            </a:ln>
          </c:spPr>
          <c:marker>
            <c:symbol val="none"/>
          </c:marker>
          <c:xVal>
            <c:numRef>
              <c:f>KLasten!$C$50:$L$50</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KLasten!$M$50:$V$50</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2"/>
          <c:order val="122"/>
          <c:tx>
            <c:v>Knotenmoment2</c:v>
          </c:tx>
          <c:spPr>
            <a:ln w="12700">
              <a:solidFill>
                <a:srgbClr val="808080"/>
              </a:solidFill>
              <a:prstDash val="solid"/>
            </a:ln>
          </c:spPr>
          <c:marker>
            <c:symbol val="none"/>
          </c:marker>
          <c:xVal>
            <c:numRef>
              <c:f>KLasten!$C$51:$L$51</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KLasten!$M$51:$V$51</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3"/>
          <c:order val="123"/>
          <c:tx>
            <c:v>Knotenmoment3</c:v>
          </c:tx>
          <c:spPr>
            <a:ln w="12700">
              <a:solidFill>
                <a:srgbClr val="808080"/>
              </a:solidFill>
              <a:prstDash val="solid"/>
            </a:ln>
          </c:spPr>
          <c:marker>
            <c:symbol val="none"/>
          </c:marker>
          <c:xVal>
            <c:numRef>
              <c:f>KLasten!$C$52:$L$52</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KLasten!$M$52:$V$52</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4"/>
          <c:order val="124"/>
          <c:tx>
            <c:v>Knotenmoment4</c:v>
          </c:tx>
          <c:spPr>
            <a:ln w="12700">
              <a:solidFill>
                <a:srgbClr val="808080"/>
              </a:solidFill>
              <a:prstDash val="solid"/>
            </a:ln>
          </c:spPr>
          <c:marker>
            <c:symbol val="none"/>
          </c:marker>
          <c:xVal>
            <c:numRef>
              <c:f>KLasten!$C$53:$L$53</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KLasten!$M$53:$V$53</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5"/>
          <c:order val="125"/>
          <c:tx>
            <c:v>Knotenmoment5</c:v>
          </c:tx>
          <c:spPr>
            <a:ln w="12700">
              <a:solidFill>
                <a:srgbClr val="808080"/>
              </a:solidFill>
              <a:prstDash val="solid"/>
            </a:ln>
          </c:spPr>
          <c:marker>
            <c:symbol val="none"/>
          </c:marker>
          <c:xVal>
            <c:numRef>
              <c:f>KLasten!$C$54:$L$54</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KLasten!$M$54:$V$54</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6"/>
          <c:order val="126"/>
          <c:tx>
            <c:v>Knotenmoment6</c:v>
          </c:tx>
          <c:spPr>
            <a:ln w="12700">
              <a:solidFill>
                <a:srgbClr val="808080"/>
              </a:solidFill>
              <a:prstDash val="solid"/>
            </a:ln>
          </c:spPr>
          <c:marker>
            <c:symbol val="none"/>
          </c:marker>
          <c:xVal>
            <c:numRef>
              <c:f>KLasten!$C$55:$L$55</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KLasten!$M$55:$V$55</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7"/>
          <c:order val="127"/>
          <c:tx>
            <c:v>Knotenmoment7</c:v>
          </c:tx>
          <c:spPr>
            <a:ln w="12700">
              <a:solidFill>
                <a:srgbClr val="808080"/>
              </a:solidFill>
              <a:prstDash val="solid"/>
            </a:ln>
          </c:spPr>
          <c:marker>
            <c:symbol val="none"/>
          </c:marker>
          <c:xVal>
            <c:numRef>
              <c:f>KLasten!$C$56:$L$56</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KLasten!$M$56:$V$56</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8"/>
          <c:order val="128"/>
          <c:tx>
            <c:v>Knotenmoment8</c:v>
          </c:tx>
          <c:spPr>
            <a:ln w="12700">
              <a:solidFill>
                <a:srgbClr val="808080"/>
              </a:solidFill>
              <a:prstDash val="solid"/>
            </a:ln>
          </c:spPr>
          <c:marker>
            <c:symbol val="none"/>
          </c:marker>
          <c:xVal>
            <c:numRef>
              <c:f>KLasten!$C$57:$L$57</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KLasten!$M$57:$V$57</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29"/>
          <c:order val="129"/>
          <c:tx>
            <c:v>Knotenmoment9</c:v>
          </c:tx>
          <c:spPr>
            <a:ln w="12700">
              <a:solidFill>
                <a:srgbClr val="808080"/>
              </a:solidFill>
              <a:prstDash val="solid"/>
            </a:ln>
          </c:spPr>
          <c:marker>
            <c:symbol val="none"/>
          </c:marker>
          <c:xVal>
            <c:numRef>
              <c:f>KLasten!$C$58:$L$58</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KLasten!$M$58:$V$58</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0"/>
          <c:order val="130"/>
          <c:tx>
            <c:v>Knotenmoment10</c:v>
          </c:tx>
          <c:spPr>
            <a:ln w="12700">
              <a:solidFill>
                <a:srgbClr val="808080"/>
              </a:solidFill>
              <a:prstDash val="solid"/>
            </a:ln>
          </c:spPr>
          <c:marker>
            <c:symbol val="none"/>
          </c:marker>
          <c:xVal>
            <c:numRef>
              <c:f>KLasten!$C$59:$L$59</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KLasten!$M$59:$V$59</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1"/>
          <c:order val="131"/>
          <c:tx>
            <c:v>Knotenmoment11</c:v>
          </c:tx>
          <c:spPr>
            <a:ln w="12700">
              <a:solidFill>
                <a:srgbClr val="808080"/>
              </a:solidFill>
              <a:prstDash val="solid"/>
            </a:ln>
          </c:spPr>
          <c:marker>
            <c:symbol val="none"/>
          </c:marker>
          <c:xVal>
            <c:numRef>
              <c:f>KLasten!$C$60:$L$60</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KLasten!$M$60:$V$60</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2"/>
          <c:order val="132"/>
          <c:tx>
            <c:v>Knotenmoment12</c:v>
          </c:tx>
          <c:spPr>
            <a:ln w="12700">
              <a:solidFill>
                <a:srgbClr val="808080"/>
              </a:solidFill>
              <a:prstDash val="solid"/>
            </a:ln>
          </c:spPr>
          <c:marker>
            <c:symbol val="none"/>
          </c:marker>
          <c:xVal>
            <c:numRef>
              <c:f>KLasten!$C$61:$L$61</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KLasten!$M$61:$V$61</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3"/>
          <c:order val="133"/>
          <c:tx>
            <c:v>Knotenmoment13</c:v>
          </c:tx>
          <c:spPr>
            <a:ln w="12700">
              <a:solidFill>
                <a:srgbClr val="808080"/>
              </a:solidFill>
              <a:prstDash val="solid"/>
            </a:ln>
          </c:spPr>
          <c:marker>
            <c:symbol val="none"/>
          </c:marker>
          <c:xVal>
            <c:numRef>
              <c:f>KLasten!$C$62:$L$62</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KLasten!$M$62:$V$62</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4"/>
          <c:order val="134"/>
          <c:tx>
            <c:v>Knotenmoment14</c:v>
          </c:tx>
          <c:spPr>
            <a:ln w="12700">
              <a:solidFill>
                <a:srgbClr val="808080"/>
              </a:solidFill>
              <a:prstDash val="solid"/>
            </a:ln>
          </c:spPr>
          <c:marker>
            <c:symbol val="none"/>
          </c:marker>
          <c:xVal>
            <c:numRef>
              <c:f>KLasten!$C$63:$L$63</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KLasten!$M$63:$V$63</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5"/>
          <c:order val="135"/>
          <c:tx>
            <c:v>Knotenmoment15</c:v>
          </c:tx>
          <c:spPr>
            <a:ln w="12700">
              <a:solidFill>
                <a:srgbClr val="808080"/>
              </a:solidFill>
              <a:prstDash val="solid"/>
            </a:ln>
          </c:spPr>
          <c:marker>
            <c:symbol val="none"/>
          </c:marker>
          <c:xVal>
            <c:numRef>
              <c:f>KLasten!$C$64:$L$64</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KLasten!$M$64:$V$64</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6"/>
          <c:order val="136"/>
          <c:tx>
            <c:v>Knotenmoment16</c:v>
          </c:tx>
          <c:spPr>
            <a:ln w="12700">
              <a:solidFill>
                <a:srgbClr val="808080"/>
              </a:solidFill>
              <a:prstDash val="solid"/>
            </a:ln>
          </c:spPr>
          <c:marker>
            <c:symbol val="none"/>
          </c:marker>
          <c:xVal>
            <c:numRef>
              <c:f>KLasten!$C$65:$L$65</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KLasten!$M$65:$V$65</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7"/>
          <c:order val="137"/>
          <c:tx>
            <c:v>Knotenmoment17</c:v>
          </c:tx>
          <c:spPr>
            <a:ln w="12700">
              <a:solidFill>
                <a:srgbClr val="808080"/>
              </a:solidFill>
              <a:prstDash val="solid"/>
            </a:ln>
          </c:spPr>
          <c:marker>
            <c:symbol val="none"/>
          </c:marker>
          <c:xVal>
            <c:numRef>
              <c:f>KLasten!$C$66:$L$66</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KLasten!$M$66:$V$66</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8"/>
          <c:order val="138"/>
          <c:tx>
            <c:v>Knotenmoment18</c:v>
          </c:tx>
          <c:spPr>
            <a:ln w="12700">
              <a:solidFill>
                <a:srgbClr val="808080"/>
              </a:solidFill>
              <a:prstDash val="solid"/>
            </a:ln>
          </c:spPr>
          <c:marker>
            <c:symbol val="none"/>
          </c:marker>
          <c:xVal>
            <c:numRef>
              <c:f>KLasten!$C$67:$L$67</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KLasten!$M$67:$V$67</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39"/>
          <c:order val="139"/>
          <c:tx>
            <c:v>Knotenmoment19</c:v>
          </c:tx>
          <c:spPr>
            <a:ln w="12700">
              <a:solidFill>
                <a:srgbClr val="808080"/>
              </a:solidFill>
              <a:prstDash val="solid"/>
            </a:ln>
          </c:spPr>
          <c:marker>
            <c:symbol val="none"/>
          </c:marker>
          <c:xVal>
            <c:numRef>
              <c:f>KLasten!$C$68:$L$68</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KLasten!$M$68:$V$68</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40"/>
          <c:order val="140"/>
          <c:tx>
            <c:v>Knotenmoment20</c:v>
          </c:tx>
          <c:spPr>
            <a:ln w="12700">
              <a:solidFill>
                <a:srgbClr val="808080"/>
              </a:solidFill>
              <a:prstDash val="solid"/>
            </a:ln>
          </c:spPr>
          <c:marker>
            <c:symbol val="none"/>
          </c:marker>
          <c:xVal>
            <c:numRef>
              <c:f>KLasten!$C$69:$L$69</c:f>
              <c:numCache>
                <c:formatCode>General</c:formatCode>
                <c:ptCount val="10"/>
                <c:pt idx="0">
                  <c:v>0.5</c:v>
                </c:pt>
                <c:pt idx="1">
                  <c:v>0.5</c:v>
                </c:pt>
                <c:pt idx="2">
                  <c:v>0.5</c:v>
                </c:pt>
                <c:pt idx="3">
                  <c:v>0.5</c:v>
                </c:pt>
                <c:pt idx="4">
                  <c:v>0.5</c:v>
                </c:pt>
                <c:pt idx="5">
                  <c:v>0.5</c:v>
                </c:pt>
                <c:pt idx="6">
                  <c:v>0.5</c:v>
                </c:pt>
                <c:pt idx="7">
                  <c:v>0.5</c:v>
                </c:pt>
                <c:pt idx="8">
                  <c:v>0.5</c:v>
                </c:pt>
                <c:pt idx="9">
                  <c:v>0.5</c:v>
                </c:pt>
              </c:numCache>
            </c:numRef>
          </c:xVal>
          <c:yVal>
            <c:numRef>
              <c:f>KLasten!$M$69:$V$69</c:f>
              <c:numCache>
                <c:formatCode>General</c:formatCode>
                <c:ptCount val="10"/>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numCache>
            </c:numRef>
          </c:yVal>
          <c:smooth val="0"/>
        </c:ser>
        <c:ser>
          <c:idx val="141"/>
          <c:order val="141"/>
          <c:tx>
            <c:v>Elementlast1</c:v>
          </c:tx>
          <c:spPr>
            <a:ln w="12700">
              <a:solidFill>
                <a:srgbClr val="808080"/>
              </a:solidFill>
              <a:prstDash val="solid"/>
            </a:ln>
          </c:spPr>
          <c:marker>
            <c:symbol val="none"/>
          </c:marker>
          <c:xVal>
            <c:numRef>
              <c:f>ELasten!$B$30:$R$30</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ELasten!$S$30:$AI$30</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2"/>
          <c:order val="142"/>
          <c:tx>
            <c:v>Elementlast2</c:v>
          </c:tx>
          <c:spPr>
            <a:ln w="12700">
              <a:solidFill>
                <a:srgbClr val="808080"/>
              </a:solidFill>
              <a:prstDash val="solid"/>
            </a:ln>
          </c:spPr>
          <c:marker>
            <c:symbol val="none"/>
          </c:marker>
          <c:xVal>
            <c:numRef>
              <c:f>ELasten!$B$31:$R$31</c:f>
              <c:numCache>
                <c:formatCode>General</c:formatCode>
                <c:ptCount val="17"/>
                <c:pt idx="0">
                  <c:v>0.518830975147347</c:v>
                </c:pt>
                <c:pt idx="1">
                  <c:v>0.518830975147347</c:v>
                </c:pt>
                <c:pt idx="2">
                  <c:v>0.52510796686312933</c:v>
                </c:pt>
                <c:pt idx="3">
                  <c:v>0.51255398343156466</c:v>
                </c:pt>
                <c:pt idx="4">
                  <c:v>0.518830975147347</c:v>
                </c:pt>
                <c:pt idx="5">
                  <c:v>0.981169024852653</c:v>
                </c:pt>
                <c:pt idx="6">
                  <c:v>0.981169024852653</c:v>
                </c:pt>
                <c:pt idx="7">
                  <c:v>0.981169024852653</c:v>
                </c:pt>
                <c:pt idx="8">
                  <c:v>0.981169024852653</c:v>
                </c:pt>
                <c:pt idx="9">
                  <c:v>0.98744601656843534</c:v>
                </c:pt>
                <c:pt idx="10">
                  <c:v>0.97489203313687067</c:v>
                </c:pt>
                <c:pt idx="11">
                  <c:v>0.981169024852653</c:v>
                </c:pt>
                <c:pt idx="12">
                  <c:v>0.981169024852653</c:v>
                </c:pt>
                <c:pt idx="13">
                  <c:v>0.981169024852653</c:v>
                </c:pt>
                <c:pt idx="14">
                  <c:v>0.981169024852653</c:v>
                </c:pt>
                <c:pt idx="15">
                  <c:v>0.981169024852653</c:v>
                </c:pt>
                <c:pt idx="16">
                  <c:v>0.518830975147347</c:v>
                </c:pt>
              </c:numCache>
            </c:numRef>
          </c:xVal>
          <c:yVal>
            <c:numRef>
              <c:f>ELasten!$S$31:$AI$31</c:f>
              <c:numCache>
                <c:formatCode>General</c:formatCode>
                <c:ptCount val="17"/>
                <c:pt idx="0">
                  <c:v>0.16839910769482969</c:v>
                </c:pt>
                <c:pt idx="1">
                  <c:v>0.231169024852653</c:v>
                </c:pt>
                <c:pt idx="2">
                  <c:v>0.20919955384741484</c:v>
                </c:pt>
                <c:pt idx="3">
                  <c:v>0.20919955384741484</c:v>
                </c:pt>
                <c:pt idx="4">
                  <c:v>0.231169024852653</c:v>
                </c:pt>
                <c:pt idx="5">
                  <c:v>0.231169024852653</c:v>
                </c:pt>
                <c:pt idx="6">
                  <c:v>0.231169024852653</c:v>
                </c:pt>
                <c:pt idx="7">
                  <c:v>0.231169024852653</c:v>
                </c:pt>
                <c:pt idx="8">
                  <c:v>0.231169024852653</c:v>
                </c:pt>
                <c:pt idx="9">
                  <c:v>0.20919955384741484</c:v>
                </c:pt>
                <c:pt idx="10">
                  <c:v>0.20919955384741484</c:v>
                </c:pt>
                <c:pt idx="11">
                  <c:v>0.231169024852653</c:v>
                </c:pt>
                <c:pt idx="12">
                  <c:v>0.16839910769482969</c:v>
                </c:pt>
                <c:pt idx="13">
                  <c:v>0.16839910769482969</c:v>
                </c:pt>
                <c:pt idx="14">
                  <c:v>0.16839910769482969</c:v>
                </c:pt>
                <c:pt idx="15">
                  <c:v>0.16839910769482969</c:v>
                </c:pt>
                <c:pt idx="16">
                  <c:v>0.16839910769482969</c:v>
                </c:pt>
              </c:numCache>
            </c:numRef>
          </c:yVal>
          <c:smooth val="0"/>
        </c:ser>
        <c:ser>
          <c:idx val="143"/>
          <c:order val="143"/>
          <c:tx>
            <c:v>Elementlast3</c:v>
          </c:tx>
          <c:spPr>
            <a:ln w="12700">
              <a:solidFill>
                <a:srgbClr val="808080"/>
              </a:solidFill>
              <a:prstDash val="solid"/>
            </a:ln>
          </c:spPr>
          <c:marker>
            <c:symbol val="none"/>
          </c:marker>
          <c:xVal>
            <c:numRef>
              <c:f>ELasten!$B$32:$R$32</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ELasten!$S$32:$AI$32</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4"/>
          <c:order val="144"/>
          <c:tx>
            <c:v>Elementlast4</c:v>
          </c:tx>
          <c:spPr>
            <a:ln w="12700">
              <a:solidFill>
                <a:srgbClr val="808080"/>
              </a:solidFill>
              <a:prstDash val="solid"/>
            </a:ln>
          </c:spPr>
          <c:marker>
            <c:symbol val="none"/>
          </c:marker>
          <c:xVal>
            <c:numRef>
              <c:f>ELasten!$B$33:$R$33</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ELasten!$S$33:$AI$33</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5"/>
          <c:order val="145"/>
          <c:tx>
            <c:v>Elementlast5</c:v>
          </c:tx>
          <c:spPr>
            <a:ln w="12700">
              <a:solidFill>
                <a:srgbClr val="808080"/>
              </a:solidFill>
              <a:prstDash val="solid"/>
            </a:ln>
          </c:spPr>
          <c:marker>
            <c:symbol val="none"/>
          </c:marker>
          <c:xVal>
            <c:numRef>
              <c:f>ELasten!$B$34:$R$34</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ELasten!$S$34:$AI$34</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6"/>
          <c:order val="146"/>
          <c:tx>
            <c:v>Elementlast6</c:v>
          </c:tx>
          <c:spPr>
            <a:ln w="12700">
              <a:solidFill>
                <a:srgbClr val="808080"/>
              </a:solidFill>
              <a:prstDash val="solid"/>
            </a:ln>
          </c:spPr>
          <c:marker>
            <c:symbol val="none"/>
          </c:marker>
          <c:xVal>
            <c:numRef>
              <c:f>ELasten!$B$35:$R$35</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ELasten!$S$35:$AI$35</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7"/>
          <c:order val="147"/>
          <c:tx>
            <c:v>Elementlast7</c:v>
          </c:tx>
          <c:spPr>
            <a:ln w="12700">
              <a:solidFill>
                <a:srgbClr val="808080"/>
              </a:solidFill>
              <a:prstDash val="solid"/>
            </a:ln>
          </c:spPr>
          <c:marker>
            <c:symbol val="none"/>
          </c:marker>
          <c:xVal>
            <c:numRef>
              <c:f>ELasten!$B$36:$R$36</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ELasten!$S$36:$AI$36</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8"/>
          <c:order val="148"/>
          <c:tx>
            <c:v>Elementlast8</c:v>
          </c:tx>
          <c:spPr>
            <a:ln w="12700">
              <a:solidFill>
                <a:srgbClr val="808080"/>
              </a:solidFill>
              <a:prstDash val="solid"/>
            </a:ln>
          </c:spPr>
          <c:marker>
            <c:symbol val="none"/>
          </c:marker>
          <c:xVal>
            <c:numRef>
              <c:f>ELasten!$B$37:$R$37</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ELasten!$S$37:$AI$37</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49"/>
          <c:order val="149"/>
          <c:tx>
            <c:v>Elementlast9</c:v>
          </c:tx>
          <c:spPr>
            <a:ln w="12700">
              <a:solidFill>
                <a:srgbClr val="808080"/>
              </a:solidFill>
              <a:prstDash val="solid"/>
            </a:ln>
          </c:spPr>
          <c:marker>
            <c:symbol val="none"/>
          </c:marker>
          <c:xVal>
            <c:numRef>
              <c:f>ELasten!$B$38:$R$38</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ELasten!$S$38:$AI$38</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0"/>
          <c:order val="150"/>
          <c:tx>
            <c:v>Elementlast10</c:v>
          </c:tx>
          <c:spPr>
            <a:ln w="12700">
              <a:solidFill>
                <a:srgbClr val="808080"/>
              </a:solidFill>
              <a:prstDash val="solid"/>
            </a:ln>
          </c:spPr>
          <c:marker>
            <c:symbol val="none"/>
          </c:marker>
          <c:xVal>
            <c:numRef>
              <c:f>ELasten!$B$39:$R$39</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ELasten!$S$39:$AI$39</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1"/>
          <c:order val="151"/>
          <c:tx>
            <c:v>Elementlast11</c:v>
          </c:tx>
          <c:spPr>
            <a:ln w="12700">
              <a:solidFill>
                <a:srgbClr val="808080"/>
              </a:solidFill>
              <a:prstDash val="solid"/>
            </a:ln>
          </c:spPr>
          <c:marker>
            <c:symbol val="none"/>
          </c:marker>
          <c:xVal>
            <c:numRef>
              <c:f>ELasten!$B$40:$R$40</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ELasten!$S$40:$AI$40</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2"/>
          <c:order val="152"/>
          <c:tx>
            <c:v>Elementlast12</c:v>
          </c:tx>
          <c:spPr>
            <a:ln w="12700">
              <a:solidFill>
                <a:srgbClr val="808080"/>
              </a:solidFill>
              <a:prstDash val="solid"/>
            </a:ln>
          </c:spPr>
          <c:marker>
            <c:symbol val="none"/>
          </c:marker>
          <c:xVal>
            <c:numRef>
              <c:f>ELasten!$B$41:$R$41</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ELasten!$S$41:$AI$41</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3"/>
          <c:order val="153"/>
          <c:tx>
            <c:v>Elementlast13</c:v>
          </c:tx>
          <c:spPr>
            <a:ln w="12700">
              <a:solidFill>
                <a:srgbClr val="808080"/>
              </a:solidFill>
              <a:prstDash val="solid"/>
            </a:ln>
          </c:spPr>
          <c:marker>
            <c:symbol val="none"/>
          </c:marker>
          <c:xVal>
            <c:numRef>
              <c:f>ELasten!$B$42:$R$42</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ELasten!$S$42:$AI$42</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4"/>
          <c:order val="154"/>
          <c:tx>
            <c:v>Elementlast14</c:v>
          </c:tx>
          <c:spPr>
            <a:ln w="12700">
              <a:solidFill>
                <a:srgbClr val="808080"/>
              </a:solidFill>
              <a:prstDash val="solid"/>
            </a:ln>
          </c:spPr>
          <c:marker>
            <c:symbol val="none"/>
          </c:marker>
          <c:xVal>
            <c:numRef>
              <c:f>ELasten!$B$43:$R$43</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ELasten!$S$43:$AI$43</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5"/>
          <c:order val="155"/>
          <c:tx>
            <c:v>Elementlast15</c:v>
          </c:tx>
          <c:spPr>
            <a:ln w="12700">
              <a:solidFill>
                <a:srgbClr val="808080"/>
              </a:solidFill>
              <a:prstDash val="solid"/>
            </a:ln>
          </c:spPr>
          <c:marker>
            <c:symbol val="none"/>
          </c:marker>
          <c:xVal>
            <c:numRef>
              <c:f>ELasten!$B$44:$R$44</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ELasten!$S$44:$AI$44</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6"/>
          <c:order val="156"/>
          <c:tx>
            <c:v>Elementlast16</c:v>
          </c:tx>
          <c:spPr>
            <a:ln w="12700">
              <a:solidFill>
                <a:srgbClr val="808080"/>
              </a:solidFill>
              <a:prstDash val="solid"/>
            </a:ln>
          </c:spPr>
          <c:marker>
            <c:symbol val="none"/>
          </c:marker>
          <c:xVal>
            <c:numRef>
              <c:f>ELasten!$B$45:$R$45</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ELasten!$S$45:$AI$45</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7"/>
          <c:order val="157"/>
          <c:tx>
            <c:v>Elementlast17</c:v>
          </c:tx>
          <c:spPr>
            <a:ln w="12700">
              <a:solidFill>
                <a:srgbClr val="808080"/>
              </a:solidFill>
              <a:prstDash val="solid"/>
            </a:ln>
          </c:spPr>
          <c:marker>
            <c:symbol val="none"/>
          </c:marker>
          <c:xVal>
            <c:numRef>
              <c:f>ELasten!$B$46:$R$46</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ELasten!$S$46:$AI$46</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8"/>
          <c:order val="158"/>
          <c:tx>
            <c:v>Elementlast18</c:v>
          </c:tx>
          <c:spPr>
            <a:ln w="12700">
              <a:solidFill>
                <a:srgbClr val="808080"/>
              </a:solidFill>
              <a:prstDash val="solid"/>
            </a:ln>
          </c:spPr>
          <c:marker>
            <c:symbol val="none"/>
          </c:marker>
          <c:xVal>
            <c:numRef>
              <c:f>ELasten!$B$47:$R$47</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ELasten!$S$47:$AI$47</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59"/>
          <c:order val="159"/>
          <c:tx>
            <c:v>Elementlast19</c:v>
          </c:tx>
          <c:spPr>
            <a:ln w="12700">
              <a:solidFill>
                <a:srgbClr val="808080"/>
              </a:solidFill>
              <a:prstDash val="solid"/>
            </a:ln>
          </c:spPr>
          <c:marker>
            <c:symbol val="none"/>
          </c:marker>
          <c:xVal>
            <c:numRef>
              <c:f>ELasten!$B$48:$R$48</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ELasten!$S$48:$AI$48</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ser>
          <c:idx val="160"/>
          <c:order val="160"/>
          <c:tx>
            <c:v>Elementlast20</c:v>
          </c:tx>
          <c:spPr>
            <a:ln w="12700">
              <a:solidFill>
                <a:srgbClr val="808080"/>
              </a:solidFill>
              <a:prstDash val="solid"/>
            </a:ln>
          </c:spPr>
          <c:marker>
            <c:symbol val="none"/>
          </c:marker>
          <c:xVal>
            <c:numRef>
              <c:f>ELasten!$B$49:$R$49</c:f>
              <c:numCache>
                <c:formatCode>General</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xVal>
          <c:yVal>
            <c:numRef>
              <c:f>ELasten!$S$49:$AI$49</c:f>
              <c:numCache>
                <c:formatCode>General</c:formatCode>
                <c:ptCount val="17"/>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pt idx="14">
                  <c:v>0.47499999999999998</c:v>
                </c:pt>
                <c:pt idx="15">
                  <c:v>0.47499999999999998</c:v>
                </c:pt>
                <c:pt idx="16">
                  <c:v>0.47499999999999998</c:v>
                </c:pt>
              </c:numCache>
            </c:numRef>
          </c:yVal>
          <c:smooth val="0"/>
        </c:ser>
        <c:dLbls>
          <c:showLegendKey val="0"/>
          <c:showVal val="0"/>
          <c:showCatName val="0"/>
          <c:showSerName val="0"/>
          <c:showPercent val="0"/>
          <c:showBubbleSize val="0"/>
        </c:dLbls>
        <c:axId val="369285648"/>
        <c:axId val="369291528"/>
      </c:scatterChart>
      <c:valAx>
        <c:axId val="369285648"/>
        <c:scaling>
          <c:orientation val="minMax"/>
        </c:scaling>
        <c:delete val="1"/>
        <c:axPos val="b"/>
        <c:numFmt formatCode="General" sourceLinked="1"/>
        <c:majorTickMark val="out"/>
        <c:minorTickMark val="none"/>
        <c:tickLblPos val="nextTo"/>
        <c:crossAx val="369291528"/>
        <c:crosses val="max"/>
        <c:crossBetween val="midCat"/>
        <c:majorUnit val="1.0000000000000002E-2"/>
      </c:valAx>
      <c:valAx>
        <c:axId val="369291528"/>
        <c:scaling>
          <c:orientation val="maxMin"/>
        </c:scaling>
        <c:delete val="1"/>
        <c:axPos val="r"/>
        <c:numFmt formatCode="General" sourceLinked="1"/>
        <c:majorTickMark val="out"/>
        <c:minorTickMark val="none"/>
        <c:tickLblPos val="nextTo"/>
        <c:crossAx val="369285648"/>
        <c:crosses val="max"/>
        <c:crossBetween val="midCat"/>
        <c:majorUnit val="1.0000000000000002E-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2288971371766539E-2"/>
          <c:y val="3.1758814591681471E-2"/>
          <c:w val="0.95945446873636708"/>
          <c:h val="0.93484114366706383"/>
        </c:manualLayout>
      </c:layout>
      <c:scatterChart>
        <c:scatterStyle val="lineMarker"/>
        <c:varyColors val="0"/>
        <c:ser>
          <c:idx val="0"/>
          <c:order val="0"/>
          <c:spPr>
            <a:ln w="25400">
              <a:solidFill>
                <a:srgbClr val="000080"/>
              </a:solidFill>
              <a:prstDash val="solid"/>
            </a:ln>
          </c:spPr>
          <c:marker>
            <c:symbol val="none"/>
          </c:marker>
          <c:xVal>
            <c:numRef>
              <c:f>EleData!$BX$6:$CH$6</c:f>
              <c:numCache>
                <c:formatCode>General</c:formatCode>
                <c:ptCount val="11"/>
                <c:pt idx="0">
                  <c:v>0</c:v>
                </c:pt>
                <c:pt idx="1">
                  <c:v>6.6508465320784541E-2</c:v>
                </c:pt>
                <c:pt idx="2">
                  <c:v>0.13237312292231601</c:v>
                </c:pt>
                <c:pt idx="3">
                  <c:v>0.19695016508534127</c:v>
                </c:pt>
                <c:pt idx="4">
                  <c:v>0.25959578409060735</c:v>
                </c:pt>
                <c:pt idx="5">
                  <c:v>0.31966617221886107</c:v>
                </c:pt>
                <c:pt idx="6">
                  <c:v>0.37651752175084935</c:v>
                </c:pt>
                <c:pt idx="7">
                  <c:v>0.42950602496731927</c:v>
                </c:pt>
                <c:pt idx="8">
                  <c:v>0.4779878741490175</c:v>
                </c:pt>
                <c:pt idx="9">
                  <c:v>0.52131926157669106</c:v>
                </c:pt>
                <c:pt idx="10">
                  <c:v>0.55885637953108702</c:v>
                </c:pt>
              </c:numCache>
            </c:numRef>
          </c:xVal>
          <c:yVal>
            <c:numRef>
              <c:f>EleData!$BX$7:$CH$7</c:f>
              <c:numCache>
                <c:formatCode>General</c:formatCode>
                <c:ptCount val="11"/>
                <c:pt idx="0">
                  <c:v>0.75</c:v>
                </c:pt>
                <c:pt idx="1">
                  <c:v>0.73573079423080523</c:v>
                </c:pt>
                <c:pt idx="2">
                  <c:v>0.72081778074235736</c:v>
                </c:pt>
                <c:pt idx="3">
                  <c:v>0.70461715181540296</c:v>
                </c:pt>
                <c:pt idx="4">
                  <c:v>0.68648509973068972</c:v>
                </c:pt>
                <c:pt idx="5">
                  <c:v>0.66577781676896419</c:v>
                </c:pt>
                <c:pt idx="6">
                  <c:v>0.64185149521097318</c:v>
                </c:pt>
                <c:pt idx="7">
                  <c:v>0.61406232733746358</c:v>
                </c:pt>
                <c:pt idx="8">
                  <c:v>0.5817665054291824</c:v>
                </c:pt>
                <c:pt idx="9">
                  <c:v>0.54432022176687667</c:v>
                </c:pt>
                <c:pt idx="10">
                  <c:v>0.50107966863129316</c:v>
                </c:pt>
              </c:numCache>
            </c:numRef>
          </c:yVal>
          <c:smooth val="0"/>
        </c:ser>
        <c:ser>
          <c:idx val="1"/>
          <c:order val="1"/>
          <c:spPr>
            <a:ln w="25400">
              <a:solidFill>
                <a:srgbClr val="000080"/>
              </a:solidFill>
              <a:prstDash val="solid"/>
            </a:ln>
          </c:spPr>
          <c:marker>
            <c:symbol val="none"/>
          </c:marker>
          <c:xVal>
            <c:numRef>
              <c:f>EleData!$BX$12:$CH$12</c:f>
              <c:numCache>
                <c:formatCode>General</c:formatCode>
                <c:ptCount val="11"/>
                <c:pt idx="0">
                  <c:v>0.55885637953108702</c:v>
                </c:pt>
                <c:pt idx="1">
                  <c:v>0.60297074157797836</c:v>
                </c:pt>
                <c:pt idx="2">
                  <c:v>0.64708510362486971</c:v>
                </c:pt>
                <c:pt idx="3">
                  <c:v>0.69119946567176083</c:v>
                </c:pt>
                <c:pt idx="4">
                  <c:v>0.73531382771865217</c:v>
                </c:pt>
                <c:pt idx="5">
                  <c:v>0.77942818976554351</c:v>
                </c:pt>
                <c:pt idx="6">
                  <c:v>0.82354255181243485</c:v>
                </c:pt>
                <c:pt idx="7">
                  <c:v>0.86765691385932608</c:v>
                </c:pt>
                <c:pt idx="8">
                  <c:v>0.91177127590621743</c:v>
                </c:pt>
                <c:pt idx="9">
                  <c:v>0.95588563795310866</c:v>
                </c:pt>
                <c:pt idx="10">
                  <c:v>1</c:v>
                </c:pt>
              </c:numCache>
            </c:numRef>
          </c:xVal>
          <c:yVal>
            <c:numRef>
              <c:f>EleData!$BX$13:$CH$13</c:f>
              <c:numCache>
                <c:formatCode>General</c:formatCode>
                <c:ptCount val="11"/>
                <c:pt idx="0">
                  <c:v>0.50107966863129327</c:v>
                </c:pt>
                <c:pt idx="1">
                  <c:v>0.49284045662661347</c:v>
                </c:pt>
                <c:pt idx="2">
                  <c:v>0.48008327662499195</c:v>
                </c:pt>
                <c:pt idx="3">
                  <c:v>0.46292990467699591</c:v>
                </c:pt>
                <c:pt idx="4">
                  <c:v>0.44159739247704899</c:v>
                </c:pt>
                <c:pt idx="5">
                  <c:v>0.41639806736343077</c:v>
                </c:pt>
                <c:pt idx="6">
                  <c:v>0.38773953231827751</c:v>
                </c:pt>
                <c:pt idx="7">
                  <c:v>0.3561246659675813</c:v>
                </c:pt>
                <c:pt idx="8">
                  <c:v>0.32215162258119046</c:v>
                </c:pt>
                <c:pt idx="9">
                  <c:v>0.28651383207280973</c:v>
                </c:pt>
                <c:pt idx="10">
                  <c:v>0.25</c:v>
                </c:pt>
              </c:numCache>
            </c:numRef>
          </c:yVal>
          <c:smooth val="0"/>
        </c:ser>
        <c:ser>
          <c:idx val="2"/>
          <c:order val="2"/>
          <c:spPr>
            <a:ln w="25400">
              <a:solidFill>
                <a:srgbClr val="000080"/>
              </a:solidFill>
              <a:prstDash val="solid"/>
            </a:ln>
          </c:spPr>
          <c:marker>
            <c:symbol val="none"/>
          </c:marker>
          <c:xVal>
            <c:numRef>
              <c:f>EleData!$BX$18:$CH$18</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EleData!$BX$19:$CH$19</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3"/>
          <c:order val="3"/>
          <c:spPr>
            <a:ln w="25400">
              <a:solidFill>
                <a:srgbClr val="000080"/>
              </a:solidFill>
              <a:prstDash val="solid"/>
            </a:ln>
          </c:spPr>
          <c:marker>
            <c:symbol val="none"/>
          </c:marker>
          <c:xVal>
            <c:numRef>
              <c:f>EleData!$BX$24:$CH$24</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EleData!$BX$25:$CH$25</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4"/>
          <c:order val="4"/>
          <c:spPr>
            <a:ln w="25400">
              <a:solidFill>
                <a:srgbClr val="000080"/>
              </a:solidFill>
              <a:prstDash val="solid"/>
            </a:ln>
          </c:spPr>
          <c:marker>
            <c:symbol val="none"/>
          </c:marker>
          <c:xVal>
            <c:numRef>
              <c:f>EleData!$BX$30:$CH$30</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EleData!$BX$31:$CH$31</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5"/>
          <c:order val="5"/>
          <c:spPr>
            <a:ln w="25400">
              <a:solidFill>
                <a:srgbClr val="000080"/>
              </a:solidFill>
              <a:prstDash val="solid"/>
            </a:ln>
          </c:spPr>
          <c:marker>
            <c:symbol val="none"/>
          </c:marker>
          <c:xVal>
            <c:numRef>
              <c:f>EleData!$BX$36:$CH$36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EleData!$BX$37:$CH$37</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6"/>
          <c:order val="6"/>
          <c:spPr>
            <a:ln w="25400">
              <a:solidFill>
                <a:srgbClr val="000080"/>
              </a:solidFill>
              <a:prstDash val="solid"/>
            </a:ln>
          </c:spPr>
          <c:marker>
            <c:symbol val="none"/>
          </c:marker>
          <c:xVal>
            <c:numRef>
              <c:f>EleData!$BX$42:$CH$42</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EleData!$BX$43:$CH$43</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7"/>
          <c:order val="7"/>
          <c:marker>
            <c:symbol val="none"/>
          </c:marker>
          <c:xVal>
            <c:numRef>
              <c:f>EleData!$BX$48:$CH$48</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EleData!$BX$49:$CH$49</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8"/>
          <c:order val="8"/>
          <c:marker>
            <c:symbol val="none"/>
          </c:marker>
          <c:xVal>
            <c:numRef>
              <c:f>EleData!$BX$54:$CH$54</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EleData!$BX$55:$CH$55</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9"/>
          <c:order val="9"/>
          <c:marker>
            <c:symbol val="none"/>
          </c:marker>
          <c:xVal>
            <c:numRef>
              <c:f>EleData!$BX$60:$CH$60</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EleData!$BX$61:$CH$61</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0"/>
          <c:order val="10"/>
          <c:marker>
            <c:symbol val="none"/>
          </c:marker>
          <c:xVal>
            <c:numRef>
              <c:f>EleData!$BX$66:$CH$66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EleData!$BX$67:$CH$67</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1"/>
          <c:order val="11"/>
          <c:marker>
            <c:symbol val="none"/>
          </c:marker>
          <c:xVal>
            <c:numRef>
              <c:f>EleData!$BX$72:$CH$72</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EleData!$BX$73:$CH$73</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2"/>
          <c:order val="12"/>
          <c:marker>
            <c:symbol val="none"/>
          </c:marker>
          <c:xVal>
            <c:numRef>
              <c:f>EleData!$BX$78:$CH$78</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EleData!$BX$79:$CH$79</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3"/>
          <c:order val="13"/>
          <c:marker>
            <c:symbol val="none"/>
          </c:marker>
          <c:xVal>
            <c:numRef>
              <c:f>EleData!$BX$84:$CH$84</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EleData!$BX$85:$CH$85</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4"/>
          <c:order val="14"/>
          <c:marker>
            <c:symbol val="none"/>
          </c:marker>
          <c:xVal>
            <c:numRef>
              <c:f>EleData!$BX$90:$CH$90</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EleData!$BX$91:$CH$91</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5"/>
          <c:order val="15"/>
          <c:marker>
            <c:symbol val="none"/>
          </c:marker>
          <c:xVal>
            <c:numRef>
              <c:f>EleData!$BX$96:$CH$96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EleData!$BX$97:$CH$97</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6"/>
          <c:order val="16"/>
          <c:marker>
            <c:symbol val="none"/>
          </c:marker>
          <c:xVal>
            <c:numRef>
              <c:f>EleData!$BX$102:$CH$102</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EleData!$BX$103:$CH$103</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7"/>
          <c:order val="17"/>
          <c:marker>
            <c:symbol val="none"/>
          </c:marker>
          <c:xVal>
            <c:numRef>
              <c:f>EleData!$BX$108:$CH$108</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EleData!$BX$109:$CH$109</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8"/>
          <c:order val="18"/>
          <c:marker>
            <c:symbol val="none"/>
          </c:marker>
          <c:xVal>
            <c:numRef>
              <c:f>EleData!$BX$114:$CH$114</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EleData!$BX$115:$CH$115</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19"/>
          <c:order val="19"/>
          <c:marker>
            <c:symbol val="none"/>
          </c:marker>
          <c:xVal>
            <c:numRef>
              <c:f>EleData!$BX$120:$CH$120</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xVal>
          <c:yVal>
            <c:numRef>
              <c:f>EleData!$BX$121:$CH$121</c:f>
              <c:numCache>
                <c:formatCode>General</c:formatCode>
                <c:ptCount val="11"/>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numCache>
            </c:numRef>
          </c:yVal>
          <c:smooth val="0"/>
        </c:ser>
        <c:ser>
          <c:idx val="20"/>
          <c:order val="20"/>
          <c:spPr>
            <a:ln>
              <a:solidFill>
                <a:srgbClr val="C0C0C0"/>
              </a:solidFill>
            </a:ln>
          </c:spPr>
          <c:marker>
            <c:symbol val="none"/>
          </c:marker>
          <c:xVal>
            <c:numRef>
              <c:f>KnotenData!$H$16:$H$19</c:f>
              <c:numCache>
                <c:formatCode>General</c:formatCode>
                <c:ptCount val="4"/>
                <c:pt idx="0">
                  <c:v>-5.9016994374947451E-2</c:v>
                </c:pt>
                <c:pt idx="1">
                  <c:v>1.0590169943749475</c:v>
                </c:pt>
                <c:pt idx="2">
                  <c:v>1.0590169943749475</c:v>
                </c:pt>
                <c:pt idx="3">
                  <c:v>-5.9016994374947451E-2</c:v>
                </c:pt>
              </c:numCache>
            </c:numRef>
          </c:xVal>
          <c:yVal>
            <c:numRef>
              <c:f>KnotenData!$I$16:$I$19</c:f>
              <c:numCache>
                <c:formatCode>General</c:formatCode>
                <c:ptCount val="4"/>
                <c:pt idx="0">
                  <c:v>1.0590169943749475</c:v>
                </c:pt>
                <c:pt idx="1">
                  <c:v>1.0590169943749475</c:v>
                </c:pt>
                <c:pt idx="2">
                  <c:v>-5.9016994374947451E-2</c:v>
                </c:pt>
                <c:pt idx="3">
                  <c:v>-5.9016994374947451E-2</c:v>
                </c:pt>
              </c:numCache>
            </c:numRef>
          </c:yVal>
          <c:smooth val="0"/>
        </c:ser>
        <c:ser>
          <c:idx val="21"/>
          <c:order val="21"/>
          <c:tx>
            <c:v>LagerV1</c:v>
          </c:tx>
          <c:spPr>
            <a:ln w="12700">
              <a:solidFill>
                <a:srgbClr val="808080"/>
              </a:solidFill>
              <a:prstDash val="solid"/>
            </a:ln>
          </c:spPr>
          <c:marker>
            <c:symbol val="none"/>
          </c:marker>
          <c:xVal>
            <c:numRef>
              <c:f>Symbole!$P$4:$S$4</c:f>
              <c:numCache>
                <c:formatCode>General</c:formatCode>
                <c:ptCount val="4"/>
                <c:pt idx="0">
                  <c:v>0</c:v>
                </c:pt>
                <c:pt idx="1">
                  <c:v>3.1384958578911652E-2</c:v>
                </c:pt>
                <c:pt idx="2">
                  <c:v>-3.1384958578911652E-2</c:v>
                </c:pt>
                <c:pt idx="3">
                  <c:v>0</c:v>
                </c:pt>
              </c:numCache>
            </c:numRef>
          </c:xVal>
          <c:yVal>
            <c:numRef>
              <c:f>Symbole!$T$4:$W$4</c:f>
              <c:numCache>
                <c:formatCode>General</c:formatCode>
                <c:ptCount val="4"/>
                <c:pt idx="0">
                  <c:v>0.75</c:v>
                </c:pt>
                <c:pt idx="1">
                  <c:v>0.80435874825867493</c:v>
                </c:pt>
                <c:pt idx="2">
                  <c:v>0.80435874825867493</c:v>
                </c:pt>
                <c:pt idx="3">
                  <c:v>0.75</c:v>
                </c:pt>
              </c:numCache>
            </c:numRef>
          </c:yVal>
          <c:smooth val="0"/>
        </c:ser>
        <c:ser>
          <c:idx val="22"/>
          <c:order val="22"/>
          <c:tx>
            <c:v>LagerV2</c:v>
          </c:tx>
          <c:spPr>
            <a:ln w="12700">
              <a:solidFill>
                <a:srgbClr val="808080"/>
              </a:solidFill>
              <a:prstDash val="solid"/>
            </a:ln>
          </c:spPr>
          <c:marker>
            <c:symbol val="none"/>
          </c:marker>
          <c:xVal>
            <c:numRef>
              <c:f>Symbole!$P$5:$S$5</c:f>
              <c:numCache>
                <c:formatCode>General</c:formatCode>
                <c:ptCount val="4"/>
                <c:pt idx="0">
                  <c:v>0.55885637953108702</c:v>
                </c:pt>
                <c:pt idx="1">
                  <c:v>0.55885637953108702</c:v>
                </c:pt>
                <c:pt idx="2">
                  <c:v>0.55885637953108702</c:v>
                </c:pt>
                <c:pt idx="3">
                  <c:v>0.55885637953108702</c:v>
                </c:pt>
              </c:numCache>
            </c:numRef>
          </c:xVal>
          <c:yVal>
            <c:numRef>
              <c:f>Symbole!$T$5:$W$5</c:f>
              <c:numCache>
                <c:formatCode>General</c:formatCode>
                <c:ptCount val="4"/>
                <c:pt idx="0">
                  <c:v>0.50107966863129327</c:v>
                </c:pt>
                <c:pt idx="1">
                  <c:v>0.50107966863129327</c:v>
                </c:pt>
                <c:pt idx="2">
                  <c:v>0.50107966863129327</c:v>
                </c:pt>
                <c:pt idx="3">
                  <c:v>0.50107966863129327</c:v>
                </c:pt>
              </c:numCache>
            </c:numRef>
          </c:yVal>
          <c:smooth val="0"/>
        </c:ser>
        <c:ser>
          <c:idx val="23"/>
          <c:order val="23"/>
          <c:tx>
            <c:v>LagerV3</c:v>
          </c:tx>
          <c:spPr>
            <a:ln w="12700">
              <a:solidFill>
                <a:srgbClr val="808080"/>
              </a:solidFill>
              <a:prstDash val="solid"/>
            </a:ln>
          </c:spPr>
          <c:marker>
            <c:symbol val="none"/>
          </c:marker>
          <c:xVal>
            <c:numRef>
              <c:f>Symbole!$P$6:$S$6</c:f>
              <c:numCache>
                <c:formatCode>General</c:formatCode>
                <c:ptCount val="4"/>
                <c:pt idx="0">
                  <c:v>1</c:v>
                </c:pt>
                <c:pt idx="1">
                  <c:v>1.0313849585789117</c:v>
                </c:pt>
                <c:pt idx="2">
                  <c:v>0.96861504142108834</c:v>
                </c:pt>
                <c:pt idx="3">
                  <c:v>1</c:v>
                </c:pt>
              </c:numCache>
            </c:numRef>
          </c:xVal>
          <c:yVal>
            <c:numRef>
              <c:f>Symbole!$T$6:$W$6</c:f>
              <c:numCache>
                <c:formatCode>General</c:formatCode>
                <c:ptCount val="4"/>
                <c:pt idx="0">
                  <c:v>0.25</c:v>
                </c:pt>
                <c:pt idx="1">
                  <c:v>0.30435874825867498</c:v>
                </c:pt>
                <c:pt idx="2">
                  <c:v>0.30435874825867498</c:v>
                </c:pt>
                <c:pt idx="3">
                  <c:v>0.25</c:v>
                </c:pt>
              </c:numCache>
            </c:numRef>
          </c:yVal>
          <c:smooth val="0"/>
        </c:ser>
        <c:ser>
          <c:idx val="24"/>
          <c:order val="24"/>
          <c:tx>
            <c:v>LagerV4</c:v>
          </c:tx>
          <c:spPr>
            <a:ln w="12700">
              <a:solidFill>
                <a:srgbClr val="808080"/>
              </a:solidFill>
              <a:prstDash val="solid"/>
            </a:ln>
          </c:spPr>
          <c:marker>
            <c:symbol val="none"/>
          </c:marker>
          <c:xVal>
            <c:numRef>
              <c:f>Symbole!$P$7:$S$7</c:f>
              <c:numCache>
                <c:formatCode>General</c:formatCode>
                <c:ptCount val="4"/>
                <c:pt idx="0">
                  <c:v>0.5</c:v>
                </c:pt>
                <c:pt idx="1">
                  <c:v>0.5</c:v>
                </c:pt>
                <c:pt idx="2">
                  <c:v>0.5</c:v>
                </c:pt>
                <c:pt idx="3">
                  <c:v>0.5</c:v>
                </c:pt>
              </c:numCache>
            </c:numRef>
          </c:xVal>
          <c:yVal>
            <c:numRef>
              <c:f>Symbole!$T$7:$W$7</c:f>
              <c:numCache>
                <c:formatCode>General</c:formatCode>
                <c:ptCount val="4"/>
                <c:pt idx="0">
                  <c:v>0.47499999999999998</c:v>
                </c:pt>
                <c:pt idx="1">
                  <c:v>0.47499999999999998</c:v>
                </c:pt>
                <c:pt idx="2">
                  <c:v>0.47499999999999998</c:v>
                </c:pt>
                <c:pt idx="3">
                  <c:v>0.47499999999999998</c:v>
                </c:pt>
              </c:numCache>
            </c:numRef>
          </c:yVal>
          <c:smooth val="0"/>
        </c:ser>
        <c:ser>
          <c:idx val="25"/>
          <c:order val="25"/>
          <c:tx>
            <c:v>LagerV5</c:v>
          </c:tx>
          <c:spPr>
            <a:ln w="12700">
              <a:solidFill>
                <a:srgbClr val="808080"/>
              </a:solidFill>
              <a:prstDash val="solid"/>
            </a:ln>
          </c:spPr>
          <c:marker>
            <c:symbol val="none"/>
          </c:marker>
          <c:xVal>
            <c:numRef>
              <c:f>Symbole!$P$8:$S$8</c:f>
              <c:numCache>
                <c:formatCode>General</c:formatCode>
                <c:ptCount val="4"/>
                <c:pt idx="0">
                  <c:v>0.5</c:v>
                </c:pt>
                <c:pt idx="1">
                  <c:v>0.5</c:v>
                </c:pt>
                <c:pt idx="2">
                  <c:v>0.5</c:v>
                </c:pt>
                <c:pt idx="3">
                  <c:v>0.5</c:v>
                </c:pt>
              </c:numCache>
            </c:numRef>
          </c:xVal>
          <c:yVal>
            <c:numRef>
              <c:f>Symbole!$T$8:$W$8</c:f>
              <c:numCache>
                <c:formatCode>General</c:formatCode>
                <c:ptCount val="4"/>
                <c:pt idx="0">
                  <c:v>0.47499999999999998</c:v>
                </c:pt>
                <c:pt idx="1">
                  <c:v>0.47499999999999998</c:v>
                </c:pt>
                <c:pt idx="2">
                  <c:v>0.47499999999999998</c:v>
                </c:pt>
                <c:pt idx="3">
                  <c:v>0.47499999999999998</c:v>
                </c:pt>
              </c:numCache>
            </c:numRef>
          </c:yVal>
          <c:smooth val="0"/>
        </c:ser>
        <c:ser>
          <c:idx val="26"/>
          <c:order val="26"/>
          <c:tx>
            <c:v>LagerV6</c:v>
          </c:tx>
          <c:spPr>
            <a:ln w="12700">
              <a:solidFill>
                <a:srgbClr val="808080"/>
              </a:solidFill>
              <a:prstDash val="solid"/>
            </a:ln>
          </c:spPr>
          <c:marker>
            <c:symbol val="none"/>
          </c:marker>
          <c:xVal>
            <c:numRef>
              <c:f>Symbole!$P$9:$S$9</c:f>
              <c:numCache>
                <c:formatCode>General</c:formatCode>
                <c:ptCount val="4"/>
                <c:pt idx="0">
                  <c:v>0.5</c:v>
                </c:pt>
                <c:pt idx="1">
                  <c:v>0.5</c:v>
                </c:pt>
                <c:pt idx="2">
                  <c:v>0.5</c:v>
                </c:pt>
                <c:pt idx="3">
                  <c:v>0.5</c:v>
                </c:pt>
              </c:numCache>
            </c:numRef>
          </c:xVal>
          <c:yVal>
            <c:numRef>
              <c:f>Symbole!$T$9:$W$9</c:f>
              <c:numCache>
                <c:formatCode>General</c:formatCode>
                <c:ptCount val="4"/>
                <c:pt idx="0">
                  <c:v>0.47499999999999998</c:v>
                </c:pt>
                <c:pt idx="1">
                  <c:v>0.47499999999999998</c:v>
                </c:pt>
                <c:pt idx="2">
                  <c:v>0.47499999999999998</c:v>
                </c:pt>
                <c:pt idx="3">
                  <c:v>0.47499999999999998</c:v>
                </c:pt>
              </c:numCache>
            </c:numRef>
          </c:yVal>
          <c:smooth val="0"/>
        </c:ser>
        <c:ser>
          <c:idx val="27"/>
          <c:order val="27"/>
          <c:tx>
            <c:v>LagerV7</c:v>
          </c:tx>
          <c:spPr>
            <a:ln w="12700">
              <a:solidFill>
                <a:srgbClr val="808080"/>
              </a:solidFill>
              <a:prstDash val="solid"/>
            </a:ln>
          </c:spPr>
          <c:marker>
            <c:symbol val="none"/>
          </c:marker>
          <c:xVal>
            <c:numRef>
              <c:f>Symbole!$P$10:$S$10</c:f>
              <c:numCache>
                <c:formatCode>General</c:formatCode>
                <c:ptCount val="4"/>
                <c:pt idx="0">
                  <c:v>0.5</c:v>
                </c:pt>
                <c:pt idx="1">
                  <c:v>0.5</c:v>
                </c:pt>
                <c:pt idx="2">
                  <c:v>0.5</c:v>
                </c:pt>
                <c:pt idx="3">
                  <c:v>0.5</c:v>
                </c:pt>
              </c:numCache>
            </c:numRef>
          </c:xVal>
          <c:yVal>
            <c:numRef>
              <c:f>Symbole!$T$10:$W$10</c:f>
              <c:numCache>
                <c:formatCode>General</c:formatCode>
                <c:ptCount val="4"/>
                <c:pt idx="0">
                  <c:v>0.47499999999999998</c:v>
                </c:pt>
                <c:pt idx="1">
                  <c:v>0.47499999999999998</c:v>
                </c:pt>
                <c:pt idx="2">
                  <c:v>0.47499999999999998</c:v>
                </c:pt>
                <c:pt idx="3">
                  <c:v>0.47499999999999998</c:v>
                </c:pt>
              </c:numCache>
            </c:numRef>
          </c:yVal>
          <c:smooth val="0"/>
        </c:ser>
        <c:ser>
          <c:idx val="28"/>
          <c:order val="28"/>
          <c:tx>
            <c:v>LagerV8</c:v>
          </c:tx>
          <c:spPr>
            <a:ln w="12700">
              <a:solidFill>
                <a:srgbClr val="808080"/>
              </a:solidFill>
              <a:prstDash val="solid"/>
            </a:ln>
          </c:spPr>
          <c:marker>
            <c:symbol val="none"/>
          </c:marker>
          <c:xVal>
            <c:numRef>
              <c:f>Symbole!$P$11:$S$11</c:f>
              <c:numCache>
                <c:formatCode>General</c:formatCode>
                <c:ptCount val="4"/>
                <c:pt idx="0">
                  <c:v>0.5</c:v>
                </c:pt>
                <c:pt idx="1">
                  <c:v>0.5</c:v>
                </c:pt>
                <c:pt idx="2">
                  <c:v>0.5</c:v>
                </c:pt>
                <c:pt idx="3">
                  <c:v>0.5</c:v>
                </c:pt>
              </c:numCache>
            </c:numRef>
          </c:xVal>
          <c:yVal>
            <c:numRef>
              <c:f>Symbole!$T$11:$W$11</c:f>
              <c:numCache>
                <c:formatCode>General</c:formatCode>
                <c:ptCount val="4"/>
                <c:pt idx="0">
                  <c:v>0.47499999999999998</c:v>
                </c:pt>
                <c:pt idx="1">
                  <c:v>0.47499999999999998</c:v>
                </c:pt>
                <c:pt idx="2">
                  <c:v>0.47499999999999998</c:v>
                </c:pt>
                <c:pt idx="3">
                  <c:v>0.47499999999999998</c:v>
                </c:pt>
              </c:numCache>
            </c:numRef>
          </c:yVal>
          <c:smooth val="0"/>
        </c:ser>
        <c:ser>
          <c:idx val="29"/>
          <c:order val="29"/>
          <c:tx>
            <c:v>LagerV9</c:v>
          </c:tx>
          <c:spPr>
            <a:ln w="12700">
              <a:solidFill>
                <a:srgbClr val="808080"/>
              </a:solidFill>
              <a:prstDash val="solid"/>
            </a:ln>
          </c:spPr>
          <c:marker>
            <c:symbol val="none"/>
          </c:marker>
          <c:xVal>
            <c:numRef>
              <c:f>Symbole!$P$12:$S$12</c:f>
              <c:numCache>
                <c:formatCode>General</c:formatCode>
                <c:ptCount val="4"/>
                <c:pt idx="0">
                  <c:v>0.5</c:v>
                </c:pt>
                <c:pt idx="1">
                  <c:v>0.5</c:v>
                </c:pt>
                <c:pt idx="2">
                  <c:v>0.5</c:v>
                </c:pt>
                <c:pt idx="3">
                  <c:v>0.5</c:v>
                </c:pt>
              </c:numCache>
            </c:numRef>
          </c:xVal>
          <c:yVal>
            <c:numRef>
              <c:f>Symbole!$T$12:$W$12</c:f>
              <c:numCache>
                <c:formatCode>General</c:formatCode>
                <c:ptCount val="4"/>
                <c:pt idx="0">
                  <c:v>0.47499999999999998</c:v>
                </c:pt>
                <c:pt idx="1">
                  <c:v>0.47499999999999998</c:v>
                </c:pt>
                <c:pt idx="2">
                  <c:v>0.47499999999999998</c:v>
                </c:pt>
                <c:pt idx="3">
                  <c:v>0.47499999999999998</c:v>
                </c:pt>
              </c:numCache>
            </c:numRef>
          </c:yVal>
          <c:smooth val="0"/>
        </c:ser>
        <c:ser>
          <c:idx val="30"/>
          <c:order val="30"/>
          <c:tx>
            <c:v>LagerV10</c:v>
          </c:tx>
          <c:spPr>
            <a:ln w="12700">
              <a:solidFill>
                <a:srgbClr val="808080"/>
              </a:solidFill>
              <a:prstDash val="solid"/>
            </a:ln>
          </c:spPr>
          <c:marker>
            <c:symbol val="none"/>
          </c:marker>
          <c:xVal>
            <c:numRef>
              <c:f>Symbole!$P$13:$S$13</c:f>
              <c:numCache>
                <c:formatCode>General</c:formatCode>
                <c:ptCount val="4"/>
                <c:pt idx="0">
                  <c:v>0.5</c:v>
                </c:pt>
                <c:pt idx="1">
                  <c:v>0.5</c:v>
                </c:pt>
                <c:pt idx="2">
                  <c:v>0.5</c:v>
                </c:pt>
                <c:pt idx="3">
                  <c:v>0.5</c:v>
                </c:pt>
              </c:numCache>
            </c:numRef>
          </c:xVal>
          <c:yVal>
            <c:numRef>
              <c:f>Symbole!$T$13:$W$13</c:f>
              <c:numCache>
                <c:formatCode>General</c:formatCode>
                <c:ptCount val="4"/>
                <c:pt idx="0">
                  <c:v>0.47499999999999998</c:v>
                </c:pt>
                <c:pt idx="1">
                  <c:v>0.47499999999999998</c:v>
                </c:pt>
                <c:pt idx="2">
                  <c:v>0.47499999999999998</c:v>
                </c:pt>
                <c:pt idx="3">
                  <c:v>0.47499999999999998</c:v>
                </c:pt>
              </c:numCache>
            </c:numRef>
          </c:yVal>
          <c:smooth val="0"/>
        </c:ser>
        <c:ser>
          <c:idx val="31"/>
          <c:order val="31"/>
          <c:tx>
            <c:v>LagerV11</c:v>
          </c:tx>
          <c:spPr>
            <a:ln w="12700">
              <a:solidFill>
                <a:srgbClr val="808080"/>
              </a:solidFill>
              <a:prstDash val="solid"/>
            </a:ln>
          </c:spPr>
          <c:marker>
            <c:symbol val="none"/>
          </c:marker>
          <c:xVal>
            <c:numRef>
              <c:f>Symbole!$P$14:$S$14</c:f>
              <c:numCache>
                <c:formatCode>General</c:formatCode>
                <c:ptCount val="4"/>
                <c:pt idx="0">
                  <c:v>0.5</c:v>
                </c:pt>
                <c:pt idx="1">
                  <c:v>0.5</c:v>
                </c:pt>
                <c:pt idx="2">
                  <c:v>0.5</c:v>
                </c:pt>
                <c:pt idx="3">
                  <c:v>0.5</c:v>
                </c:pt>
              </c:numCache>
            </c:numRef>
          </c:xVal>
          <c:yVal>
            <c:numRef>
              <c:f>Symbole!$T$14:$W$14</c:f>
              <c:numCache>
                <c:formatCode>General</c:formatCode>
                <c:ptCount val="4"/>
                <c:pt idx="0">
                  <c:v>0.47499999999999998</c:v>
                </c:pt>
                <c:pt idx="1">
                  <c:v>0.47499999999999998</c:v>
                </c:pt>
                <c:pt idx="2">
                  <c:v>0.47499999999999998</c:v>
                </c:pt>
                <c:pt idx="3">
                  <c:v>0.47499999999999998</c:v>
                </c:pt>
              </c:numCache>
            </c:numRef>
          </c:yVal>
          <c:smooth val="0"/>
        </c:ser>
        <c:ser>
          <c:idx val="32"/>
          <c:order val="32"/>
          <c:tx>
            <c:v>LagerV12</c:v>
          </c:tx>
          <c:spPr>
            <a:ln w="12700">
              <a:solidFill>
                <a:srgbClr val="808080"/>
              </a:solidFill>
              <a:prstDash val="solid"/>
            </a:ln>
          </c:spPr>
          <c:marker>
            <c:symbol val="none"/>
          </c:marker>
          <c:xVal>
            <c:numRef>
              <c:f>Symbole!$P$15:$S$15</c:f>
              <c:numCache>
                <c:formatCode>General</c:formatCode>
                <c:ptCount val="4"/>
                <c:pt idx="0">
                  <c:v>0.5</c:v>
                </c:pt>
                <c:pt idx="1">
                  <c:v>0.5</c:v>
                </c:pt>
                <c:pt idx="2">
                  <c:v>0.5</c:v>
                </c:pt>
                <c:pt idx="3">
                  <c:v>0.5</c:v>
                </c:pt>
              </c:numCache>
            </c:numRef>
          </c:xVal>
          <c:yVal>
            <c:numRef>
              <c:f>Symbole!$T$15:$W$15</c:f>
              <c:numCache>
                <c:formatCode>General</c:formatCode>
                <c:ptCount val="4"/>
                <c:pt idx="0">
                  <c:v>0.47499999999999998</c:v>
                </c:pt>
                <c:pt idx="1">
                  <c:v>0.47499999999999998</c:v>
                </c:pt>
                <c:pt idx="2">
                  <c:v>0.47499999999999998</c:v>
                </c:pt>
                <c:pt idx="3">
                  <c:v>0.47499999999999998</c:v>
                </c:pt>
              </c:numCache>
            </c:numRef>
          </c:yVal>
          <c:smooth val="0"/>
        </c:ser>
        <c:ser>
          <c:idx val="33"/>
          <c:order val="33"/>
          <c:tx>
            <c:v>LagerV13</c:v>
          </c:tx>
          <c:spPr>
            <a:ln w="12700">
              <a:solidFill>
                <a:srgbClr val="808080"/>
              </a:solidFill>
              <a:prstDash val="solid"/>
            </a:ln>
          </c:spPr>
          <c:marker>
            <c:symbol val="none"/>
          </c:marker>
          <c:xVal>
            <c:numRef>
              <c:f>Symbole!$P$16:$S$16</c:f>
              <c:numCache>
                <c:formatCode>General</c:formatCode>
                <c:ptCount val="4"/>
                <c:pt idx="0">
                  <c:v>0.5</c:v>
                </c:pt>
                <c:pt idx="1">
                  <c:v>0.5</c:v>
                </c:pt>
                <c:pt idx="2">
                  <c:v>0.5</c:v>
                </c:pt>
                <c:pt idx="3">
                  <c:v>0.5</c:v>
                </c:pt>
              </c:numCache>
            </c:numRef>
          </c:xVal>
          <c:yVal>
            <c:numRef>
              <c:f>Symbole!$T$16:$W$16</c:f>
              <c:numCache>
                <c:formatCode>General</c:formatCode>
                <c:ptCount val="4"/>
                <c:pt idx="0">
                  <c:v>0.47499999999999998</c:v>
                </c:pt>
                <c:pt idx="1">
                  <c:v>0.47499999999999998</c:v>
                </c:pt>
                <c:pt idx="2">
                  <c:v>0.47499999999999998</c:v>
                </c:pt>
                <c:pt idx="3">
                  <c:v>0.47499999999999998</c:v>
                </c:pt>
              </c:numCache>
            </c:numRef>
          </c:yVal>
          <c:smooth val="0"/>
        </c:ser>
        <c:ser>
          <c:idx val="34"/>
          <c:order val="34"/>
          <c:tx>
            <c:v>LagerV14</c:v>
          </c:tx>
          <c:spPr>
            <a:ln w="12700">
              <a:solidFill>
                <a:srgbClr val="808080"/>
              </a:solidFill>
              <a:prstDash val="solid"/>
            </a:ln>
          </c:spPr>
          <c:marker>
            <c:symbol val="none"/>
          </c:marker>
          <c:xVal>
            <c:numRef>
              <c:f>Symbole!$P$17:$S$17</c:f>
              <c:numCache>
                <c:formatCode>General</c:formatCode>
                <c:ptCount val="4"/>
                <c:pt idx="0">
                  <c:v>0.5</c:v>
                </c:pt>
                <c:pt idx="1">
                  <c:v>0.5</c:v>
                </c:pt>
                <c:pt idx="2">
                  <c:v>0.5</c:v>
                </c:pt>
                <c:pt idx="3">
                  <c:v>0.5</c:v>
                </c:pt>
              </c:numCache>
            </c:numRef>
          </c:xVal>
          <c:yVal>
            <c:numRef>
              <c:f>Symbole!$T$17:$W$17</c:f>
              <c:numCache>
                <c:formatCode>General</c:formatCode>
                <c:ptCount val="4"/>
                <c:pt idx="0">
                  <c:v>0.47499999999999998</c:v>
                </c:pt>
                <c:pt idx="1">
                  <c:v>0.47499999999999998</c:v>
                </c:pt>
                <c:pt idx="2">
                  <c:v>0.47499999999999998</c:v>
                </c:pt>
                <c:pt idx="3">
                  <c:v>0.47499999999999998</c:v>
                </c:pt>
              </c:numCache>
            </c:numRef>
          </c:yVal>
          <c:smooth val="0"/>
        </c:ser>
        <c:ser>
          <c:idx val="35"/>
          <c:order val="35"/>
          <c:tx>
            <c:v>LagerV15</c:v>
          </c:tx>
          <c:spPr>
            <a:ln w="12700">
              <a:solidFill>
                <a:srgbClr val="808080"/>
              </a:solidFill>
              <a:prstDash val="solid"/>
            </a:ln>
          </c:spPr>
          <c:marker>
            <c:symbol val="none"/>
          </c:marker>
          <c:xVal>
            <c:numRef>
              <c:f>Symbole!$P$18:$S$18</c:f>
              <c:numCache>
                <c:formatCode>General</c:formatCode>
                <c:ptCount val="4"/>
                <c:pt idx="0">
                  <c:v>0.5</c:v>
                </c:pt>
                <c:pt idx="1">
                  <c:v>0.5</c:v>
                </c:pt>
                <c:pt idx="2">
                  <c:v>0.5</c:v>
                </c:pt>
                <c:pt idx="3">
                  <c:v>0.5</c:v>
                </c:pt>
              </c:numCache>
            </c:numRef>
          </c:xVal>
          <c:yVal>
            <c:numRef>
              <c:f>Symbole!$T$18:$W$18</c:f>
              <c:numCache>
                <c:formatCode>General</c:formatCode>
                <c:ptCount val="4"/>
                <c:pt idx="0">
                  <c:v>0.47499999999999998</c:v>
                </c:pt>
                <c:pt idx="1">
                  <c:v>0.47499999999999998</c:v>
                </c:pt>
                <c:pt idx="2">
                  <c:v>0.47499999999999998</c:v>
                </c:pt>
                <c:pt idx="3">
                  <c:v>0.47499999999999998</c:v>
                </c:pt>
              </c:numCache>
            </c:numRef>
          </c:yVal>
          <c:smooth val="0"/>
        </c:ser>
        <c:ser>
          <c:idx val="36"/>
          <c:order val="36"/>
          <c:tx>
            <c:v>LagerV16</c:v>
          </c:tx>
          <c:spPr>
            <a:ln w="12700">
              <a:solidFill>
                <a:srgbClr val="808080"/>
              </a:solidFill>
              <a:prstDash val="solid"/>
            </a:ln>
          </c:spPr>
          <c:marker>
            <c:symbol val="none"/>
          </c:marker>
          <c:xVal>
            <c:numRef>
              <c:f>Symbole!$P$19:$S$19</c:f>
              <c:numCache>
                <c:formatCode>General</c:formatCode>
                <c:ptCount val="4"/>
                <c:pt idx="0">
                  <c:v>0.5</c:v>
                </c:pt>
                <c:pt idx="1">
                  <c:v>0.5</c:v>
                </c:pt>
                <c:pt idx="2">
                  <c:v>0.5</c:v>
                </c:pt>
                <c:pt idx="3">
                  <c:v>0.5</c:v>
                </c:pt>
              </c:numCache>
            </c:numRef>
          </c:xVal>
          <c:yVal>
            <c:numRef>
              <c:f>Symbole!$T$19:$W$19</c:f>
              <c:numCache>
                <c:formatCode>General</c:formatCode>
                <c:ptCount val="4"/>
                <c:pt idx="0">
                  <c:v>0.47499999999999998</c:v>
                </c:pt>
                <c:pt idx="1">
                  <c:v>0.47499999999999998</c:v>
                </c:pt>
                <c:pt idx="2">
                  <c:v>0.47499999999999998</c:v>
                </c:pt>
                <c:pt idx="3">
                  <c:v>0.47499999999999998</c:v>
                </c:pt>
              </c:numCache>
            </c:numRef>
          </c:yVal>
          <c:smooth val="0"/>
        </c:ser>
        <c:ser>
          <c:idx val="37"/>
          <c:order val="37"/>
          <c:tx>
            <c:v>LagerV17</c:v>
          </c:tx>
          <c:spPr>
            <a:ln w="12700">
              <a:solidFill>
                <a:srgbClr val="808080"/>
              </a:solidFill>
              <a:prstDash val="solid"/>
            </a:ln>
          </c:spPr>
          <c:marker>
            <c:symbol val="none"/>
          </c:marker>
          <c:xVal>
            <c:numRef>
              <c:f>Symbole!$P$20:$S$20</c:f>
              <c:numCache>
                <c:formatCode>General</c:formatCode>
                <c:ptCount val="4"/>
                <c:pt idx="0">
                  <c:v>0.5</c:v>
                </c:pt>
                <c:pt idx="1">
                  <c:v>0.5</c:v>
                </c:pt>
                <c:pt idx="2">
                  <c:v>0.5</c:v>
                </c:pt>
                <c:pt idx="3">
                  <c:v>0.5</c:v>
                </c:pt>
              </c:numCache>
            </c:numRef>
          </c:xVal>
          <c:yVal>
            <c:numRef>
              <c:f>Symbole!$T$20:$W$20</c:f>
              <c:numCache>
                <c:formatCode>General</c:formatCode>
                <c:ptCount val="4"/>
                <c:pt idx="0">
                  <c:v>0.47499999999999998</c:v>
                </c:pt>
                <c:pt idx="1">
                  <c:v>0.47499999999999998</c:v>
                </c:pt>
                <c:pt idx="2">
                  <c:v>0.47499999999999998</c:v>
                </c:pt>
                <c:pt idx="3">
                  <c:v>0.47499999999999998</c:v>
                </c:pt>
              </c:numCache>
            </c:numRef>
          </c:yVal>
          <c:smooth val="0"/>
        </c:ser>
        <c:ser>
          <c:idx val="38"/>
          <c:order val="38"/>
          <c:tx>
            <c:v>LagerV18</c:v>
          </c:tx>
          <c:spPr>
            <a:ln w="12700">
              <a:solidFill>
                <a:srgbClr val="808080"/>
              </a:solidFill>
              <a:prstDash val="solid"/>
            </a:ln>
          </c:spPr>
          <c:marker>
            <c:symbol val="none"/>
          </c:marker>
          <c:xVal>
            <c:numRef>
              <c:f>Symbole!$P$21:$S$21</c:f>
              <c:numCache>
                <c:formatCode>General</c:formatCode>
                <c:ptCount val="4"/>
                <c:pt idx="0">
                  <c:v>0.5</c:v>
                </c:pt>
                <c:pt idx="1">
                  <c:v>0.5</c:v>
                </c:pt>
                <c:pt idx="2">
                  <c:v>0.5</c:v>
                </c:pt>
                <c:pt idx="3">
                  <c:v>0.5</c:v>
                </c:pt>
              </c:numCache>
            </c:numRef>
          </c:xVal>
          <c:yVal>
            <c:numRef>
              <c:f>Symbole!$T$21:$W$21</c:f>
              <c:numCache>
                <c:formatCode>General</c:formatCode>
                <c:ptCount val="4"/>
                <c:pt idx="0">
                  <c:v>0.47499999999999998</c:v>
                </c:pt>
                <c:pt idx="1">
                  <c:v>0.47499999999999998</c:v>
                </c:pt>
                <c:pt idx="2">
                  <c:v>0.47499999999999998</c:v>
                </c:pt>
                <c:pt idx="3">
                  <c:v>0.47499999999999998</c:v>
                </c:pt>
              </c:numCache>
            </c:numRef>
          </c:yVal>
          <c:smooth val="0"/>
        </c:ser>
        <c:ser>
          <c:idx val="39"/>
          <c:order val="39"/>
          <c:tx>
            <c:v>LagerV19</c:v>
          </c:tx>
          <c:spPr>
            <a:ln w="12700">
              <a:solidFill>
                <a:srgbClr val="808080"/>
              </a:solidFill>
              <a:prstDash val="solid"/>
            </a:ln>
          </c:spPr>
          <c:marker>
            <c:symbol val="none"/>
          </c:marker>
          <c:xVal>
            <c:numRef>
              <c:f>Symbole!$P$22:$S$22</c:f>
              <c:numCache>
                <c:formatCode>General</c:formatCode>
                <c:ptCount val="4"/>
                <c:pt idx="0">
                  <c:v>0.5</c:v>
                </c:pt>
                <c:pt idx="1">
                  <c:v>0.5</c:v>
                </c:pt>
                <c:pt idx="2">
                  <c:v>0.5</c:v>
                </c:pt>
                <c:pt idx="3">
                  <c:v>0.5</c:v>
                </c:pt>
              </c:numCache>
            </c:numRef>
          </c:xVal>
          <c:yVal>
            <c:numRef>
              <c:f>Symbole!$T$22:$W$22</c:f>
              <c:numCache>
                <c:formatCode>General</c:formatCode>
                <c:ptCount val="4"/>
                <c:pt idx="0">
                  <c:v>0.47499999999999998</c:v>
                </c:pt>
                <c:pt idx="1">
                  <c:v>0.47499999999999998</c:v>
                </c:pt>
                <c:pt idx="2">
                  <c:v>0.47499999999999998</c:v>
                </c:pt>
                <c:pt idx="3">
                  <c:v>0.47499999999999998</c:v>
                </c:pt>
              </c:numCache>
            </c:numRef>
          </c:yVal>
          <c:smooth val="0"/>
        </c:ser>
        <c:ser>
          <c:idx val="40"/>
          <c:order val="40"/>
          <c:tx>
            <c:v>LagerV20</c:v>
          </c:tx>
          <c:spPr>
            <a:ln w="12700">
              <a:solidFill>
                <a:srgbClr val="808080"/>
              </a:solidFill>
              <a:prstDash val="solid"/>
            </a:ln>
          </c:spPr>
          <c:marker>
            <c:symbol val="none"/>
          </c:marker>
          <c:xVal>
            <c:numRef>
              <c:f>Symbole!$P$23:$S$23</c:f>
              <c:numCache>
                <c:formatCode>General</c:formatCode>
                <c:ptCount val="4"/>
                <c:pt idx="0">
                  <c:v>0.5</c:v>
                </c:pt>
                <c:pt idx="1">
                  <c:v>0.5</c:v>
                </c:pt>
                <c:pt idx="2">
                  <c:v>0.5</c:v>
                </c:pt>
                <c:pt idx="3">
                  <c:v>0.5</c:v>
                </c:pt>
              </c:numCache>
            </c:numRef>
          </c:xVal>
          <c:yVal>
            <c:numRef>
              <c:f>Symbole!$T$23:$W$23</c:f>
              <c:numCache>
                <c:formatCode>General</c:formatCode>
                <c:ptCount val="4"/>
                <c:pt idx="0">
                  <c:v>0.47499999999999998</c:v>
                </c:pt>
                <c:pt idx="1">
                  <c:v>0.47499999999999998</c:v>
                </c:pt>
                <c:pt idx="2">
                  <c:v>0.47499999999999998</c:v>
                </c:pt>
                <c:pt idx="3">
                  <c:v>0.47499999999999998</c:v>
                </c:pt>
              </c:numCache>
            </c:numRef>
          </c:yVal>
          <c:smooth val="0"/>
        </c:ser>
        <c:ser>
          <c:idx val="41"/>
          <c:order val="41"/>
          <c:tx>
            <c:v>LagerH1</c:v>
          </c:tx>
          <c:spPr>
            <a:ln w="12700">
              <a:solidFill>
                <a:srgbClr val="808080"/>
              </a:solidFill>
              <a:prstDash val="solid"/>
            </a:ln>
          </c:spPr>
          <c:marker>
            <c:symbol val="none"/>
          </c:marker>
          <c:xVal>
            <c:numRef>
              <c:f>Symbole!$P$27:$S$27</c:f>
              <c:numCache>
                <c:formatCode>General</c:formatCode>
                <c:ptCount val="4"/>
                <c:pt idx="0">
                  <c:v>0</c:v>
                </c:pt>
                <c:pt idx="1">
                  <c:v>-5.4358748258674983E-2</c:v>
                </c:pt>
                <c:pt idx="2">
                  <c:v>-5.4358748258674983E-2</c:v>
                </c:pt>
                <c:pt idx="3">
                  <c:v>0</c:v>
                </c:pt>
              </c:numCache>
            </c:numRef>
          </c:xVal>
          <c:yVal>
            <c:numRef>
              <c:f>Symbole!$T$27:$W$27</c:f>
              <c:numCache>
                <c:formatCode>General</c:formatCode>
                <c:ptCount val="4"/>
                <c:pt idx="0">
                  <c:v>0.75</c:v>
                </c:pt>
                <c:pt idx="1">
                  <c:v>0.78138495857891166</c:v>
                </c:pt>
                <c:pt idx="2">
                  <c:v>0.71861504142108834</c:v>
                </c:pt>
                <c:pt idx="3">
                  <c:v>0.75</c:v>
                </c:pt>
              </c:numCache>
            </c:numRef>
          </c:yVal>
          <c:smooth val="0"/>
        </c:ser>
        <c:ser>
          <c:idx val="42"/>
          <c:order val="42"/>
          <c:tx>
            <c:v>LagerH2</c:v>
          </c:tx>
          <c:spPr>
            <a:ln w="12700">
              <a:solidFill>
                <a:srgbClr val="808080"/>
              </a:solidFill>
              <a:prstDash val="solid"/>
            </a:ln>
          </c:spPr>
          <c:marker>
            <c:symbol val="none"/>
          </c:marker>
          <c:xVal>
            <c:numRef>
              <c:f>Symbole!$P$28:$S$28</c:f>
              <c:numCache>
                <c:formatCode>General</c:formatCode>
                <c:ptCount val="4"/>
                <c:pt idx="0">
                  <c:v>0.55885637953108702</c:v>
                </c:pt>
                <c:pt idx="1">
                  <c:v>0.55885637953108702</c:v>
                </c:pt>
                <c:pt idx="2">
                  <c:v>0.55885637953108702</c:v>
                </c:pt>
                <c:pt idx="3">
                  <c:v>0.55885637953108702</c:v>
                </c:pt>
              </c:numCache>
            </c:numRef>
          </c:xVal>
          <c:yVal>
            <c:numRef>
              <c:f>Symbole!$T$28:$W$28</c:f>
              <c:numCache>
                <c:formatCode>General</c:formatCode>
                <c:ptCount val="4"/>
                <c:pt idx="0">
                  <c:v>0.50107966863129327</c:v>
                </c:pt>
                <c:pt idx="1">
                  <c:v>0.50107966863129327</c:v>
                </c:pt>
                <c:pt idx="2">
                  <c:v>0.50107966863129327</c:v>
                </c:pt>
                <c:pt idx="3">
                  <c:v>0.50107966863129327</c:v>
                </c:pt>
              </c:numCache>
            </c:numRef>
          </c:yVal>
          <c:smooth val="0"/>
        </c:ser>
        <c:ser>
          <c:idx val="43"/>
          <c:order val="43"/>
          <c:tx>
            <c:v>LagerH3</c:v>
          </c:tx>
          <c:spPr>
            <a:ln w="12700">
              <a:solidFill>
                <a:srgbClr val="808080"/>
              </a:solidFill>
              <a:prstDash val="solid"/>
            </a:ln>
          </c:spPr>
          <c:marker>
            <c:symbol val="none"/>
          </c:marker>
          <c:xVal>
            <c:numRef>
              <c:f>Symbole!$P$29:$S$29</c:f>
              <c:numCache>
                <c:formatCode>General</c:formatCode>
                <c:ptCount val="4"/>
                <c:pt idx="0">
                  <c:v>1</c:v>
                </c:pt>
                <c:pt idx="1">
                  <c:v>0.94564125174132507</c:v>
                </c:pt>
                <c:pt idx="2">
                  <c:v>0.94564125174132507</c:v>
                </c:pt>
                <c:pt idx="3">
                  <c:v>1</c:v>
                </c:pt>
              </c:numCache>
            </c:numRef>
          </c:xVal>
          <c:yVal>
            <c:numRef>
              <c:f>Symbole!$T$29:$W$29</c:f>
              <c:numCache>
                <c:formatCode>General</c:formatCode>
                <c:ptCount val="4"/>
                <c:pt idx="0">
                  <c:v>0.25</c:v>
                </c:pt>
                <c:pt idx="1">
                  <c:v>0.28138495857891166</c:v>
                </c:pt>
                <c:pt idx="2">
                  <c:v>0.21861504142108834</c:v>
                </c:pt>
                <c:pt idx="3">
                  <c:v>0.25</c:v>
                </c:pt>
              </c:numCache>
            </c:numRef>
          </c:yVal>
          <c:smooth val="0"/>
        </c:ser>
        <c:ser>
          <c:idx val="44"/>
          <c:order val="44"/>
          <c:tx>
            <c:v>LagerH4</c:v>
          </c:tx>
          <c:spPr>
            <a:ln w="12700">
              <a:solidFill>
                <a:srgbClr val="808080"/>
              </a:solidFill>
              <a:prstDash val="solid"/>
            </a:ln>
          </c:spPr>
          <c:marker>
            <c:symbol val="none"/>
          </c:marker>
          <c:xVal>
            <c:numRef>
              <c:f>Symbole!$P$30:$S$30</c:f>
              <c:numCache>
                <c:formatCode>General</c:formatCode>
                <c:ptCount val="4"/>
                <c:pt idx="0">
                  <c:v>0.5</c:v>
                </c:pt>
                <c:pt idx="1">
                  <c:v>0.5</c:v>
                </c:pt>
                <c:pt idx="2">
                  <c:v>0.5</c:v>
                </c:pt>
                <c:pt idx="3">
                  <c:v>0.5</c:v>
                </c:pt>
              </c:numCache>
            </c:numRef>
          </c:xVal>
          <c:yVal>
            <c:numRef>
              <c:f>Symbole!$T$30:$W$30</c:f>
              <c:numCache>
                <c:formatCode>General</c:formatCode>
                <c:ptCount val="4"/>
                <c:pt idx="0">
                  <c:v>0.47499999999999998</c:v>
                </c:pt>
                <c:pt idx="1">
                  <c:v>0.47499999999999998</c:v>
                </c:pt>
                <c:pt idx="2">
                  <c:v>0.47499999999999998</c:v>
                </c:pt>
                <c:pt idx="3">
                  <c:v>0.47499999999999998</c:v>
                </c:pt>
              </c:numCache>
            </c:numRef>
          </c:yVal>
          <c:smooth val="0"/>
        </c:ser>
        <c:ser>
          <c:idx val="45"/>
          <c:order val="45"/>
          <c:tx>
            <c:v>LagerH5</c:v>
          </c:tx>
          <c:spPr>
            <a:ln w="12700">
              <a:solidFill>
                <a:srgbClr val="808080"/>
              </a:solidFill>
              <a:prstDash val="solid"/>
            </a:ln>
          </c:spPr>
          <c:marker>
            <c:symbol val="none"/>
          </c:marker>
          <c:xVal>
            <c:numRef>
              <c:f>Symbole!$P$31:$S$31</c:f>
              <c:numCache>
                <c:formatCode>General</c:formatCode>
                <c:ptCount val="4"/>
                <c:pt idx="0">
                  <c:v>0.5</c:v>
                </c:pt>
                <c:pt idx="1">
                  <c:v>0.5</c:v>
                </c:pt>
                <c:pt idx="2">
                  <c:v>0.5</c:v>
                </c:pt>
                <c:pt idx="3">
                  <c:v>0.5</c:v>
                </c:pt>
              </c:numCache>
            </c:numRef>
          </c:xVal>
          <c:yVal>
            <c:numRef>
              <c:f>Symbole!$T$31:$W$31</c:f>
              <c:numCache>
                <c:formatCode>General</c:formatCode>
                <c:ptCount val="4"/>
                <c:pt idx="0">
                  <c:v>0.47499999999999998</c:v>
                </c:pt>
                <c:pt idx="1">
                  <c:v>0.47499999999999998</c:v>
                </c:pt>
                <c:pt idx="2">
                  <c:v>0.47499999999999998</c:v>
                </c:pt>
                <c:pt idx="3">
                  <c:v>0.47499999999999998</c:v>
                </c:pt>
              </c:numCache>
            </c:numRef>
          </c:yVal>
          <c:smooth val="0"/>
        </c:ser>
        <c:ser>
          <c:idx val="46"/>
          <c:order val="46"/>
          <c:tx>
            <c:v>LagerH6</c:v>
          </c:tx>
          <c:spPr>
            <a:ln w="12700">
              <a:solidFill>
                <a:srgbClr val="808080"/>
              </a:solidFill>
              <a:prstDash val="solid"/>
            </a:ln>
          </c:spPr>
          <c:marker>
            <c:symbol val="none"/>
          </c:marker>
          <c:xVal>
            <c:numRef>
              <c:f>Symbole!$P$32:$S$32</c:f>
              <c:numCache>
                <c:formatCode>General</c:formatCode>
                <c:ptCount val="4"/>
                <c:pt idx="0">
                  <c:v>0.5</c:v>
                </c:pt>
                <c:pt idx="1">
                  <c:v>0.5</c:v>
                </c:pt>
                <c:pt idx="2">
                  <c:v>0.5</c:v>
                </c:pt>
                <c:pt idx="3">
                  <c:v>0.5</c:v>
                </c:pt>
              </c:numCache>
            </c:numRef>
          </c:xVal>
          <c:yVal>
            <c:numRef>
              <c:f>Symbole!$T$32:$W$32</c:f>
              <c:numCache>
                <c:formatCode>General</c:formatCode>
                <c:ptCount val="4"/>
                <c:pt idx="0">
                  <c:v>0.47499999999999998</c:v>
                </c:pt>
                <c:pt idx="1">
                  <c:v>0.47499999999999998</c:v>
                </c:pt>
                <c:pt idx="2">
                  <c:v>0.47499999999999998</c:v>
                </c:pt>
                <c:pt idx="3">
                  <c:v>0.47499999999999998</c:v>
                </c:pt>
              </c:numCache>
            </c:numRef>
          </c:yVal>
          <c:smooth val="0"/>
        </c:ser>
        <c:ser>
          <c:idx val="47"/>
          <c:order val="47"/>
          <c:tx>
            <c:v>LagerH7</c:v>
          </c:tx>
          <c:spPr>
            <a:ln w="12700">
              <a:solidFill>
                <a:srgbClr val="808080"/>
              </a:solidFill>
              <a:prstDash val="solid"/>
            </a:ln>
          </c:spPr>
          <c:marker>
            <c:symbol val="none"/>
          </c:marker>
          <c:xVal>
            <c:numRef>
              <c:f>Symbole!$P$33:$S$33</c:f>
              <c:numCache>
                <c:formatCode>General</c:formatCode>
                <c:ptCount val="4"/>
                <c:pt idx="0">
                  <c:v>0.5</c:v>
                </c:pt>
                <c:pt idx="1">
                  <c:v>0.5</c:v>
                </c:pt>
                <c:pt idx="2">
                  <c:v>0.5</c:v>
                </c:pt>
                <c:pt idx="3">
                  <c:v>0.5</c:v>
                </c:pt>
              </c:numCache>
            </c:numRef>
          </c:xVal>
          <c:yVal>
            <c:numRef>
              <c:f>Symbole!$T$33:$W$33</c:f>
              <c:numCache>
                <c:formatCode>General</c:formatCode>
                <c:ptCount val="4"/>
                <c:pt idx="0">
                  <c:v>0.47499999999999998</c:v>
                </c:pt>
                <c:pt idx="1">
                  <c:v>0.47499999999999998</c:v>
                </c:pt>
                <c:pt idx="2">
                  <c:v>0.47499999999999998</c:v>
                </c:pt>
                <c:pt idx="3">
                  <c:v>0.47499999999999998</c:v>
                </c:pt>
              </c:numCache>
            </c:numRef>
          </c:yVal>
          <c:smooth val="0"/>
        </c:ser>
        <c:ser>
          <c:idx val="48"/>
          <c:order val="48"/>
          <c:tx>
            <c:v>LagerH8</c:v>
          </c:tx>
          <c:spPr>
            <a:ln w="12700">
              <a:solidFill>
                <a:srgbClr val="808080"/>
              </a:solidFill>
              <a:prstDash val="solid"/>
            </a:ln>
          </c:spPr>
          <c:marker>
            <c:symbol val="none"/>
          </c:marker>
          <c:xVal>
            <c:numRef>
              <c:f>Symbole!$P$34:$S$34</c:f>
              <c:numCache>
                <c:formatCode>General</c:formatCode>
                <c:ptCount val="4"/>
                <c:pt idx="0">
                  <c:v>0.5</c:v>
                </c:pt>
                <c:pt idx="1">
                  <c:v>0.5</c:v>
                </c:pt>
                <c:pt idx="2">
                  <c:v>0.5</c:v>
                </c:pt>
                <c:pt idx="3">
                  <c:v>0.5</c:v>
                </c:pt>
              </c:numCache>
            </c:numRef>
          </c:xVal>
          <c:yVal>
            <c:numRef>
              <c:f>Symbole!$T$34:$W$34</c:f>
              <c:numCache>
                <c:formatCode>General</c:formatCode>
                <c:ptCount val="4"/>
                <c:pt idx="0">
                  <c:v>0.47499999999999998</c:v>
                </c:pt>
                <c:pt idx="1">
                  <c:v>0.47499999999999998</c:v>
                </c:pt>
                <c:pt idx="2">
                  <c:v>0.47499999999999998</c:v>
                </c:pt>
                <c:pt idx="3">
                  <c:v>0.47499999999999998</c:v>
                </c:pt>
              </c:numCache>
            </c:numRef>
          </c:yVal>
          <c:smooth val="0"/>
        </c:ser>
        <c:ser>
          <c:idx val="49"/>
          <c:order val="49"/>
          <c:tx>
            <c:v>LagerH9</c:v>
          </c:tx>
          <c:spPr>
            <a:ln w="12700">
              <a:solidFill>
                <a:srgbClr val="808080"/>
              </a:solidFill>
              <a:prstDash val="solid"/>
            </a:ln>
          </c:spPr>
          <c:marker>
            <c:symbol val="none"/>
          </c:marker>
          <c:xVal>
            <c:numRef>
              <c:f>Symbole!$P$35:$S$35</c:f>
              <c:numCache>
                <c:formatCode>General</c:formatCode>
                <c:ptCount val="4"/>
                <c:pt idx="0">
                  <c:v>0.5</c:v>
                </c:pt>
                <c:pt idx="1">
                  <c:v>0.5</c:v>
                </c:pt>
                <c:pt idx="2">
                  <c:v>0.5</c:v>
                </c:pt>
                <c:pt idx="3">
                  <c:v>0.5</c:v>
                </c:pt>
              </c:numCache>
            </c:numRef>
          </c:xVal>
          <c:yVal>
            <c:numRef>
              <c:f>Symbole!$T$35:$W$35</c:f>
              <c:numCache>
                <c:formatCode>General</c:formatCode>
                <c:ptCount val="4"/>
                <c:pt idx="0">
                  <c:v>0.47499999999999998</c:v>
                </c:pt>
                <c:pt idx="1">
                  <c:v>0.47499999999999998</c:v>
                </c:pt>
                <c:pt idx="2">
                  <c:v>0.47499999999999998</c:v>
                </c:pt>
                <c:pt idx="3">
                  <c:v>0.47499999999999998</c:v>
                </c:pt>
              </c:numCache>
            </c:numRef>
          </c:yVal>
          <c:smooth val="0"/>
        </c:ser>
        <c:ser>
          <c:idx val="50"/>
          <c:order val="50"/>
          <c:tx>
            <c:v>LagerH10</c:v>
          </c:tx>
          <c:spPr>
            <a:ln w="12700">
              <a:solidFill>
                <a:srgbClr val="808080"/>
              </a:solidFill>
              <a:prstDash val="solid"/>
            </a:ln>
          </c:spPr>
          <c:marker>
            <c:symbol val="none"/>
          </c:marker>
          <c:xVal>
            <c:numRef>
              <c:f>Symbole!$P$36:$S$36</c:f>
              <c:numCache>
                <c:formatCode>General</c:formatCode>
                <c:ptCount val="4"/>
                <c:pt idx="0">
                  <c:v>0.5</c:v>
                </c:pt>
                <c:pt idx="1">
                  <c:v>0.5</c:v>
                </c:pt>
                <c:pt idx="2">
                  <c:v>0.5</c:v>
                </c:pt>
                <c:pt idx="3">
                  <c:v>0.5</c:v>
                </c:pt>
              </c:numCache>
            </c:numRef>
          </c:xVal>
          <c:yVal>
            <c:numRef>
              <c:f>Symbole!$T$36:$W$36</c:f>
              <c:numCache>
                <c:formatCode>General</c:formatCode>
                <c:ptCount val="4"/>
                <c:pt idx="0">
                  <c:v>0.47499999999999998</c:v>
                </c:pt>
                <c:pt idx="1">
                  <c:v>0.47499999999999998</c:v>
                </c:pt>
                <c:pt idx="2">
                  <c:v>0.47499999999999998</c:v>
                </c:pt>
                <c:pt idx="3">
                  <c:v>0.47499999999999998</c:v>
                </c:pt>
              </c:numCache>
            </c:numRef>
          </c:yVal>
          <c:smooth val="0"/>
        </c:ser>
        <c:ser>
          <c:idx val="51"/>
          <c:order val="51"/>
          <c:tx>
            <c:v>LagerH11</c:v>
          </c:tx>
          <c:spPr>
            <a:ln w="12700">
              <a:solidFill>
                <a:srgbClr val="808080"/>
              </a:solidFill>
              <a:prstDash val="solid"/>
            </a:ln>
          </c:spPr>
          <c:marker>
            <c:symbol val="none"/>
          </c:marker>
          <c:xVal>
            <c:numRef>
              <c:f>Symbole!$P$37:$S$37</c:f>
              <c:numCache>
                <c:formatCode>General</c:formatCode>
                <c:ptCount val="4"/>
                <c:pt idx="0">
                  <c:v>0.5</c:v>
                </c:pt>
                <c:pt idx="1">
                  <c:v>0.5</c:v>
                </c:pt>
                <c:pt idx="2">
                  <c:v>0.5</c:v>
                </c:pt>
                <c:pt idx="3">
                  <c:v>0.5</c:v>
                </c:pt>
              </c:numCache>
            </c:numRef>
          </c:xVal>
          <c:yVal>
            <c:numRef>
              <c:f>Symbole!$T$37:$W$37</c:f>
              <c:numCache>
                <c:formatCode>General</c:formatCode>
                <c:ptCount val="4"/>
                <c:pt idx="0">
                  <c:v>0.47499999999999998</c:v>
                </c:pt>
                <c:pt idx="1">
                  <c:v>0.47499999999999998</c:v>
                </c:pt>
                <c:pt idx="2">
                  <c:v>0.47499999999999998</c:v>
                </c:pt>
                <c:pt idx="3">
                  <c:v>0.47499999999999998</c:v>
                </c:pt>
              </c:numCache>
            </c:numRef>
          </c:yVal>
          <c:smooth val="0"/>
        </c:ser>
        <c:ser>
          <c:idx val="52"/>
          <c:order val="52"/>
          <c:tx>
            <c:v>LagerH12</c:v>
          </c:tx>
          <c:spPr>
            <a:ln w="12700">
              <a:solidFill>
                <a:srgbClr val="808080"/>
              </a:solidFill>
              <a:prstDash val="solid"/>
            </a:ln>
          </c:spPr>
          <c:marker>
            <c:symbol val="none"/>
          </c:marker>
          <c:xVal>
            <c:numRef>
              <c:f>Symbole!$P$38:$S$38</c:f>
              <c:numCache>
                <c:formatCode>General</c:formatCode>
                <c:ptCount val="4"/>
                <c:pt idx="0">
                  <c:v>0.5</c:v>
                </c:pt>
                <c:pt idx="1">
                  <c:v>0.5</c:v>
                </c:pt>
                <c:pt idx="2">
                  <c:v>0.5</c:v>
                </c:pt>
                <c:pt idx="3">
                  <c:v>0.5</c:v>
                </c:pt>
              </c:numCache>
            </c:numRef>
          </c:xVal>
          <c:yVal>
            <c:numRef>
              <c:f>Symbole!$T$38:$W$38</c:f>
              <c:numCache>
                <c:formatCode>General</c:formatCode>
                <c:ptCount val="4"/>
                <c:pt idx="0">
                  <c:v>0.47499999999999998</c:v>
                </c:pt>
                <c:pt idx="1">
                  <c:v>0.47499999999999998</c:v>
                </c:pt>
                <c:pt idx="2">
                  <c:v>0.47499999999999998</c:v>
                </c:pt>
                <c:pt idx="3">
                  <c:v>0.47499999999999998</c:v>
                </c:pt>
              </c:numCache>
            </c:numRef>
          </c:yVal>
          <c:smooth val="0"/>
        </c:ser>
        <c:ser>
          <c:idx val="53"/>
          <c:order val="53"/>
          <c:tx>
            <c:v>LagerH13</c:v>
          </c:tx>
          <c:spPr>
            <a:ln w="12700">
              <a:solidFill>
                <a:srgbClr val="808080"/>
              </a:solidFill>
              <a:prstDash val="solid"/>
            </a:ln>
          </c:spPr>
          <c:marker>
            <c:symbol val="none"/>
          </c:marker>
          <c:xVal>
            <c:numRef>
              <c:f>Symbole!$P$39:$S$39</c:f>
              <c:numCache>
                <c:formatCode>General</c:formatCode>
                <c:ptCount val="4"/>
                <c:pt idx="0">
                  <c:v>0.5</c:v>
                </c:pt>
                <c:pt idx="1">
                  <c:v>0.5</c:v>
                </c:pt>
                <c:pt idx="2">
                  <c:v>0.5</c:v>
                </c:pt>
                <c:pt idx="3">
                  <c:v>0.5</c:v>
                </c:pt>
              </c:numCache>
            </c:numRef>
          </c:xVal>
          <c:yVal>
            <c:numRef>
              <c:f>Symbole!$T$39:$W$39</c:f>
              <c:numCache>
                <c:formatCode>General</c:formatCode>
                <c:ptCount val="4"/>
                <c:pt idx="0">
                  <c:v>0.47499999999999998</c:v>
                </c:pt>
                <c:pt idx="1">
                  <c:v>0.47499999999999998</c:v>
                </c:pt>
                <c:pt idx="2">
                  <c:v>0.47499999999999998</c:v>
                </c:pt>
                <c:pt idx="3">
                  <c:v>0.47499999999999998</c:v>
                </c:pt>
              </c:numCache>
            </c:numRef>
          </c:yVal>
          <c:smooth val="0"/>
        </c:ser>
        <c:ser>
          <c:idx val="54"/>
          <c:order val="54"/>
          <c:tx>
            <c:v>LagerH14</c:v>
          </c:tx>
          <c:spPr>
            <a:ln w="12700">
              <a:solidFill>
                <a:srgbClr val="808080"/>
              </a:solidFill>
              <a:prstDash val="solid"/>
            </a:ln>
          </c:spPr>
          <c:marker>
            <c:symbol val="none"/>
          </c:marker>
          <c:xVal>
            <c:numRef>
              <c:f>Symbole!$P$40:$S$40</c:f>
              <c:numCache>
                <c:formatCode>General</c:formatCode>
                <c:ptCount val="4"/>
                <c:pt idx="0">
                  <c:v>0.5</c:v>
                </c:pt>
                <c:pt idx="1">
                  <c:v>0.5</c:v>
                </c:pt>
                <c:pt idx="2">
                  <c:v>0.5</c:v>
                </c:pt>
                <c:pt idx="3">
                  <c:v>0.5</c:v>
                </c:pt>
              </c:numCache>
            </c:numRef>
          </c:xVal>
          <c:yVal>
            <c:numRef>
              <c:f>Symbole!$T$40:$W$40</c:f>
              <c:numCache>
                <c:formatCode>General</c:formatCode>
                <c:ptCount val="4"/>
                <c:pt idx="0">
                  <c:v>0.47499999999999998</c:v>
                </c:pt>
                <c:pt idx="1">
                  <c:v>0.47499999999999998</c:v>
                </c:pt>
                <c:pt idx="2">
                  <c:v>0.47499999999999998</c:v>
                </c:pt>
                <c:pt idx="3">
                  <c:v>0.47499999999999998</c:v>
                </c:pt>
              </c:numCache>
            </c:numRef>
          </c:yVal>
          <c:smooth val="0"/>
        </c:ser>
        <c:ser>
          <c:idx val="55"/>
          <c:order val="55"/>
          <c:tx>
            <c:v>LagerH15</c:v>
          </c:tx>
          <c:spPr>
            <a:ln w="12700">
              <a:solidFill>
                <a:srgbClr val="808080"/>
              </a:solidFill>
              <a:prstDash val="solid"/>
            </a:ln>
          </c:spPr>
          <c:marker>
            <c:symbol val="none"/>
          </c:marker>
          <c:xVal>
            <c:numRef>
              <c:f>Symbole!$P$41:$S$41</c:f>
              <c:numCache>
                <c:formatCode>General</c:formatCode>
                <c:ptCount val="4"/>
                <c:pt idx="0">
                  <c:v>0.5</c:v>
                </c:pt>
                <c:pt idx="1">
                  <c:v>0.5</c:v>
                </c:pt>
                <c:pt idx="2">
                  <c:v>0.5</c:v>
                </c:pt>
                <c:pt idx="3">
                  <c:v>0.5</c:v>
                </c:pt>
              </c:numCache>
            </c:numRef>
          </c:xVal>
          <c:yVal>
            <c:numRef>
              <c:f>Symbole!$T$41:$W$41</c:f>
              <c:numCache>
                <c:formatCode>General</c:formatCode>
                <c:ptCount val="4"/>
                <c:pt idx="0">
                  <c:v>0.47499999999999998</c:v>
                </c:pt>
                <c:pt idx="1">
                  <c:v>0.47499999999999998</c:v>
                </c:pt>
                <c:pt idx="2">
                  <c:v>0.47499999999999998</c:v>
                </c:pt>
                <c:pt idx="3">
                  <c:v>0.47499999999999998</c:v>
                </c:pt>
              </c:numCache>
            </c:numRef>
          </c:yVal>
          <c:smooth val="0"/>
        </c:ser>
        <c:ser>
          <c:idx val="56"/>
          <c:order val="56"/>
          <c:tx>
            <c:v>LagerH16</c:v>
          </c:tx>
          <c:spPr>
            <a:ln w="12700">
              <a:solidFill>
                <a:srgbClr val="808080"/>
              </a:solidFill>
              <a:prstDash val="solid"/>
            </a:ln>
          </c:spPr>
          <c:marker>
            <c:symbol val="none"/>
          </c:marker>
          <c:xVal>
            <c:numRef>
              <c:f>Symbole!$P$42:$S$42</c:f>
              <c:numCache>
                <c:formatCode>General</c:formatCode>
                <c:ptCount val="4"/>
                <c:pt idx="0">
                  <c:v>0.5</c:v>
                </c:pt>
                <c:pt idx="1">
                  <c:v>0.5</c:v>
                </c:pt>
                <c:pt idx="2">
                  <c:v>0.5</c:v>
                </c:pt>
                <c:pt idx="3">
                  <c:v>0.5</c:v>
                </c:pt>
              </c:numCache>
            </c:numRef>
          </c:xVal>
          <c:yVal>
            <c:numRef>
              <c:f>Symbole!$T$42:$W$42</c:f>
              <c:numCache>
                <c:formatCode>General</c:formatCode>
                <c:ptCount val="4"/>
                <c:pt idx="0">
                  <c:v>0.47499999999999998</c:v>
                </c:pt>
                <c:pt idx="1">
                  <c:v>0.47499999999999998</c:v>
                </c:pt>
                <c:pt idx="2">
                  <c:v>0.47499999999999998</c:v>
                </c:pt>
                <c:pt idx="3">
                  <c:v>0.47499999999999998</c:v>
                </c:pt>
              </c:numCache>
            </c:numRef>
          </c:yVal>
          <c:smooth val="0"/>
        </c:ser>
        <c:ser>
          <c:idx val="57"/>
          <c:order val="57"/>
          <c:tx>
            <c:v>LagerH17</c:v>
          </c:tx>
          <c:spPr>
            <a:ln w="12700">
              <a:solidFill>
                <a:srgbClr val="808080"/>
              </a:solidFill>
              <a:prstDash val="solid"/>
            </a:ln>
          </c:spPr>
          <c:marker>
            <c:symbol val="none"/>
          </c:marker>
          <c:xVal>
            <c:numRef>
              <c:f>Symbole!$P$43:$S$43</c:f>
              <c:numCache>
                <c:formatCode>General</c:formatCode>
                <c:ptCount val="4"/>
                <c:pt idx="0">
                  <c:v>0.5</c:v>
                </c:pt>
                <c:pt idx="1">
                  <c:v>0.5</c:v>
                </c:pt>
                <c:pt idx="2">
                  <c:v>0.5</c:v>
                </c:pt>
                <c:pt idx="3">
                  <c:v>0.5</c:v>
                </c:pt>
              </c:numCache>
            </c:numRef>
          </c:xVal>
          <c:yVal>
            <c:numRef>
              <c:f>Symbole!$T$43:$W$43</c:f>
              <c:numCache>
                <c:formatCode>General</c:formatCode>
                <c:ptCount val="4"/>
                <c:pt idx="0">
                  <c:v>0.47499999999999998</c:v>
                </c:pt>
                <c:pt idx="1">
                  <c:v>0.47499999999999998</c:v>
                </c:pt>
                <c:pt idx="2">
                  <c:v>0.47499999999999998</c:v>
                </c:pt>
                <c:pt idx="3">
                  <c:v>0.47499999999999998</c:v>
                </c:pt>
              </c:numCache>
            </c:numRef>
          </c:yVal>
          <c:smooth val="0"/>
        </c:ser>
        <c:ser>
          <c:idx val="58"/>
          <c:order val="58"/>
          <c:tx>
            <c:v>LagerH18</c:v>
          </c:tx>
          <c:spPr>
            <a:ln w="12700">
              <a:solidFill>
                <a:srgbClr val="808080"/>
              </a:solidFill>
              <a:prstDash val="solid"/>
            </a:ln>
          </c:spPr>
          <c:marker>
            <c:symbol val="none"/>
          </c:marker>
          <c:xVal>
            <c:numRef>
              <c:f>Symbole!$P$44:$S$44</c:f>
              <c:numCache>
                <c:formatCode>General</c:formatCode>
                <c:ptCount val="4"/>
                <c:pt idx="0">
                  <c:v>0.5</c:v>
                </c:pt>
                <c:pt idx="1">
                  <c:v>0.5</c:v>
                </c:pt>
                <c:pt idx="2">
                  <c:v>0.5</c:v>
                </c:pt>
                <c:pt idx="3">
                  <c:v>0.5</c:v>
                </c:pt>
              </c:numCache>
            </c:numRef>
          </c:xVal>
          <c:yVal>
            <c:numRef>
              <c:f>Symbole!$T$44:$W$44</c:f>
              <c:numCache>
                <c:formatCode>General</c:formatCode>
                <c:ptCount val="4"/>
                <c:pt idx="0">
                  <c:v>0.47499999999999998</c:v>
                </c:pt>
                <c:pt idx="1">
                  <c:v>0.47499999999999998</c:v>
                </c:pt>
                <c:pt idx="2">
                  <c:v>0.47499999999999998</c:v>
                </c:pt>
                <c:pt idx="3">
                  <c:v>0.47499999999999998</c:v>
                </c:pt>
              </c:numCache>
            </c:numRef>
          </c:yVal>
          <c:smooth val="0"/>
        </c:ser>
        <c:ser>
          <c:idx val="59"/>
          <c:order val="59"/>
          <c:tx>
            <c:v>LagerH19</c:v>
          </c:tx>
          <c:spPr>
            <a:ln w="12700">
              <a:solidFill>
                <a:srgbClr val="808080"/>
              </a:solidFill>
              <a:prstDash val="solid"/>
            </a:ln>
          </c:spPr>
          <c:marker>
            <c:symbol val="none"/>
          </c:marker>
          <c:xVal>
            <c:numRef>
              <c:f>Symbole!$P$45:$S$45</c:f>
              <c:numCache>
                <c:formatCode>General</c:formatCode>
                <c:ptCount val="4"/>
                <c:pt idx="0">
                  <c:v>0.5</c:v>
                </c:pt>
                <c:pt idx="1">
                  <c:v>0.5</c:v>
                </c:pt>
                <c:pt idx="2">
                  <c:v>0.5</c:v>
                </c:pt>
                <c:pt idx="3">
                  <c:v>0.5</c:v>
                </c:pt>
              </c:numCache>
            </c:numRef>
          </c:xVal>
          <c:yVal>
            <c:numRef>
              <c:f>Symbole!$T$45:$W$45</c:f>
              <c:numCache>
                <c:formatCode>General</c:formatCode>
                <c:ptCount val="4"/>
                <c:pt idx="0">
                  <c:v>0.47499999999999998</c:v>
                </c:pt>
                <c:pt idx="1">
                  <c:v>0.47499999999999998</c:v>
                </c:pt>
                <c:pt idx="2">
                  <c:v>0.47499999999999998</c:v>
                </c:pt>
                <c:pt idx="3">
                  <c:v>0.47499999999999998</c:v>
                </c:pt>
              </c:numCache>
            </c:numRef>
          </c:yVal>
          <c:smooth val="0"/>
        </c:ser>
        <c:ser>
          <c:idx val="60"/>
          <c:order val="60"/>
          <c:tx>
            <c:v>LagerH20</c:v>
          </c:tx>
          <c:spPr>
            <a:ln w="12700">
              <a:solidFill>
                <a:srgbClr val="808080"/>
              </a:solidFill>
              <a:prstDash val="solid"/>
            </a:ln>
          </c:spPr>
          <c:marker>
            <c:symbol val="none"/>
          </c:marker>
          <c:xVal>
            <c:numRef>
              <c:f>Symbole!$P$46:$S$46</c:f>
              <c:numCache>
                <c:formatCode>General</c:formatCode>
                <c:ptCount val="4"/>
                <c:pt idx="0">
                  <c:v>0.5</c:v>
                </c:pt>
                <c:pt idx="1">
                  <c:v>0.5</c:v>
                </c:pt>
                <c:pt idx="2">
                  <c:v>0.5</c:v>
                </c:pt>
                <c:pt idx="3">
                  <c:v>0.5</c:v>
                </c:pt>
              </c:numCache>
            </c:numRef>
          </c:xVal>
          <c:yVal>
            <c:numRef>
              <c:f>Symbole!$T$46:$W$46</c:f>
              <c:numCache>
                <c:formatCode>General</c:formatCode>
                <c:ptCount val="4"/>
                <c:pt idx="0">
                  <c:v>0.47499999999999998</c:v>
                </c:pt>
                <c:pt idx="1">
                  <c:v>0.47499999999999998</c:v>
                </c:pt>
                <c:pt idx="2">
                  <c:v>0.47499999999999998</c:v>
                </c:pt>
                <c:pt idx="3">
                  <c:v>0.47499999999999998</c:v>
                </c:pt>
              </c:numCache>
            </c:numRef>
          </c:yVal>
          <c:smooth val="0"/>
        </c:ser>
        <c:ser>
          <c:idx val="61"/>
          <c:order val="61"/>
          <c:tx>
            <c:v>LagerR1</c:v>
          </c:tx>
          <c:spPr>
            <a:ln w="12700">
              <a:solidFill>
                <a:srgbClr val="808080"/>
              </a:solidFill>
              <a:prstDash val="solid"/>
            </a:ln>
          </c:spPr>
          <c:marker>
            <c:symbol val="none"/>
          </c:marker>
          <c:xVal>
            <c:numRef>
              <c:f>Symbole!$P$50:$T$50</c:f>
              <c:numCache>
                <c:formatCode>General</c:formatCode>
                <c:ptCount val="5"/>
                <c:pt idx="0">
                  <c:v>0</c:v>
                </c:pt>
                <c:pt idx="1">
                  <c:v>0</c:v>
                </c:pt>
                <c:pt idx="2">
                  <c:v>0</c:v>
                </c:pt>
                <c:pt idx="3">
                  <c:v>0</c:v>
                </c:pt>
                <c:pt idx="4">
                  <c:v>0</c:v>
                </c:pt>
              </c:numCache>
            </c:numRef>
          </c:xVal>
          <c:yVal>
            <c:numRef>
              <c:f>Symbole!$U$50:$Y$50</c:f>
              <c:numCache>
                <c:formatCode>General</c:formatCode>
                <c:ptCount val="5"/>
                <c:pt idx="0">
                  <c:v>0.75</c:v>
                </c:pt>
                <c:pt idx="1">
                  <c:v>0.75</c:v>
                </c:pt>
                <c:pt idx="2">
                  <c:v>0.75</c:v>
                </c:pt>
                <c:pt idx="3">
                  <c:v>0.75</c:v>
                </c:pt>
                <c:pt idx="4">
                  <c:v>0.75</c:v>
                </c:pt>
              </c:numCache>
            </c:numRef>
          </c:yVal>
          <c:smooth val="0"/>
        </c:ser>
        <c:ser>
          <c:idx val="62"/>
          <c:order val="62"/>
          <c:tx>
            <c:v>LagerR2</c:v>
          </c:tx>
          <c:spPr>
            <a:ln w="12700">
              <a:solidFill>
                <a:srgbClr val="808080"/>
              </a:solidFill>
              <a:prstDash val="solid"/>
            </a:ln>
          </c:spPr>
          <c:marker>
            <c:symbol val="none"/>
          </c:marker>
          <c:xVal>
            <c:numRef>
              <c:f>Symbole!$P$51:$T$51</c:f>
              <c:numCache>
                <c:formatCode>General</c:formatCode>
                <c:ptCount val="5"/>
                <c:pt idx="0">
                  <c:v>0.55885637953108702</c:v>
                </c:pt>
                <c:pt idx="1">
                  <c:v>0.55885637953108702</c:v>
                </c:pt>
                <c:pt idx="2">
                  <c:v>0.55885637953108702</c:v>
                </c:pt>
                <c:pt idx="3">
                  <c:v>0.55885637953108702</c:v>
                </c:pt>
                <c:pt idx="4">
                  <c:v>0.55885637953108702</c:v>
                </c:pt>
              </c:numCache>
            </c:numRef>
          </c:xVal>
          <c:yVal>
            <c:numRef>
              <c:f>Symbole!$U$51:$Y$51</c:f>
              <c:numCache>
                <c:formatCode>General</c:formatCode>
                <c:ptCount val="5"/>
                <c:pt idx="0">
                  <c:v>0.50107966863129327</c:v>
                </c:pt>
                <c:pt idx="1">
                  <c:v>0.50107966863129327</c:v>
                </c:pt>
                <c:pt idx="2">
                  <c:v>0.50107966863129327</c:v>
                </c:pt>
                <c:pt idx="3">
                  <c:v>0.50107966863129327</c:v>
                </c:pt>
                <c:pt idx="4">
                  <c:v>0.50107966863129327</c:v>
                </c:pt>
              </c:numCache>
            </c:numRef>
          </c:yVal>
          <c:smooth val="0"/>
        </c:ser>
        <c:ser>
          <c:idx val="63"/>
          <c:order val="63"/>
          <c:tx>
            <c:v>LagerR3</c:v>
          </c:tx>
          <c:spPr>
            <a:ln w="12700">
              <a:solidFill>
                <a:srgbClr val="808080"/>
              </a:solidFill>
              <a:prstDash val="solid"/>
            </a:ln>
          </c:spPr>
          <c:marker>
            <c:symbol val="none"/>
          </c:marker>
          <c:xVal>
            <c:numRef>
              <c:f>Symbole!$P$52:$T$52</c:f>
              <c:numCache>
                <c:formatCode>General</c:formatCode>
                <c:ptCount val="5"/>
                <c:pt idx="0">
                  <c:v>1</c:v>
                </c:pt>
                <c:pt idx="1">
                  <c:v>1</c:v>
                </c:pt>
                <c:pt idx="2">
                  <c:v>1</c:v>
                </c:pt>
                <c:pt idx="3">
                  <c:v>1</c:v>
                </c:pt>
                <c:pt idx="4">
                  <c:v>1</c:v>
                </c:pt>
              </c:numCache>
            </c:numRef>
          </c:xVal>
          <c:yVal>
            <c:numRef>
              <c:f>Symbole!$U$52:$Y$52</c:f>
              <c:numCache>
                <c:formatCode>General</c:formatCode>
                <c:ptCount val="5"/>
                <c:pt idx="0">
                  <c:v>0.25</c:v>
                </c:pt>
                <c:pt idx="1">
                  <c:v>0.25</c:v>
                </c:pt>
                <c:pt idx="2">
                  <c:v>0.25</c:v>
                </c:pt>
                <c:pt idx="3">
                  <c:v>0.25</c:v>
                </c:pt>
                <c:pt idx="4">
                  <c:v>0.25</c:v>
                </c:pt>
              </c:numCache>
            </c:numRef>
          </c:yVal>
          <c:smooth val="0"/>
        </c:ser>
        <c:ser>
          <c:idx val="64"/>
          <c:order val="64"/>
          <c:tx>
            <c:v>LagerR4</c:v>
          </c:tx>
          <c:spPr>
            <a:ln w="12700">
              <a:solidFill>
                <a:srgbClr val="808080"/>
              </a:solidFill>
              <a:prstDash val="solid"/>
            </a:ln>
          </c:spPr>
          <c:marker>
            <c:symbol val="none"/>
          </c:marker>
          <c:xVal>
            <c:numRef>
              <c:f>Symbole!$P$53:$T$53</c:f>
              <c:numCache>
                <c:formatCode>General</c:formatCode>
                <c:ptCount val="5"/>
                <c:pt idx="0">
                  <c:v>0.5</c:v>
                </c:pt>
                <c:pt idx="1">
                  <c:v>0.5</c:v>
                </c:pt>
                <c:pt idx="2">
                  <c:v>0.5</c:v>
                </c:pt>
                <c:pt idx="3">
                  <c:v>0.5</c:v>
                </c:pt>
                <c:pt idx="4">
                  <c:v>0.5</c:v>
                </c:pt>
              </c:numCache>
            </c:numRef>
          </c:xVal>
          <c:yVal>
            <c:numRef>
              <c:f>Symbole!$U$53:$Y$53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5"/>
          <c:order val="65"/>
          <c:tx>
            <c:v>LagerR5</c:v>
          </c:tx>
          <c:spPr>
            <a:ln w="12700">
              <a:solidFill>
                <a:srgbClr val="808080"/>
              </a:solidFill>
              <a:prstDash val="solid"/>
            </a:ln>
          </c:spPr>
          <c:marker>
            <c:symbol val="none"/>
          </c:marker>
          <c:xVal>
            <c:numRef>
              <c:f>Symbole!$P$54:$T$54</c:f>
              <c:numCache>
                <c:formatCode>General</c:formatCode>
                <c:ptCount val="5"/>
                <c:pt idx="0">
                  <c:v>0.5</c:v>
                </c:pt>
                <c:pt idx="1">
                  <c:v>0.5</c:v>
                </c:pt>
                <c:pt idx="2">
                  <c:v>0.5</c:v>
                </c:pt>
                <c:pt idx="3">
                  <c:v>0.5</c:v>
                </c:pt>
                <c:pt idx="4">
                  <c:v>0.5</c:v>
                </c:pt>
              </c:numCache>
            </c:numRef>
          </c:xVal>
          <c:yVal>
            <c:numRef>
              <c:f>Symbole!$U$54:$Y$54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6"/>
          <c:order val="66"/>
          <c:tx>
            <c:v>LagerR6</c:v>
          </c:tx>
          <c:spPr>
            <a:ln w="12700">
              <a:solidFill>
                <a:srgbClr val="808080"/>
              </a:solidFill>
              <a:prstDash val="solid"/>
            </a:ln>
          </c:spPr>
          <c:marker>
            <c:symbol val="none"/>
          </c:marker>
          <c:xVal>
            <c:numRef>
              <c:f>Symbole!$P$55:$T$55</c:f>
              <c:numCache>
                <c:formatCode>General</c:formatCode>
                <c:ptCount val="5"/>
                <c:pt idx="0">
                  <c:v>0.5</c:v>
                </c:pt>
                <c:pt idx="1">
                  <c:v>0.5</c:v>
                </c:pt>
                <c:pt idx="2">
                  <c:v>0.5</c:v>
                </c:pt>
                <c:pt idx="3">
                  <c:v>0.5</c:v>
                </c:pt>
                <c:pt idx="4">
                  <c:v>0.5</c:v>
                </c:pt>
              </c:numCache>
            </c:numRef>
          </c:xVal>
          <c:yVal>
            <c:numRef>
              <c:f>Symbole!$U$55:$Y$55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7"/>
          <c:order val="67"/>
          <c:tx>
            <c:v>LagerR7</c:v>
          </c:tx>
          <c:spPr>
            <a:ln w="12700">
              <a:solidFill>
                <a:srgbClr val="808080"/>
              </a:solidFill>
              <a:prstDash val="solid"/>
            </a:ln>
          </c:spPr>
          <c:marker>
            <c:symbol val="none"/>
          </c:marker>
          <c:xVal>
            <c:numRef>
              <c:f>Symbole!$P$56:$T$56</c:f>
              <c:numCache>
                <c:formatCode>General</c:formatCode>
                <c:ptCount val="5"/>
                <c:pt idx="0">
                  <c:v>0.5</c:v>
                </c:pt>
                <c:pt idx="1">
                  <c:v>0.5</c:v>
                </c:pt>
                <c:pt idx="2">
                  <c:v>0.5</c:v>
                </c:pt>
                <c:pt idx="3">
                  <c:v>0.5</c:v>
                </c:pt>
                <c:pt idx="4">
                  <c:v>0.5</c:v>
                </c:pt>
              </c:numCache>
            </c:numRef>
          </c:xVal>
          <c:yVal>
            <c:numRef>
              <c:f>Symbole!$U$56:$Y$56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8"/>
          <c:order val="68"/>
          <c:tx>
            <c:v>LagerR8</c:v>
          </c:tx>
          <c:spPr>
            <a:ln w="12700">
              <a:solidFill>
                <a:srgbClr val="808080"/>
              </a:solidFill>
              <a:prstDash val="solid"/>
            </a:ln>
          </c:spPr>
          <c:marker>
            <c:symbol val="none"/>
          </c:marker>
          <c:xVal>
            <c:numRef>
              <c:f>Symbole!$P$57:$T$57</c:f>
              <c:numCache>
                <c:formatCode>General</c:formatCode>
                <c:ptCount val="5"/>
                <c:pt idx="0">
                  <c:v>0.5</c:v>
                </c:pt>
                <c:pt idx="1">
                  <c:v>0.5</c:v>
                </c:pt>
                <c:pt idx="2">
                  <c:v>0.5</c:v>
                </c:pt>
                <c:pt idx="3">
                  <c:v>0.5</c:v>
                </c:pt>
                <c:pt idx="4">
                  <c:v>0.5</c:v>
                </c:pt>
              </c:numCache>
            </c:numRef>
          </c:xVal>
          <c:yVal>
            <c:numRef>
              <c:f>Symbole!$U$57:$Y$57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69"/>
          <c:order val="69"/>
          <c:tx>
            <c:v>LagerR9</c:v>
          </c:tx>
          <c:spPr>
            <a:ln w="12700">
              <a:solidFill>
                <a:srgbClr val="808080"/>
              </a:solidFill>
              <a:prstDash val="solid"/>
            </a:ln>
          </c:spPr>
          <c:marker>
            <c:symbol val="none"/>
          </c:marker>
          <c:xVal>
            <c:numRef>
              <c:f>Symbole!$P$58:$T$58</c:f>
              <c:numCache>
                <c:formatCode>General</c:formatCode>
                <c:ptCount val="5"/>
                <c:pt idx="0">
                  <c:v>0.5</c:v>
                </c:pt>
                <c:pt idx="1">
                  <c:v>0.5</c:v>
                </c:pt>
                <c:pt idx="2">
                  <c:v>0.5</c:v>
                </c:pt>
                <c:pt idx="3">
                  <c:v>0.5</c:v>
                </c:pt>
                <c:pt idx="4">
                  <c:v>0.5</c:v>
                </c:pt>
              </c:numCache>
            </c:numRef>
          </c:xVal>
          <c:yVal>
            <c:numRef>
              <c:f>Symbole!$U$58:$Y$58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0"/>
          <c:order val="70"/>
          <c:tx>
            <c:v>LagerR10</c:v>
          </c:tx>
          <c:spPr>
            <a:ln w="12700">
              <a:solidFill>
                <a:srgbClr val="808080"/>
              </a:solidFill>
              <a:prstDash val="solid"/>
            </a:ln>
          </c:spPr>
          <c:marker>
            <c:symbol val="none"/>
          </c:marker>
          <c:xVal>
            <c:numRef>
              <c:f>Symbole!$P$59:$T$59</c:f>
              <c:numCache>
                <c:formatCode>General</c:formatCode>
                <c:ptCount val="5"/>
                <c:pt idx="0">
                  <c:v>0.5</c:v>
                </c:pt>
                <c:pt idx="1">
                  <c:v>0.5</c:v>
                </c:pt>
                <c:pt idx="2">
                  <c:v>0.5</c:v>
                </c:pt>
                <c:pt idx="3">
                  <c:v>0.5</c:v>
                </c:pt>
                <c:pt idx="4">
                  <c:v>0.5</c:v>
                </c:pt>
              </c:numCache>
            </c:numRef>
          </c:xVal>
          <c:yVal>
            <c:numRef>
              <c:f>Symbole!$U$59:$Y$59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1"/>
          <c:order val="71"/>
          <c:tx>
            <c:v>LagerR11</c:v>
          </c:tx>
          <c:spPr>
            <a:ln w="12700">
              <a:solidFill>
                <a:srgbClr val="808080"/>
              </a:solidFill>
              <a:prstDash val="solid"/>
            </a:ln>
          </c:spPr>
          <c:marker>
            <c:symbol val="none"/>
          </c:marker>
          <c:xVal>
            <c:numRef>
              <c:f>Symbole!$P$60:$T$60</c:f>
              <c:numCache>
                <c:formatCode>General</c:formatCode>
                <c:ptCount val="5"/>
                <c:pt idx="0">
                  <c:v>0.5</c:v>
                </c:pt>
                <c:pt idx="1">
                  <c:v>0.5</c:v>
                </c:pt>
                <c:pt idx="2">
                  <c:v>0.5</c:v>
                </c:pt>
                <c:pt idx="3">
                  <c:v>0.5</c:v>
                </c:pt>
                <c:pt idx="4">
                  <c:v>0.5</c:v>
                </c:pt>
              </c:numCache>
            </c:numRef>
          </c:xVal>
          <c:yVal>
            <c:numRef>
              <c:f>Symbole!$U$60:$Y$60</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2"/>
          <c:order val="72"/>
          <c:tx>
            <c:v>LagerR12</c:v>
          </c:tx>
          <c:spPr>
            <a:ln w="12700">
              <a:solidFill>
                <a:srgbClr val="808080"/>
              </a:solidFill>
              <a:prstDash val="solid"/>
            </a:ln>
          </c:spPr>
          <c:marker>
            <c:symbol val="none"/>
          </c:marker>
          <c:xVal>
            <c:numRef>
              <c:f>Symbole!$P$61:$T$61</c:f>
              <c:numCache>
                <c:formatCode>General</c:formatCode>
                <c:ptCount val="5"/>
                <c:pt idx="0">
                  <c:v>0.5</c:v>
                </c:pt>
                <c:pt idx="1">
                  <c:v>0.5</c:v>
                </c:pt>
                <c:pt idx="2">
                  <c:v>0.5</c:v>
                </c:pt>
                <c:pt idx="3">
                  <c:v>0.5</c:v>
                </c:pt>
                <c:pt idx="4">
                  <c:v>0.5</c:v>
                </c:pt>
              </c:numCache>
            </c:numRef>
          </c:xVal>
          <c:yVal>
            <c:numRef>
              <c:f>Symbole!$U$61:$Y$61</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3"/>
          <c:order val="73"/>
          <c:tx>
            <c:v>LagerR13</c:v>
          </c:tx>
          <c:spPr>
            <a:ln w="12700">
              <a:solidFill>
                <a:srgbClr val="808080"/>
              </a:solidFill>
              <a:prstDash val="solid"/>
            </a:ln>
          </c:spPr>
          <c:marker>
            <c:symbol val="none"/>
          </c:marker>
          <c:xVal>
            <c:numRef>
              <c:f>Symbole!$P$62:$T$62</c:f>
              <c:numCache>
                <c:formatCode>General</c:formatCode>
                <c:ptCount val="5"/>
                <c:pt idx="0">
                  <c:v>0.5</c:v>
                </c:pt>
                <c:pt idx="1">
                  <c:v>0.5</c:v>
                </c:pt>
                <c:pt idx="2">
                  <c:v>0.5</c:v>
                </c:pt>
                <c:pt idx="3">
                  <c:v>0.5</c:v>
                </c:pt>
                <c:pt idx="4">
                  <c:v>0.5</c:v>
                </c:pt>
              </c:numCache>
            </c:numRef>
          </c:xVal>
          <c:yVal>
            <c:numRef>
              <c:f>Symbole!$U$62:$Y$62</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4"/>
          <c:order val="74"/>
          <c:tx>
            <c:v>LagerR14</c:v>
          </c:tx>
          <c:spPr>
            <a:ln w="12700">
              <a:solidFill>
                <a:srgbClr val="808080"/>
              </a:solidFill>
              <a:prstDash val="solid"/>
            </a:ln>
          </c:spPr>
          <c:marker>
            <c:symbol val="none"/>
          </c:marker>
          <c:xVal>
            <c:numRef>
              <c:f>Symbole!$P$63:$T$63</c:f>
              <c:numCache>
                <c:formatCode>General</c:formatCode>
                <c:ptCount val="5"/>
                <c:pt idx="0">
                  <c:v>0.5</c:v>
                </c:pt>
                <c:pt idx="1">
                  <c:v>0.5</c:v>
                </c:pt>
                <c:pt idx="2">
                  <c:v>0.5</c:v>
                </c:pt>
                <c:pt idx="3">
                  <c:v>0.5</c:v>
                </c:pt>
                <c:pt idx="4">
                  <c:v>0.5</c:v>
                </c:pt>
              </c:numCache>
            </c:numRef>
          </c:xVal>
          <c:yVal>
            <c:numRef>
              <c:f>Symbole!$U$63:$Y$63</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5"/>
          <c:order val="75"/>
          <c:tx>
            <c:v>LagerR15</c:v>
          </c:tx>
          <c:spPr>
            <a:ln w="12700">
              <a:solidFill>
                <a:srgbClr val="808080"/>
              </a:solidFill>
              <a:prstDash val="solid"/>
            </a:ln>
          </c:spPr>
          <c:marker>
            <c:symbol val="none"/>
          </c:marker>
          <c:xVal>
            <c:numRef>
              <c:f>Symbole!$P$64:$T$64</c:f>
              <c:numCache>
                <c:formatCode>General</c:formatCode>
                <c:ptCount val="5"/>
                <c:pt idx="0">
                  <c:v>0.5</c:v>
                </c:pt>
                <c:pt idx="1">
                  <c:v>0.5</c:v>
                </c:pt>
                <c:pt idx="2">
                  <c:v>0.5</c:v>
                </c:pt>
                <c:pt idx="3">
                  <c:v>0.5</c:v>
                </c:pt>
                <c:pt idx="4">
                  <c:v>0.5</c:v>
                </c:pt>
              </c:numCache>
            </c:numRef>
          </c:xVal>
          <c:yVal>
            <c:numRef>
              <c:f>Symbole!$U$64:$Y$64</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6"/>
          <c:order val="76"/>
          <c:tx>
            <c:v>LagerR16</c:v>
          </c:tx>
          <c:spPr>
            <a:ln w="12700">
              <a:solidFill>
                <a:srgbClr val="808080"/>
              </a:solidFill>
              <a:prstDash val="solid"/>
            </a:ln>
          </c:spPr>
          <c:marker>
            <c:symbol val="none"/>
          </c:marker>
          <c:xVal>
            <c:numRef>
              <c:f>Symbole!$P$65:$T$65</c:f>
              <c:numCache>
                <c:formatCode>General</c:formatCode>
                <c:ptCount val="5"/>
                <c:pt idx="0">
                  <c:v>0.5</c:v>
                </c:pt>
                <c:pt idx="1">
                  <c:v>0.5</c:v>
                </c:pt>
                <c:pt idx="2">
                  <c:v>0.5</c:v>
                </c:pt>
                <c:pt idx="3">
                  <c:v>0.5</c:v>
                </c:pt>
                <c:pt idx="4">
                  <c:v>0.5</c:v>
                </c:pt>
              </c:numCache>
            </c:numRef>
          </c:xVal>
          <c:yVal>
            <c:numRef>
              <c:f>Symbole!$U$65:$Y$65</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7"/>
          <c:order val="77"/>
          <c:tx>
            <c:v>LagerR17</c:v>
          </c:tx>
          <c:spPr>
            <a:ln w="12700">
              <a:solidFill>
                <a:srgbClr val="808080"/>
              </a:solidFill>
              <a:prstDash val="solid"/>
            </a:ln>
          </c:spPr>
          <c:marker>
            <c:symbol val="none"/>
          </c:marker>
          <c:xVal>
            <c:numRef>
              <c:f>Symbole!$P$66:$T$66</c:f>
              <c:numCache>
                <c:formatCode>General</c:formatCode>
                <c:ptCount val="5"/>
                <c:pt idx="0">
                  <c:v>0.5</c:v>
                </c:pt>
                <c:pt idx="1">
                  <c:v>0.5</c:v>
                </c:pt>
                <c:pt idx="2">
                  <c:v>0.5</c:v>
                </c:pt>
                <c:pt idx="3">
                  <c:v>0.5</c:v>
                </c:pt>
                <c:pt idx="4">
                  <c:v>0.5</c:v>
                </c:pt>
              </c:numCache>
            </c:numRef>
          </c:xVal>
          <c:yVal>
            <c:numRef>
              <c:f>Symbole!$U$66:$Y$66</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8"/>
          <c:order val="78"/>
          <c:tx>
            <c:v>LagerR18</c:v>
          </c:tx>
          <c:spPr>
            <a:ln w="12700">
              <a:solidFill>
                <a:srgbClr val="808080"/>
              </a:solidFill>
              <a:prstDash val="solid"/>
            </a:ln>
          </c:spPr>
          <c:marker>
            <c:symbol val="none"/>
          </c:marker>
          <c:xVal>
            <c:numRef>
              <c:f>Symbole!$P$67:$T$67</c:f>
              <c:numCache>
                <c:formatCode>General</c:formatCode>
                <c:ptCount val="5"/>
                <c:pt idx="0">
                  <c:v>0.5</c:v>
                </c:pt>
                <c:pt idx="1">
                  <c:v>0.5</c:v>
                </c:pt>
                <c:pt idx="2">
                  <c:v>0.5</c:v>
                </c:pt>
                <c:pt idx="3">
                  <c:v>0.5</c:v>
                </c:pt>
                <c:pt idx="4">
                  <c:v>0.5</c:v>
                </c:pt>
              </c:numCache>
            </c:numRef>
          </c:xVal>
          <c:yVal>
            <c:numRef>
              <c:f>Symbole!$U$67:$Y$67</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79"/>
          <c:order val="79"/>
          <c:tx>
            <c:v>LagerR19</c:v>
          </c:tx>
          <c:spPr>
            <a:ln w="12700">
              <a:solidFill>
                <a:srgbClr val="808080"/>
              </a:solidFill>
              <a:prstDash val="solid"/>
            </a:ln>
          </c:spPr>
          <c:marker>
            <c:symbol val="none"/>
          </c:marker>
          <c:xVal>
            <c:numRef>
              <c:f>Symbole!$P$68:$T$68</c:f>
              <c:numCache>
                <c:formatCode>General</c:formatCode>
                <c:ptCount val="5"/>
                <c:pt idx="0">
                  <c:v>0.5</c:v>
                </c:pt>
                <c:pt idx="1">
                  <c:v>0.5</c:v>
                </c:pt>
                <c:pt idx="2">
                  <c:v>0.5</c:v>
                </c:pt>
                <c:pt idx="3">
                  <c:v>0.5</c:v>
                </c:pt>
                <c:pt idx="4">
                  <c:v>0.5</c:v>
                </c:pt>
              </c:numCache>
            </c:numRef>
          </c:xVal>
          <c:yVal>
            <c:numRef>
              <c:f>Symbole!$U$68:$Y$68</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ser>
          <c:idx val="80"/>
          <c:order val="80"/>
          <c:tx>
            <c:v>LagerR20</c:v>
          </c:tx>
          <c:spPr>
            <a:ln w="12700">
              <a:solidFill>
                <a:srgbClr val="808080"/>
              </a:solidFill>
              <a:prstDash val="solid"/>
            </a:ln>
          </c:spPr>
          <c:marker>
            <c:symbol val="none"/>
          </c:marker>
          <c:xVal>
            <c:numRef>
              <c:f>Symbole!$P$69:$T$69</c:f>
              <c:numCache>
                <c:formatCode>General</c:formatCode>
                <c:ptCount val="5"/>
                <c:pt idx="0">
                  <c:v>0.5</c:v>
                </c:pt>
                <c:pt idx="1">
                  <c:v>0.5</c:v>
                </c:pt>
                <c:pt idx="2">
                  <c:v>0.5</c:v>
                </c:pt>
                <c:pt idx="3">
                  <c:v>0.5</c:v>
                </c:pt>
                <c:pt idx="4">
                  <c:v>0.5</c:v>
                </c:pt>
              </c:numCache>
            </c:numRef>
          </c:xVal>
          <c:yVal>
            <c:numRef>
              <c:f>Symbole!$U$69:$Y$69</c:f>
              <c:numCache>
                <c:formatCode>General</c:formatCode>
                <c:ptCount val="5"/>
                <c:pt idx="0">
                  <c:v>0.47499999999999998</c:v>
                </c:pt>
                <c:pt idx="1">
                  <c:v>0.47499999999999998</c:v>
                </c:pt>
                <c:pt idx="2">
                  <c:v>0.47499999999999998</c:v>
                </c:pt>
                <c:pt idx="3">
                  <c:v>0.47499999999999998</c:v>
                </c:pt>
                <c:pt idx="4">
                  <c:v>0.47499999999999998</c:v>
                </c:pt>
              </c:numCache>
            </c:numRef>
          </c:yVal>
          <c:smooth val="0"/>
        </c:ser>
        <c:dLbls>
          <c:showLegendKey val="0"/>
          <c:showVal val="0"/>
          <c:showCatName val="0"/>
          <c:showSerName val="0"/>
          <c:showPercent val="0"/>
          <c:showBubbleSize val="0"/>
        </c:dLbls>
        <c:axId val="369287608"/>
        <c:axId val="369289960"/>
      </c:scatterChart>
      <c:valAx>
        <c:axId val="369287608"/>
        <c:scaling>
          <c:orientation val="minMax"/>
        </c:scaling>
        <c:delete val="1"/>
        <c:axPos val="b"/>
        <c:numFmt formatCode="General" sourceLinked="1"/>
        <c:majorTickMark val="out"/>
        <c:minorTickMark val="none"/>
        <c:tickLblPos val="nextTo"/>
        <c:crossAx val="369289960"/>
        <c:crosses val="max"/>
        <c:crossBetween val="midCat"/>
        <c:majorUnit val="1.0000000000000002E-2"/>
      </c:valAx>
      <c:valAx>
        <c:axId val="369289960"/>
        <c:scaling>
          <c:orientation val="maxMin"/>
        </c:scaling>
        <c:delete val="1"/>
        <c:axPos val="r"/>
        <c:numFmt formatCode="General" sourceLinked="1"/>
        <c:majorTickMark val="out"/>
        <c:minorTickMark val="none"/>
        <c:tickLblPos val="nextTo"/>
        <c:crossAx val="369287608"/>
        <c:crosses val="max"/>
        <c:crossBetween val="midCat"/>
        <c:majorUnit val="1.0000000000000002E-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2288971371766539E-2"/>
          <c:y val="3.1758814591681471E-2"/>
          <c:w val="0.95945446873636708"/>
          <c:h val="0.93484114366706383"/>
        </c:manualLayout>
      </c:layout>
      <c:scatterChart>
        <c:scatterStyle val="lineMarker"/>
        <c:varyColors val="0"/>
        <c:ser>
          <c:idx val="0"/>
          <c:order val="0"/>
          <c:tx>
            <c:v>Moment1</c:v>
          </c:tx>
          <c:spPr>
            <a:ln w="25400">
              <a:solidFill>
                <a:srgbClr val="000080"/>
              </a:solidFill>
              <a:prstDash val="solid"/>
            </a:ln>
          </c:spPr>
          <c:marker>
            <c:symbol val="none"/>
          </c:marker>
          <c:dPt>
            <c:idx val="12"/>
            <c:bubble3D val="0"/>
            <c:spPr>
              <a:ln w="44450">
                <a:solidFill>
                  <a:srgbClr val="000080"/>
                </a:solidFill>
                <a:prstDash val="solid"/>
              </a:ln>
            </c:spPr>
          </c:dPt>
          <c:xVal>
            <c:numRef>
              <c:f>EleData!$CN$6:$DA$6</c:f>
              <c:numCache>
                <c:formatCode>General</c:formatCode>
                <c:ptCount val="14"/>
                <c:pt idx="0">
                  <c:v>-2.6298300192404243E-16</c:v>
                </c:pt>
                <c:pt idx="1">
                  <c:v>7.6631020446088563E-2</c:v>
                </c:pt>
                <c:pt idx="2">
                  <c:v>0.15326204089217738</c:v>
                </c:pt>
                <c:pt idx="3">
                  <c:v>0.2298930613382662</c:v>
                </c:pt>
                <c:pt idx="4">
                  <c:v>0.30652408178435503</c:v>
                </c:pt>
                <c:pt idx="5">
                  <c:v>0.3831551022304438</c:v>
                </c:pt>
                <c:pt idx="6">
                  <c:v>0.45978612267653263</c:v>
                </c:pt>
                <c:pt idx="7">
                  <c:v>0.53641714312262145</c:v>
                </c:pt>
                <c:pt idx="8">
                  <c:v>0.61304816356871039</c:v>
                </c:pt>
                <c:pt idx="9">
                  <c:v>0.68967918401479911</c:v>
                </c:pt>
                <c:pt idx="10">
                  <c:v>0.76631020446088793</c:v>
                </c:pt>
                <c:pt idx="11">
                  <c:v>0.5</c:v>
                </c:pt>
                <c:pt idx="12">
                  <c:v>0</c:v>
                </c:pt>
                <c:pt idx="13">
                  <c:v>-2.6298300192404243E-16</c:v>
                </c:pt>
              </c:numCache>
            </c:numRef>
          </c:xVal>
          <c:yVal>
            <c:numRef>
              <c:f>EleData!$CN$7:$DA$7</c:f>
              <c:numCache>
                <c:formatCode>General</c:formatCode>
                <c:ptCount val="14"/>
                <c:pt idx="0">
                  <c:v>0.74999999999999978</c:v>
                </c:pt>
                <c:pt idx="1">
                  <c:v>0.72663102044608863</c:v>
                </c:pt>
                <c:pt idx="2">
                  <c:v>0.70326204089217748</c:v>
                </c:pt>
                <c:pt idx="3">
                  <c:v>0.6798930613382661</c:v>
                </c:pt>
                <c:pt idx="4">
                  <c:v>0.65652408178435495</c:v>
                </c:pt>
                <c:pt idx="5">
                  <c:v>0.6331551022304438</c:v>
                </c:pt>
                <c:pt idx="6">
                  <c:v>0.60978612267653276</c:v>
                </c:pt>
                <c:pt idx="7">
                  <c:v>0.5864171431226215</c:v>
                </c:pt>
                <c:pt idx="8">
                  <c:v>0.56304816356871035</c:v>
                </c:pt>
                <c:pt idx="9">
                  <c:v>0.53967918401479908</c:v>
                </c:pt>
                <c:pt idx="10">
                  <c:v>0.51631020446088793</c:v>
                </c:pt>
                <c:pt idx="11">
                  <c:v>0.25</c:v>
                </c:pt>
                <c:pt idx="12">
                  <c:v>0.75</c:v>
                </c:pt>
                <c:pt idx="13">
                  <c:v>0.74999999999999978</c:v>
                </c:pt>
              </c:numCache>
            </c:numRef>
          </c:yVal>
          <c:smooth val="0"/>
        </c:ser>
        <c:ser>
          <c:idx val="1"/>
          <c:order val="1"/>
          <c:tx>
            <c:v>Moment2</c:v>
          </c:tx>
          <c:spPr>
            <a:ln w="25400">
              <a:solidFill>
                <a:srgbClr val="000080"/>
              </a:solidFill>
              <a:prstDash val="solid"/>
            </a:ln>
          </c:spPr>
          <c:marker>
            <c:symbol val="none"/>
          </c:marker>
          <c:dPt>
            <c:idx val="12"/>
            <c:bubble3D val="0"/>
            <c:spPr>
              <a:ln w="44450">
                <a:solidFill>
                  <a:srgbClr val="000080"/>
                </a:solidFill>
                <a:prstDash val="solid"/>
              </a:ln>
            </c:spPr>
          </c:dPt>
          <c:xVal>
            <c:numRef>
              <c:f>EleData!$CN$12:$DA$12</c:f>
              <c:numCache>
                <c:formatCode>General</c:formatCode>
                <c:ptCount val="14"/>
                <c:pt idx="0">
                  <c:v>0.5</c:v>
                </c:pt>
                <c:pt idx="1">
                  <c:v>0.55000000000000004</c:v>
                </c:pt>
                <c:pt idx="2">
                  <c:v>0.60000000000000009</c:v>
                </c:pt>
                <c:pt idx="3">
                  <c:v>0.64999999999999991</c:v>
                </c:pt>
                <c:pt idx="4">
                  <c:v>0.7</c:v>
                </c:pt>
                <c:pt idx="5">
                  <c:v>0.75</c:v>
                </c:pt>
                <c:pt idx="6">
                  <c:v>0.8</c:v>
                </c:pt>
                <c:pt idx="7">
                  <c:v>0.85</c:v>
                </c:pt>
                <c:pt idx="8">
                  <c:v>0.9</c:v>
                </c:pt>
                <c:pt idx="9">
                  <c:v>0.95</c:v>
                </c:pt>
                <c:pt idx="10">
                  <c:v>1</c:v>
                </c:pt>
                <c:pt idx="11">
                  <c:v>1</c:v>
                </c:pt>
                <c:pt idx="12">
                  <c:v>0.5</c:v>
                </c:pt>
                <c:pt idx="13">
                  <c:v>0.5</c:v>
                </c:pt>
              </c:numCache>
            </c:numRef>
          </c:xVal>
          <c:yVal>
            <c:numRef>
              <c:f>EleData!$CN$13:$DA$13</c:f>
              <c:numCache>
                <c:formatCode>General</c:formatCode>
                <c:ptCount val="14"/>
                <c:pt idx="0">
                  <c:v>0.6266195029469398</c:v>
                </c:pt>
                <c:pt idx="1">
                  <c:v>0.62442713136813177</c:v>
                </c:pt>
                <c:pt idx="2">
                  <c:v>0.61435263118579364</c:v>
                </c:pt>
                <c:pt idx="3">
                  <c:v>0.59639600239992507</c:v>
                </c:pt>
                <c:pt idx="4">
                  <c:v>0.5705572450105264</c:v>
                </c:pt>
                <c:pt idx="5">
                  <c:v>0.53683635901759752</c:v>
                </c:pt>
                <c:pt idx="6">
                  <c:v>0.49523334442113848</c:v>
                </c:pt>
                <c:pt idx="7">
                  <c:v>0.44574820122114917</c:v>
                </c:pt>
                <c:pt idx="8">
                  <c:v>0.38838092941762958</c:v>
                </c:pt>
                <c:pt idx="9">
                  <c:v>0.3231315290105799</c:v>
                </c:pt>
                <c:pt idx="10">
                  <c:v>0.24999999999999994</c:v>
                </c:pt>
                <c:pt idx="11">
                  <c:v>0.25</c:v>
                </c:pt>
                <c:pt idx="12">
                  <c:v>0.25</c:v>
                </c:pt>
                <c:pt idx="13">
                  <c:v>0.6266195029469398</c:v>
                </c:pt>
              </c:numCache>
            </c:numRef>
          </c:yVal>
          <c:smooth val="0"/>
        </c:ser>
        <c:ser>
          <c:idx val="2"/>
          <c:order val="2"/>
          <c:tx>
            <c:v>Moment3</c:v>
          </c:tx>
          <c:spPr>
            <a:ln w="25400">
              <a:solidFill>
                <a:srgbClr val="000080"/>
              </a:solidFill>
              <a:prstDash val="solid"/>
            </a:ln>
          </c:spPr>
          <c:marker>
            <c:symbol val="none"/>
          </c:marker>
          <c:dPt>
            <c:idx val="12"/>
            <c:bubble3D val="0"/>
            <c:spPr>
              <a:ln w="44450">
                <a:solidFill>
                  <a:srgbClr val="000080"/>
                </a:solidFill>
                <a:prstDash val="solid"/>
              </a:ln>
            </c:spPr>
          </c:dPt>
          <c:xVal>
            <c:numRef>
              <c:f>EleData!$CN$18:$DA$18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EleData!$CN$19:$DA$19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3"/>
          <c:order val="3"/>
          <c:tx>
            <c:v>Moment4</c:v>
          </c:tx>
          <c:spPr>
            <a:ln w="25400">
              <a:solidFill>
                <a:srgbClr val="000080"/>
              </a:solidFill>
              <a:prstDash val="solid"/>
            </a:ln>
          </c:spPr>
          <c:marker>
            <c:symbol val="none"/>
          </c:marker>
          <c:dPt>
            <c:idx val="12"/>
            <c:bubble3D val="0"/>
            <c:spPr>
              <a:ln w="44450">
                <a:solidFill>
                  <a:srgbClr val="000080"/>
                </a:solidFill>
                <a:prstDash val="solid"/>
              </a:ln>
            </c:spPr>
          </c:dPt>
          <c:xVal>
            <c:numRef>
              <c:f>EleData!$CN$24:$DA$24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EleData!$CN$25:$DA$25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4"/>
          <c:order val="4"/>
          <c:tx>
            <c:v>Moment5</c:v>
          </c:tx>
          <c:spPr>
            <a:ln w="25400">
              <a:solidFill>
                <a:srgbClr val="000080"/>
              </a:solidFill>
              <a:prstDash val="solid"/>
            </a:ln>
          </c:spPr>
          <c:marker>
            <c:symbol val="none"/>
          </c:marker>
          <c:dPt>
            <c:idx val="12"/>
            <c:bubble3D val="0"/>
            <c:spPr>
              <a:ln w="44450">
                <a:solidFill>
                  <a:srgbClr val="000080"/>
                </a:solidFill>
                <a:prstDash val="solid"/>
              </a:ln>
            </c:spPr>
          </c:dPt>
          <c:xVal>
            <c:numRef>
              <c:f>EleData!$CN$30:$DA$30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EleData!$CN$31:$DA$31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5"/>
          <c:order val="5"/>
          <c:tx>
            <c:v>Moment6</c:v>
          </c:tx>
          <c:spPr>
            <a:ln w="25400">
              <a:solidFill>
                <a:srgbClr val="000080"/>
              </a:solidFill>
              <a:prstDash val="solid"/>
            </a:ln>
          </c:spPr>
          <c:marker>
            <c:symbol val="none"/>
          </c:marker>
          <c:dPt>
            <c:idx val="12"/>
            <c:bubble3D val="0"/>
            <c:spPr>
              <a:ln w="44450">
                <a:solidFill>
                  <a:srgbClr val="000080"/>
                </a:solidFill>
                <a:prstDash val="solid"/>
              </a:ln>
            </c:spPr>
          </c:dPt>
          <c:xVal>
            <c:numRef>
              <c:f>EleData!$CN$36:$DA$36</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EleData!$CN$37:$DA$37</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6"/>
          <c:order val="6"/>
          <c:tx>
            <c:v>Moment7</c:v>
          </c:tx>
          <c:spPr>
            <a:ln w="25400">
              <a:solidFill>
                <a:srgbClr val="000080"/>
              </a:solidFill>
              <a:prstDash val="solid"/>
            </a:ln>
          </c:spPr>
          <c:marker>
            <c:symbol val="none"/>
          </c:marker>
          <c:dPt>
            <c:idx val="12"/>
            <c:bubble3D val="0"/>
            <c:spPr>
              <a:ln w="44450">
                <a:solidFill>
                  <a:srgbClr val="000080"/>
                </a:solidFill>
                <a:prstDash val="solid"/>
              </a:ln>
            </c:spPr>
          </c:dPt>
          <c:xVal>
            <c:numRef>
              <c:f>EleData!$CN$42:$DA$42</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EleData!$CN$43:$DA$43</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7"/>
          <c:order val="7"/>
          <c:tx>
            <c:v>Moment8</c:v>
          </c:tx>
          <c:spPr>
            <a:ln w="25400">
              <a:solidFill>
                <a:srgbClr val="000080"/>
              </a:solidFill>
              <a:prstDash val="solid"/>
            </a:ln>
          </c:spPr>
          <c:marker>
            <c:symbol val="none"/>
          </c:marker>
          <c:dPt>
            <c:idx val="12"/>
            <c:bubble3D val="0"/>
            <c:spPr>
              <a:ln w="44450">
                <a:solidFill>
                  <a:srgbClr val="000080"/>
                </a:solidFill>
                <a:prstDash val="solid"/>
              </a:ln>
            </c:spPr>
          </c:dPt>
          <c:xVal>
            <c:numRef>
              <c:f>EleData!$CN$48:$DA$48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EleData!$CN$49:$DA$49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8"/>
          <c:order val="8"/>
          <c:tx>
            <c:v>Moment9</c:v>
          </c:tx>
          <c:spPr>
            <a:ln w="25400">
              <a:solidFill>
                <a:srgbClr val="000080"/>
              </a:solidFill>
              <a:prstDash val="solid"/>
            </a:ln>
          </c:spPr>
          <c:marker>
            <c:symbol val="none"/>
          </c:marker>
          <c:dPt>
            <c:idx val="12"/>
            <c:bubble3D val="0"/>
            <c:spPr>
              <a:ln w="44450">
                <a:solidFill>
                  <a:srgbClr val="000080"/>
                </a:solidFill>
                <a:prstDash val="solid"/>
              </a:ln>
            </c:spPr>
          </c:dPt>
          <c:xVal>
            <c:numRef>
              <c:f>EleData!$CN$54:$DA$54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EleData!$CN$55:$DA$55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9"/>
          <c:order val="9"/>
          <c:tx>
            <c:v>Moment10</c:v>
          </c:tx>
          <c:spPr>
            <a:ln w="25400">
              <a:solidFill>
                <a:srgbClr val="000080"/>
              </a:solidFill>
              <a:prstDash val="solid"/>
            </a:ln>
          </c:spPr>
          <c:marker>
            <c:symbol val="none"/>
          </c:marker>
          <c:dPt>
            <c:idx val="12"/>
            <c:bubble3D val="0"/>
            <c:spPr>
              <a:ln w="44450">
                <a:solidFill>
                  <a:srgbClr val="000080"/>
                </a:solidFill>
                <a:prstDash val="solid"/>
              </a:ln>
            </c:spPr>
          </c:dPt>
          <c:xVal>
            <c:numRef>
              <c:f>EleData!$CN$60:$DA$60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EleData!$CN$61:$DA$61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0"/>
          <c:order val="10"/>
          <c:tx>
            <c:v>Moment11</c:v>
          </c:tx>
          <c:spPr>
            <a:ln w="25400">
              <a:solidFill>
                <a:srgbClr val="000080"/>
              </a:solidFill>
              <a:prstDash val="solid"/>
            </a:ln>
          </c:spPr>
          <c:marker>
            <c:symbol val="none"/>
          </c:marker>
          <c:dPt>
            <c:idx val="12"/>
            <c:bubble3D val="0"/>
            <c:spPr>
              <a:ln w="44450">
                <a:solidFill>
                  <a:srgbClr val="000080"/>
                </a:solidFill>
                <a:prstDash val="solid"/>
              </a:ln>
            </c:spPr>
          </c:dPt>
          <c:xVal>
            <c:numRef>
              <c:f>EleData!$CN$66:$DA$66</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EleData!$CN$67:$DA$67</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1"/>
          <c:order val="11"/>
          <c:tx>
            <c:v>Moment12</c:v>
          </c:tx>
          <c:spPr>
            <a:ln w="25400">
              <a:solidFill>
                <a:srgbClr val="000080"/>
              </a:solidFill>
              <a:prstDash val="solid"/>
            </a:ln>
          </c:spPr>
          <c:marker>
            <c:symbol val="none"/>
          </c:marker>
          <c:dPt>
            <c:idx val="12"/>
            <c:bubble3D val="0"/>
            <c:spPr>
              <a:ln w="44450">
                <a:solidFill>
                  <a:srgbClr val="000080"/>
                </a:solidFill>
                <a:prstDash val="solid"/>
              </a:ln>
            </c:spPr>
          </c:dPt>
          <c:xVal>
            <c:numRef>
              <c:f>EleData!$CN$72:$DA$72</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EleData!$CN$73:$DA$73</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2"/>
          <c:order val="12"/>
          <c:tx>
            <c:v>Moment13</c:v>
          </c:tx>
          <c:spPr>
            <a:ln w="25400">
              <a:solidFill>
                <a:srgbClr val="000080"/>
              </a:solidFill>
              <a:prstDash val="solid"/>
            </a:ln>
          </c:spPr>
          <c:marker>
            <c:symbol val="none"/>
          </c:marker>
          <c:dPt>
            <c:idx val="12"/>
            <c:bubble3D val="0"/>
            <c:spPr>
              <a:ln w="44450">
                <a:solidFill>
                  <a:srgbClr val="000080"/>
                </a:solidFill>
                <a:prstDash val="solid"/>
              </a:ln>
            </c:spPr>
          </c:dPt>
          <c:xVal>
            <c:numRef>
              <c:f>EleData!$CN$78:$DA$78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EleData!$CN$79:$DA$79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3"/>
          <c:order val="13"/>
          <c:tx>
            <c:v>Moment14</c:v>
          </c:tx>
          <c:spPr>
            <a:ln w="25400">
              <a:solidFill>
                <a:srgbClr val="000080"/>
              </a:solidFill>
              <a:prstDash val="solid"/>
            </a:ln>
          </c:spPr>
          <c:marker>
            <c:symbol val="none"/>
          </c:marker>
          <c:dPt>
            <c:idx val="12"/>
            <c:bubble3D val="0"/>
            <c:spPr>
              <a:ln w="44450">
                <a:solidFill>
                  <a:srgbClr val="000080"/>
                </a:solidFill>
                <a:prstDash val="solid"/>
              </a:ln>
            </c:spPr>
          </c:dPt>
          <c:xVal>
            <c:numRef>
              <c:f>EleData!$CN$84:$DA$84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EleData!$CN$85:$DA$85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4"/>
          <c:order val="14"/>
          <c:tx>
            <c:v>Moment15</c:v>
          </c:tx>
          <c:spPr>
            <a:ln w="25400">
              <a:solidFill>
                <a:srgbClr val="000080"/>
              </a:solidFill>
              <a:prstDash val="solid"/>
            </a:ln>
          </c:spPr>
          <c:marker>
            <c:symbol val="none"/>
          </c:marker>
          <c:dPt>
            <c:idx val="12"/>
            <c:bubble3D val="0"/>
            <c:spPr>
              <a:ln w="44450">
                <a:solidFill>
                  <a:srgbClr val="000080"/>
                </a:solidFill>
                <a:prstDash val="solid"/>
              </a:ln>
            </c:spPr>
          </c:dPt>
          <c:xVal>
            <c:numRef>
              <c:f>EleData!$CN$90:$DA$90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EleData!$CN$91:$DA$91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5"/>
          <c:order val="15"/>
          <c:tx>
            <c:v>Moment16</c:v>
          </c:tx>
          <c:spPr>
            <a:ln w="25400">
              <a:solidFill>
                <a:srgbClr val="000080"/>
              </a:solidFill>
              <a:prstDash val="solid"/>
            </a:ln>
          </c:spPr>
          <c:marker>
            <c:symbol val="none"/>
          </c:marker>
          <c:dPt>
            <c:idx val="12"/>
            <c:bubble3D val="0"/>
            <c:spPr>
              <a:ln w="44450">
                <a:solidFill>
                  <a:srgbClr val="000080"/>
                </a:solidFill>
                <a:prstDash val="solid"/>
              </a:ln>
            </c:spPr>
          </c:dPt>
          <c:xVal>
            <c:numRef>
              <c:f>EleData!$CN$96:$DA$96</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EleData!$CN$97:$DA$97</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6"/>
          <c:order val="16"/>
          <c:tx>
            <c:v>Moment17</c:v>
          </c:tx>
          <c:spPr>
            <a:ln w="25400">
              <a:solidFill>
                <a:srgbClr val="000080"/>
              </a:solidFill>
              <a:prstDash val="solid"/>
            </a:ln>
          </c:spPr>
          <c:marker>
            <c:symbol val="none"/>
          </c:marker>
          <c:dPt>
            <c:idx val="12"/>
            <c:bubble3D val="0"/>
            <c:spPr>
              <a:ln w="44450">
                <a:solidFill>
                  <a:srgbClr val="000080"/>
                </a:solidFill>
                <a:prstDash val="solid"/>
              </a:ln>
            </c:spPr>
          </c:dPt>
          <c:xVal>
            <c:numRef>
              <c:f>EleData!$CN$102:$DA$102</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EleData!$CN$103:$DA$103</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7"/>
          <c:order val="17"/>
          <c:tx>
            <c:v>Moment18</c:v>
          </c:tx>
          <c:spPr>
            <a:ln w="25400">
              <a:solidFill>
                <a:srgbClr val="000080"/>
              </a:solidFill>
              <a:prstDash val="solid"/>
            </a:ln>
          </c:spPr>
          <c:marker>
            <c:symbol val="none"/>
          </c:marker>
          <c:dPt>
            <c:idx val="12"/>
            <c:bubble3D val="0"/>
            <c:spPr>
              <a:ln w="44450">
                <a:solidFill>
                  <a:srgbClr val="000080"/>
                </a:solidFill>
                <a:prstDash val="solid"/>
              </a:ln>
            </c:spPr>
          </c:dPt>
          <c:xVal>
            <c:numRef>
              <c:f>EleData!$CN$108:$DA$108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EleData!$CN$109:$DA$109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8"/>
          <c:order val="18"/>
          <c:tx>
            <c:v>Moment19</c:v>
          </c:tx>
          <c:spPr>
            <a:ln w="25400">
              <a:solidFill>
                <a:srgbClr val="000080"/>
              </a:solidFill>
              <a:prstDash val="solid"/>
            </a:ln>
          </c:spPr>
          <c:marker>
            <c:symbol val="none"/>
          </c:marker>
          <c:dPt>
            <c:idx val="12"/>
            <c:bubble3D val="0"/>
            <c:spPr>
              <a:ln w="44450">
                <a:solidFill>
                  <a:srgbClr val="000080"/>
                </a:solidFill>
                <a:prstDash val="solid"/>
              </a:ln>
            </c:spPr>
          </c:dPt>
          <c:xVal>
            <c:numRef>
              <c:f>EleData!$CN$114:$DA$114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EleData!$CN$115:$DA$115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9"/>
          <c:order val="19"/>
          <c:tx>
            <c:v>Moment20</c:v>
          </c:tx>
          <c:spPr>
            <a:ln w="25400">
              <a:solidFill>
                <a:srgbClr val="000080"/>
              </a:solidFill>
              <a:prstDash val="solid"/>
            </a:ln>
          </c:spPr>
          <c:marker>
            <c:symbol val="none"/>
          </c:marker>
          <c:dPt>
            <c:idx val="12"/>
            <c:bubble3D val="0"/>
            <c:spPr>
              <a:ln w="44450">
                <a:solidFill>
                  <a:srgbClr val="000080"/>
                </a:solidFill>
                <a:prstDash val="solid"/>
              </a:ln>
            </c:spPr>
          </c:dPt>
          <c:xVal>
            <c:numRef>
              <c:f>EleData!$CN$120:$DA$120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EleData!$CN$121:$DA$121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20"/>
          <c:order val="20"/>
          <c:tx>
            <c:v>BoundingBox21</c:v>
          </c:tx>
          <c:spPr>
            <a:ln w="12700">
              <a:solidFill>
                <a:srgbClr val="C0C0C0"/>
              </a:solidFill>
              <a:prstDash val="solid"/>
            </a:ln>
          </c:spPr>
          <c:marker>
            <c:symbol val="none"/>
          </c:marker>
          <c:xVal>
            <c:numRef>
              <c:f>KnotenData!$H$26:$H$29</c:f>
              <c:numCache>
                <c:formatCode>General</c:formatCode>
                <c:ptCount val="4"/>
                <c:pt idx="0">
                  <c:v>-5.9016994374947673E-2</c:v>
                </c:pt>
                <c:pt idx="1">
                  <c:v>1.0590169943749475</c:v>
                </c:pt>
                <c:pt idx="2">
                  <c:v>1.0590169943749475</c:v>
                </c:pt>
                <c:pt idx="3">
                  <c:v>-5.9016994374947673E-2</c:v>
                </c:pt>
              </c:numCache>
            </c:numRef>
          </c:xVal>
          <c:yVal>
            <c:numRef>
              <c:f>KnotenData!$I$26:$I$29</c:f>
              <c:numCache>
                <c:formatCode>General</c:formatCode>
                <c:ptCount val="4"/>
                <c:pt idx="0">
                  <c:v>1.0590169943749475</c:v>
                </c:pt>
                <c:pt idx="1">
                  <c:v>1.0590169943749475</c:v>
                </c:pt>
                <c:pt idx="2">
                  <c:v>-5.9016994374947562E-2</c:v>
                </c:pt>
                <c:pt idx="3">
                  <c:v>-5.9016994374947562E-2</c:v>
                </c:pt>
              </c:numCache>
            </c:numRef>
          </c:yVal>
          <c:smooth val="0"/>
        </c:ser>
        <c:dLbls>
          <c:showLegendKey val="0"/>
          <c:showVal val="0"/>
          <c:showCatName val="0"/>
          <c:showSerName val="0"/>
          <c:showPercent val="0"/>
          <c:showBubbleSize val="0"/>
        </c:dLbls>
        <c:axId val="369291920"/>
        <c:axId val="369288000"/>
      </c:scatterChart>
      <c:valAx>
        <c:axId val="369291920"/>
        <c:scaling>
          <c:orientation val="minMax"/>
        </c:scaling>
        <c:delete val="1"/>
        <c:axPos val="b"/>
        <c:numFmt formatCode="General" sourceLinked="1"/>
        <c:majorTickMark val="out"/>
        <c:minorTickMark val="none"/>
        <c:tickLblPos val="nextTo"/>
        <c:crossAx val="369288000"/>
        <c:crosses val="max"/>
        <c:crossBetween val="midCat"/>
        <c:majorUnit val="1.0000000000000002E-2"/>
      </c:valAx>
      <c:valAx>
        <c:axId val="369288000"/>
        <c:scaling>
          <c:orientation val="maxMin"/>
        </c:scaling>
        <c:delete val="1"/>
        <c:axPos val="r"/>
        <c:numFmt formatCode="General" sourceLinked="1"/>
        <c:majorTickMark val="out"/>
        <c:minorTickMark val="none"/>
        <c:tickLblPos val="nextTo"/>
        <c:crossAx val="369291920"/>
        <c:crosses val="max"/>
        <c:crossBetween val="midCat"/>
        <c:majorUnit val="1.0000000000000002E-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2288971371766539E-2"/>
          <c:y val="3.1758814591681471E-2"/>
          <c:w val="0.95945446873636708"/>
          <c:h val="0.93484114366706383"/>
        </c:manualLayout>
      </c:layout>
      <c:scatterChart>
        <c:scatterStyle val="lineMarker"/>
        <c:varyColors val="0"/>
        <c:ser>
          <c:idx val="0"/>
          <c:order val="0"/>
          <c:tx>
            <c:v>Querkraft1</c:v>
          </c:tx>
          <c:spPr>
            <a:ln w="25400">
              <a:solidFill>
                <a:srgbClr val="000080"/>
              </a:solidFill>
              <a:prstDash val="solid"/>
            </a:ln>
          </c:spPr>
          <c:marker>
            <c:symbol val="none"/>
          </c:marker>
          <c:dPt>
            <c:idx val="12"/>
            <c:bubble3D val="0"/>
            <c:spPr>
              <a:ln w="44450">
                <a:solidFill>
                  <a:srgbClr val="000080"/>
                </a:solidFill>
                <a:prstDash val="solid"/>
              </a:ln>
            </c:spPr>
          </c:dPt>
          <c:xVal>
            <c:numRef>
              <c:f>EleData!$DG$6:$DT$6</c:f>
              <c:numCache>
                <c:formatCode>General</c:formatCode>
                <c:ptCount val="14"/>
                <c:pt idx="0">
                  <c:v>4.600930236808333E-2</c:v>
                </c:pt>
                <c:pt idx="1">
                  <c:v>9.6009302368083332E-2</c:v>
                </c:pt>
                <c:pt idx="2">
                  <c:v>0.14600930236808335</c:v>
                </c:pt>
                <c:pt idx="3">
                  <c:v>0.19600930236808334</c:v>
                </c:pt>
                <c:pt idx="4">
                  <c:v>0.24600930236808333</c:v>
                </c:pt>
                <c:pt idx="5">
                  <c:v>0.29600930236808332</c:v>
                </c:pt>
                <c:pt idx="6">
                  <c:v>0.3460093023680833</c:v>
                </c:pt>
                <c:pt idx="7">
                  <c:v>0.39600930236808329</c:v>
                </c:pt>
                <c:pt idx="8">
                  <c:v>0.44600930236808334</c:v>
                </c:pt>
                <c:pt idx="9">
                  <c:v>0.49600930236808333</c:v>
                </c:pt>
                <c:pt idx="10">
                  <c:v>0.54600930236808332</c:v>
                </c:pt>
                <c:pt idx="11">
                  <c:v>0.5</c:v>
                </c:pt>
                <c:pt idx="12">
                  <c:v>0</c:v>
                </c:pt>
                <c:pt idx="13">
                  <c:v>4.600930236808333E-2</c:v>
                </c:pt>
              </c:numCache>
            </c:numRef>
          </c:xVal>
          <c:yVal>
            <c:numRef>
              <c:f>EleData!$DG$7:$DT$7</c:f>
              <c:numCache>
                <c:formatCode>General</c:formatCode>
                <c:ptCount val="14"/>
                <c:pt idx="0">
                  <c:v>0.79600930236808332</c:v>
                </c:pt>
                <c:pt idx="1">
                  <c:v>0.74600930236808338</c:v>
                </c:pt>
                <c:pt idx="2">
                  <c:v>0.69600930236808345</c:v>
                </c:pt>
                <c:pt idx="3">
                  <c:v>0.64600930236808318</c:v>
                </c:pt>
                <c:pt idx="4">
                  <c:v>0.59600930236808325</c:v>
                </c:pt>
                <c:pt idx="5">
                  <c:v>0.54600930236808332</c:v>
                </c:pt>
                <c:pt idx="6">
                  <c:v>0.49600930236808338</c:v>
                </c:pt>
                <c:pt idx="7">
                  <c:v>0.44600930236808334</c:v>
                </c:pt>
                <c:pt idx="8">
                  <c:v>0.39600930236808329</c:v>
                </c:pt>
                <c:pt idx="9">
                  <c:v>0.3460093023680833</c:v>
                </c:pt>
                <c:pt idx="10">
                  <c:v>0.29600930236808332</c:v>
                </c:pt>
                <c:pt idx="11">
                  <c:v>0.25</c:v>
                </c:pt>
                <c:pt idx="12">
                  <c:v>0.75</c:v>
                </c:pt>
                <c:pt idx="13">
                  <c:v>0.79600930236808332</c:v>
                </c:pt>
              </c:numCache>
            </c:numRef>
          </c:yVal>
          <c:smooth val="0"/>
        </c:ser>
        <c:ser>
          <c:idx val="1"/>
          <c:order val="1"/>
          <c:tx>
            <c:v>Querkraft2</c:v>
          </c:tx>
          <c:spPr>
            <a:ln w="25400">
              <a:solidFill>
                <a:srgbClr val="000080"/>
              </a:solidFill>
              <a:prstDash val="solid"/>
            </a:ln>
          </c:spPr>
          <c:marker>
            <c:symbol val="none"/>
          </c:marker>
          <c:dPt>
            <c:idx val="12"/>
            <c:bubble3D val="0"/>
            <c:spPr>
              <a:ln w="44450">
                <a:solidFill>
                  <a:srgbClr val="000080"/>
                </a:solidFill>
                <a:prstDash val="solid"/>
              </a:ln>
            </c:spPr>
          </c:dPt>
          <c:xVal>
            <c:numRef>
              <c:f>EleData!$DG$12:$DT$12</c:f>
              <c:numCache>
                <c:formatCode>General</c:formatCode>
                <c:ptCount val="14"/>
                <c:pt idx="0">
                  <c:v>0.5</c:v>
                </c:pt>
                <c:pt idx="1">
                  <c:v>0.55000000000000004</c:v>
                </c:pt>
                <c:pt idx="2">
                  <c:v>0.60000000000000009</c:v>
                </c:pt>
                <c:pt idx="3">
                  <c:v>0.64999999999999991</c:v>
                </c:pt>
                <c:pt idx="4">
                  <c:v>0.7</c:v>
                </c:pt>
                <c:pt idx="5">
                  <c:v>0.75</c:v>
                </c:pt>
                <c:pt idx="6">
                  <c:v>0.8</c:v>
                </c:pt>
                <c:pt idx="7">
                  <c:v>0.85</c:v>
                </c:pt>
                <c:pt idx="8">
                  <c:v>0.9</c:v>
                </c:pt>
                <c:pt idx="9">
                  <c:v>0.95</c:v>
                </c:pt>
                <c:pt idx="10">
                  <c:v>1</c:v>
                </c:pt>
                <c:pt idx="11">
                  <c:v>1</c:v>
                </c:pt>
                <c:pt idx="12">
                  <c:v>0.5</c:v>
                </c:pt>
                <c:pt idx="13">
                  <c:v>0.5</c:v>
                </c:pt>
              </c:numCache>
            </c:numRef>
          </c:xVal>
          <c:yVal>
            <c:numRef>
              <c:f>EleData!$DG$13:$DT$13</c:f>
              <c:numCache>
                <c:formatCode>General</c:formatCode>
                <c:ptCount val="14"/>
                <c:pt idx="0">
                  <c:v>0.25427254200113658</c:v>
                </c:pt>
                <c:pt idx="1">
                  <c:v>0.23501431265367595</c:v>
                </c:pt>
                <c:pt idx="2">
                  <c:v>0.21575608330621529</c:v>
                </c:pt>
                <c:pt idx="3">
                  <c:v>0.19649785395875463</c:v>
                </c:pt>
                <c:pt idx="4">
                  <c:v>0.177239624611294</c:v>
                </c:pt>
                <c:pt idx="5">
                  <c:v>0.15798139526383334</c:v>
                </c:pt>
                <c:pt idx="6">
                  <c:v>0.13872316591637268</c:v>
                </c:pt>
                <c:pt idx="7">
                  <c:v>0.11946493656891205</c:v>
                </c:pt>
                <c:pt idx="8">
                  <c:v>0.10020670722145136</c:v>
                </c:pt>
                <c:pt idx="9">
                  <c:v>8.0948477873990732E-2</c:v>
                </c:pt>
                <c:pt idx="10">
                  <c:v>6.1690248526530073E-2</c:v>
                </c:pt>
                <c:pt idx="11">
                  <c:v>0.25</c:v>
                </c:pt>
                <c:pt idx="12">
                  <c:v>0.25</c:v>
                </c:pt>
                <c:pt idx="13">
                  <c:v>0.25427254200113658</c:v>
                </c:pt>
              </c:numCache>
            </c:numRef>
          </c:yVal>
          <c:smooth val="0"/>
        </c:ser>
        <c:ser>
          <c:idx val="2"/>
          <c:order val="2"/>
          <c:tx>
            <c:v>Querkraft3</c:v>
          </c:tx>
          <c:spPr>
            <a:ln w="25400">
              <a:solidFill>
                <a:srgbClr val="000080"/>
              </a:solidFill>
              <a:prstDash val="solid"/>
            </a:ln>
          </c:spPr>
          <c:marker>
            <c:symbol val="none"/>
          </c:marker>
          <c:dPt>
            <c:idx val="12"/>
            <c:bubble3D val="0"/>
            <c:spPr>
              <a:ln w="44450">
                <a:solidFill>
                  <a:srgbClr val="000080"/>
                </a:solidFill>
                <a:prstDash val="solid"/>
              </a:ln>
            </c:spPr>
          </c:dPt>
          <c:xVal>
            <c:numRef>
              <c:f>EleData!$DG$18:$DT$18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EleData!$DG$19:$DT$19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3"/>
          <c:order val="3"/>
          <c:tx>
            <c:v>Querkraft4</c:v>
          </c:tx>
          <c:spPr>
            <a:ln w="25400">
              <a:solidFill>
                <a:srgbClr val="000080"/>
              </a:solidFill>
              <a:prstDash val="solid"/>
            </a:ln>
          </c:spPr>
          <c:marker>
            <c:symbol val="none"/>
          </c:marker>
          <c:dPt>
            <c:idx val="12"/>
            <c:bubble3D val="0"/>
            <c:spPr>
              <a:ln w="44450">
                <a:solidFill>
                  <a:srgbClr val="000080"/>
                </a:solidFill>
                <a:prstDash val="solid"/>
              </a:ln>
            </c:spPr>
          </c:dPt>
          <c:xVal>
            <c:numRef>
              <c:f>EleData!$DG$24:$DT$24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EleData!$DG$25:$DT$25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4"/>
          <c:order val="4"/>
          <c:tx>
            <c:v>Querkraft5</c:v>
          </c:tx>
          <c:spPr>
            <a:ln w="25400">
              <a:solidFill>
                <a:srgbClr val="000080"/>
              </a:solidFill>
              <a:prstDash val="solid"/>
            </a:ln>
          </c:spPr>
          <c:marker>
            <c:symbol val="none"/>
          </c:marker>
          <c:dPt>
            <c:idx val="12"/>
            <c:bubble3D val="0"/>
            <c:spPr>
              <a:ln w="44450">
                <a:solidFill>
                  <a:srgbClr val="000080"/>
                </a:solidFill>
                <a:prstDash val="solid"/>
              </a:ln>
            </c:spPr>
          </c:dPt>
          <c:xVal>
            <c:numRef>
              <c:f>EleData!$DG$30:$DT$30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EleData!$DG$31:$DT$31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5"/>
          <c:order val="5"/>
          <c:tx>
            <c:v>Querkraft6</c:v>
          </c:tx>
          <c:spPr>
            <a:ln w="25400">
              <a:solidFill>
                <a:srgbClr val="000080"/>
              </a:solidFill>
              <a:prstDash val="solid"/>
            </a:ln>
          </c:spPr>
          <c:marker>
            <c:symbol val="none"/>
          </c:marker>
          <c:dPt>
            <c:idx val="12"/>
            <c:bubble3D val="0"/>
            <c:spPr>
              <a:ln w="44450">
                <a:solidFill>
                  <a:srgbClr val="000080"/>
                </a:solidFill>
                <a:prstDash val="solid"/>
              </a:ln>
            </c:spPr>
          </c:dPt>
          <c:xVal>
            <c:numRef>
              <c:f>EleData!$DG$36:$DT$36</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EleData!$DG$37:$DT$37</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6"/>
          <c:order val="6"/>
          <c:tx>
            <c:v>Querkraft7</c:v>
          </c:tx>
          <c:spPr>
            <a:ln w="25400">
              <a:solidFill>
                <a:srgbClr val="000080"/>
              </a:solidFill>
              <a:prstDash val="solid"/>
            </a:ln>
          </c:spPr>
          <c:marker>
            <c:symbol val="none"/>
          </c:marker>
          <c:dPt>
            <c:idx val="12"/>
            <c:bubble3D val="0"/>
            <c:spPr>
              <a:ln w="44450">
                <a:solidFill>
                  <a:srgbClr val="000080"/>
                </a:solidFill>
                <a:prstDash val="solid"/>
              </a:ln>
            </c:spPr>
          </c:dPt>
          <c:xVal>
            <c:numRef>
              <c:f>EleData!$DG$42:$DT$42</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EleData!$DG$43:$DT$43</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7"/>
          <c:order val="7"/>
          <c:tx>
            <c:v>Querkraft8</c:v>
          </c:tx>
          <c:spPr>
            <a:ln w="25400">
              <a:solidFill>
                <a:srgbClr val="000080"/>
              </a:solidFill>
              <a:prstDash val="solid"/>
            </a:ln>
          </c:spPr>
          <c:marker>
            <c:symbol val="none"/>
          </c:marker>
          <c:dPt>
            <c:idx val="12"/>
            <c:bubble3D val="0"/>
            <c:spPr>
              <a:ln w="44450">
                <a:solidFill>
                  <a:srgbClr val="000080"/>
                </a:solidFill>
                <a:prstDash val="solid"/>
              </a:ln>
            </c:spPr>
          </c:dPt>
          <c:xVal>
            <c:numRef>
              <c:f>EleData!$DG$48:$DT$48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EleData!$DG$49:$DT$49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8"/>
          <c:order val="8"/>
          <c:tx>
            <c:v>Querkraft9</c:v>
          </c:tx>
          <c:spPr>
            <a:ln w="25400">
              <a:solidFill>
                <a:srgbClr val="000080"/>
              </a:solidFill>
              <a:prstDash val="solid"/>
            </a:ln>
          </c:spPr>
          <c:marker>
            <c:symbol val="none"/>
          </c:marker>
          <c:dPt>
            <c:idx val="12"/>
            <c:bubble3D val="0"/>
            <c:spPr>
              <a:ln w="44450">
                <a:solidFill>
                  <a:srgbClr val="000080"/>
                </a:solidFill>
                <a:prstDash val="solid"/>
              </a:ln>
            </c:spPr>
          </c:dPt>
          <c:xVal>
            <c:numRef>
              <c:f>EleData!$DG$54:$DT$54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EleData!$DG$55:$DT$55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9"/>
          <c:order val="9"/>
          <c:tx>
            <c:v>Querkraft10</c:v>
          </c:tx>
          <c:spPr>
            <a:ln w="25400">
              <a:solidFill>
                <a:srgbClr val="000080"/>
              </a:solidFill>
              <a:prstDash val="solid"/>
            </a:ln>
          </c:spPr>
          <c:marker>
            <c:symbol val="none"/>
          </c:marker>
          <c:dPt>
            <c:idx val="12"/>
            <c:bubble3D val="0"/>
            <c:spPr>
              <a:ln w="44450">
                <a:solidFill>
                  <a:srgbClr val="000080"/>
                </a:solidFill>
                <a:prstDash val="solid"/>
              </a:ln>
            </c:spPr>
          </c:dPt>
          <c:xVal>
            <c:numRef>
              <c:f>EleData!$DG$60:$DT$60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EleData!$DG$61:$DT$61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0"/>
          <c:order val="10"/>
          <c:tx>
            <c:v>Querkraft11</c:v>
          </c:tx>
          <c:spPr>
            <a:ln w="25400">
              <a:solidFill>
                <a:srgbClr val="000080"/>
              </a:solidFill>
              <a:prstDash val="solid"/>
            </a:ln>
          </c:spPr>
          <c:marker>
            <c:symbol val="none"/>
          </c:marker>
          <c:dPt>
            <c:idx val="12"/>
            <c:bubble3D val="0"/>
            <c:spPr>
              <a:ln w="44450">
                <a:solidFill>
                  <a:srgbClr val="000080"/>
                </a:solidFill>
                <a:prstDash val="solid"/>
              </a:ln>
            </c:spPr>
          </c:dPt>
          <c:xVal>
            <c:numRef>
              <c:f>EleData!$DG$66:$DT$66</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EleData!$DG$67:$DT$67</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1"/>
          <c:order val="11"/>
          <c:tx>
            <c:v>Querkraft12</c:v>
          </c:tx>
          <c:spPr>
            <a:ln w="25400">
              <a:solidFill>
                <a:srgbClr val="000080"/>
              </a:solidFill>
              <a:prstDash val="solid"/>
            </a:ln>
          </c:spPr>
          <c:marker>
            <c:symbol val="none"/>
          </c:marker>
          <c:dPt>
            <c:idx val="12"/>
            <c:bubble3D val="0"/>
            <c:spPr>
              <a:ln w="44450">
                <a:solidFill>
                  <a:srgbClr val="000080"/>
                </a:solidFill>
                <a:prstDash val="solid"/>
              </a:ln>
            </c:spPr>
          </c:dPt>
          <c:xVal>
            <c:numRef>
              <c:f>EleData!$DG$72:$DT$72</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EleData!$DG$73:$DT$73</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2"/>
          <c:order val="12"/>
          <c:tx>
            <c:v>Querkraft13</c:v>
          </c:tx>
          <c:spPr>
            <a:ln w="25400">
              <a:solidFill>
                <a:srgbClr val="000080"/>
              </a:solidFill>
              <a:prstDash val="solid"/>
            </a:ln>
          </c:spPr>
          <c:marker>
            <c:symbol val="none"/>
          </c:marker>
          <c:dPt>
            <c:idx val="12"/>
            <c:bubble3D val="0"/>
            <c:spPr>
              <a:ln w="44450">
                <a:solidFill>
                  <a:srgbClr val="000080"/>
                </a:solidFill>
                <a:prstDash val="solid"/>
              </a:ln>
            </c:spPr>
          </c:dPt>
          <c:xVal>
            <c:numRef>
              <c:f>EleData!$DG$78:$DT$78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EleData!$DG$79:$DT$79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3"/>
          <c:order val="13"/>
          <c:tx>
            <c:v>Querkraft14</c:v>
          </c:tx>
          <c:spPr>
            <a:ln w="25400">
              <a:solidFill>
                <a:srgbClr val="000080"/>
              </a:solidFill>
              <a:prstDash val="solid"/>
            </a:ln>
          </c:spPr>
          <c:marker>
            <c:symbol val="none"/>
          </c:marker>
          <c:dPt>
            <c:idx val="12"/>
            <c:bubble3D val="0"/>
            <c:spPr>
              <a:ln w="44450">
                <a:solidFill>
                  <a:srgbClr val="000080"/>
                </a:solidFill>
                <a:prstDash val="solid"/>
              </a:ln>
            </c:spPr>
          </c:dPt>
          <c:xVal>
            <c:numRef>
              <c:f>EleData!$DG$84:$DT$84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EleData!$DG$85:$DT$85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4"/>
          <c:order val="14"/>
          <c:tx>
            <c:v>Querkraft15</c:v>
          </c:tx>
          <c:spPr>
            <a:ln w="25400">
              <a:solidFill>
                <a:srgbClr val="000080"/>
              </a:solidFill>
              <a:prstDash val="solid"/>
            </a:ln>
          </c:spPr>
          <c:marker>
            <c:symbol val="none"/>
          </c:marker>
          <c:dPt>
            <c:idx val="12"/>
            <c:bubble3D val="0"/>
            <c:spPr>
              <a:ln w="44450">
                <a:solidFill>
                  <a:srgbClr val="000080"/>
                </a:solidFill>
                <a:prstDash val="solid"/>
              </a:ln>
            </c:spPr>
          </c:dPt>
          <c:xVal>
            <c:numRef>
              <c:f>EleData!$DG$90:$DT$90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EleData!$DG$91:$DT$91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5"/>
          <c:order val="15"/>
          <c:tx>
            <c:v>Querkraft16</c:v>
          </c:tx>
          <c:spPr>
            <a:ln w="25400">
              <a:solidFill>
                <a:srgbClr val="000080"/>
              </a:solidFill>
              <a:prstDash val="solid"/>
            </a:ln>
          </c:spPr>
          <c:marker>
            <c:symbol val="none"/>
          </c:marker>
          <c:dPt>
            <c:idx val="12"/>
            <c:bubble3D val="0"/>
            <c:spPr>
              <a:ln w="44450">
                <a:solidFill>
                  <a:srgbClr val="000080"/>
                </a:solidFill>
                <a:prstDash val="solid"/>
              </a:ln>
            </c:spPr>
          </c:dPt>
          <c:xVal>
            <c:numRef>
              <c:f>EleData!$DG$96:$DT$96</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EleData!$DG$97:$DT$97</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6"/>
          <c:order val="16"/>
          <c:tx>
            <c:v>Querkraft17</c:v>
          </c:tx>
          <c:spPr>
            <a:ln w="25400">
              <a:solidFill>
                <a:srgbClr val="000080"/>
              </a:solidFill>
              <a:prstDash val="solid"/>
            </a:ln>
          </c:spPr>
          <c:marker>
            <c:symbol val="none"/>
          </c:marker>
          <c:dPt>
            <c:idx val="12"/>
            <c:bubble3D val="0"/>
            <c:spPr>
              <a:ln w="44450">
                <a:solidFill>
                  <a:srgbClr val="000080"/>
                </a:solidFill>
                <a:prstDash val="solid"/>
              </a:ln>
            </c:spPr>
          </c:dPt>
          <c:xVal>
            <c:numRef>
              <c:f>EleData!$DG$102:$DT$102</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EleData!$DG$103:$DT$103</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7"/>
          <c:order val="17"/>
          <c:tx>
            <c:v>Querkraft18</c:v>
          </c:tx>
          <c:spPr>
            <a:ln w="25400">
              <a:solidFill>
                <a:srgbClr val="000080"/>
              </a:solidFill>
              <a:prstDash val="solid"/>
            </a:ln>
          </c:spPr>
          <c:marker>
            <c:symbol val="none"/>
          </c:marker>
          <c:dPt>
            <c:idx val="12"/>
            <c:bubble3D val="0"/>
            <c:spPr>
              <a:ln w="44450">
                <a:solidFill>
                  <a:srgbClr val="000080"/>
                </a:solidFill>
                <a:prstDash val="solid"/>
              </a:ln>
            </c:spPr>
          </c:dPt>
          <c:xVal>
            <c:numRef>
              <c:f>EleData!$DG$108:$DT$108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EleData!$DG$109:$DT$109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8"/>
          <c:order val="18"/>
          <c:tx>
            <c:v>Querkraft19</c:v>
          </c:tx>
          <c:spPr>
            <a:ln w="25400">
              <a:solidFill>
                <a:srgbClr val="000080"/>
              </a:solidFill>
              <a:prstDash val="solid"/>
            </a:ln>
          </c:spPr>
          <c:marker>
            <c:symbol val="none"/>
          </c:marker>
          <c:dPt>
            <c:idx val="12"/>
            <c:bubble3D val="0"/>
            <c:spPr>
              <a:ln w="44450">
                <a:solidFill>
                  <a:srgbClr val="000080"/>
                </a:solidFill>
                <a:prstDash val="solid"/>
              </a:ln>
            </c:spPr>
          </c:dPt>
          <c:xVal>
            <c:numRef>
              <c:f>EleData!$DG$114:$DT$114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EleData!$DG$115:$DT$115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9"/>
          <c:order val="19"/>
          <c:tx>
            <c:v>Querkraft20</c:v>
          </c:tx>
          <c:spPr>
            <a:ln w="25400">
              <a:solidFill>
                <a:srgbClr val="000080"/>
              </a:solidFill>
              <a:prstDash val="solid"/>
            </a:ln>
          </c:spPr>
          <c:marker>
            <c:symbol val="none"/>
          </c:marker>
          <c:dPt>
            <c:idx val="12"/>
            <c:bubble3D val="0"/>
            <c:spPr>
              <a:ln w="44450">
                <a:solidFill>
                  <a:srgbClr val="000080"/>
                </a:solidFill>
                <a:prstDash val="solid"/>
              </a:ln>
            </c:spPr>
          </c:dPt>
          <c:xVal>
            <c:numRef>
              <c:f>EleData!$DG$120:$DT$120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EleData!$DG$121:$DT$121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20"/>
          <c:order val="20"/>
          <c:tx>
            <c:v>BoundingBox21</c:v>
          </c:tx>
          <c:spPr>
            <a:ln w="12700">
              <a:solidFill>
                <a:srgbClr val="C0C0C0"/>
              </a:solidFill>
              <a:prstDash val="solid"/>
            </a:ln>
          </c:spPr>
          <c:marker>
            <c:symbol val="none"/>
          </c:marker>
          <c:xVal>
            <c:numRef>
              <c:f>KnotenData!$H$36:$H$39</c:f>
              <c:numCache>
                <c:formatCode>General</c:formatCode>
                <c:ptCount val="4"/>
                <c:pt idx="0">
                  <c:v>-7.8934449556844144E-2</c:v>
                </c:pt>
                <c:pt idx="1">
                  <c:v>1.1249437519249277</c:v>
                </c:pt>
                <c:pt idx="2">
                  <c:v>1.1249437519249277</c:v>
                </c:pt>
                <c:pt idx="3">
                  <c:v>-7.8934449556844144E-2</c:v>
                </c:pt>
              </c:numCache>
            </c:numRef>
          </c:xVal>
          <c:yVal>
            <c:numRef>
              <c:f>KnotenData!$I$36:$I$39</c:f>
              <c:numCache>
                <c:formatCode>General</c:formatCode>
                <c:ptCount val="4"/>
                <c:pt idx="0">
                  <c:v>1.0307888761881925</c:v>
                </c:pt>
                <c:pt idx="1">
                  <c:v>1.0307888761881925</c:v>
                </c:pt>
                <c:pt idx="2">
                  <c:v>-0.17308932529357918</c:v>
                </c:pt>
                <c:pt idx="3">
                  <c:v>-0.17308932529357918</c:v>
                </c:pt>
              </c:numCache>
            </c:numRef>
          </c:yVal>
          <c:smooth val="0"/>
        </c:ser>
        <c:dLbls>
          <c:showLegendKey val="0"/>
          <c:showVal val="0"/>
          <c:showCatName val="0"/>
          <c:showSerName val="0"/>
          <c:showPercent val="0"/>
          <c:showBubbleSize val="0"/>
        </c:dLbls>
        <c:axId val="369289176"/>
        <c:axId val="439095520"/>
      </c:scatterChart>
      <c:valAx>
        <c:axId val="369289176"/>
        <c:scaling>
          <c:orientation val="minMax"/>
        </c:scaling>
        <c:delete val="1"/>
        <c:axPos val="b"/>
        <c:numFmt formatCode="General" sourceLinked="1"/>
        <c:majorTickMark val="out"/>
        <c:minorTickMark val="none"/>
        <c:tickLblPos val="nextTo"/>
        <c:crossAx val="439095520"/>
        <c:crosses val="max"/>
        <c:crossBetween val="midCat"/>
        <c:majorUnit val="1.0000000000000002E-2"/>
      </c:valAx>
      <c:valAx>
        <c:axId val="439095520"/>
        <c:scaling>
          <c:orientation val="maxMin"/>
        </c:scaling>
        <c:delete val="1"/>
        <c:axPos val="r"/>
        <c:numFmt formatCode="General" sourceLinked="1"/>
        <c:majorTickMark val="out"/>
        <c:minorTickMark val="none"/>
        <c:tickLblPos val="nextTo"/>
        <c:crossAx val="369289176"/>
        <c:crosses val="max"/>
        <c:crossBetween val="midCat"/>
        <c:majorUnit val="1.0000000000000002E-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2288971371766539E-2"/>
          <c:y val="3.1758814591681471E-2"/>
          <c:w val="0.95945446873636708"/>
          <c:h val="0.93484114366706383"/>
        </c:manualLayout>
      </c:layout>
      <c:scatterChart>
        <c:scatterStyle val="lineMarker"/>
        <c:varyColors val="0"/>
        <c:ser>
          <c:idx val="0"/>
          <c:order val="0"/>
          <c:tx>
            <c:v>Normalkraft1</c:v>
          </c:tx>
          <c:spPr>
            <a:ln w="25400">
              <a:solidFill>
                <a:srgbClr val="000080"/>
              </a:solidFill>
              <a:prstDash val="solid"/>
            </a:ln>
          </c:spPr>
          <c:marker>
            <c:symbol val="none"/>
          </c:marker>
          <c:dPt>
            <c:idx val="12"/>
            <c:bubble3D val="0"/>
            <c:spPr>
              <a:ln w="44450">
                <a:solidFill>
                  <a:srgbClr val="000080"/>
                </a:solidFill>
                <a:prstDash val="solid"/>
              </a:ln>
            </c:spPr>
          </c:dPt>
          <c:xVal>
            <c:numRef>
              <c:f>EleData!$DZ$6:$EM$6</c:f>
              <c:numCache>
                <c:formatCode>General</c:formatCode>
                <c:ptCount val="14"/>
                <c:pt idx="0">
                  <c:v>-0.1883097514734699</c:v>
                </c:pt>
                <c:pt idx="1">
                  <c:v>-0.13830975147346991</c:v>
                </c:pt>
                <c:pt idx="2">
                  <c:v>-8.8309751473469894E-2</c:v>
                </c:pt>
                <c:pt idx="3">
                  <c:v>-3.8309751473469905E-2</c:v>
                </c:pt>
                <c:pt idx="4">
                  <c:v>1.1690248526530111E-2</c:v>
                </c:pt>
                <c:pt idx="5">
                  <c:v>6.16902485265301E-2</c:v>
                </c:pt>
                <c:pt idx="6">
                  <c:v>0.11169024852653009</c:v>
                </c:pt>
                <c:pt idx="7">
                  <c:v>0.16169024852653008</c:v>
                </c:pt>
                <c:pt idx="8">
                  <c:v>0.21169024852653018</c:v>
                </c:pt>
                <c:pt idx="9">
                  <c:v>0.26169024852653011</c:v>
                </c:pt>
                <c:pt idx="10">
                  <c:v>0.3116902485265301</c:v>
                </c:pt>
                <c:pt idx="11">
                  <c:v>0.5</c:v>
                </c:pt>
                <c:pt idx="12">
                  <c:v>0</c:v>
                </c:pt>
                <c:pt idx="13">
                  <c:v>-0.1883097514734699</c:v>
                </c:pt>
              </c:numCache>
            </c:numRef>
          </c:xVal>
          <c:yVal>
            <c:numRef>
              <c:f>EleData!$DZ$7:$EM$7</c:f>
              <c:numCache>
                <c:formatCode>General</c:formatCode>
                <c:ptCount val="14"/>
                <c:pt idx="0">
                  <c:v>0.56169024852653004</c:v>
                </c:pt>
                <c:pt idx="1">
                  <c:v>0.51169024852653022</c:v>
                </c:pt>
                <c:pt idx="2">
                  <c:v>0.46169024852653023</c:v>
                </c:pt>
                <c:pt idx="3">
                  <c:v>0.41169024852652997</c:v>
                </c:pt>
                <c:pt idx="4">
                  <c:v>0.36169024852653003</c:v>
                </c:pt>
                <c:pt idx="5">
                  <c:v>0.3116902485265301</c:v>
                </c:pt>
                <c:pt idx="6">
                  <c:v>0.26169024852653017</c:v>
                </c:pt>
                <c:pt idx="7">
                  <c:v>0.21169024852653012</c:v>
                </c:pt>
                <c:pt idx="8">
                  <c:v>0.16169024852653013</c:v>
                </c:pt>
                <c:pt idx="9">
                  <c:v>0.11169024852653009</c:v>
                </c:pt>
                <c:pt idx="10">
                  <c:v>6.16902485265301E-2</c:v>
                </c:pt>
                <c:pt idx="11">
                  <c:v>0.25</c:v>
                </c:pt>
                <c:pt idx="12">
                  <c:v>0.75</c:v>
                </c:pt>
                <c:pt idx="13">
                  <c:v>0.56169024852653004</c:v>
                </c:pt>
              </c:numCache>
            </c:numRef>
          </c:yVal>
          <c:smooth val="0"/>
        </c:ser>
        <c:ser>
          <c:idx val="1"/>
          <c:order val="1"/>
          <c:tx>
            <c:v>Normalkraft2</c:v>
          </c:tx>
          <c:spPr>
            <a:ln w="25400">
              <a:solidFill>
                <a:srgbClr val="000080"/>
              </a:solidFill>
              <a:prstDash val="solid"/>
            </a:ln>
          </c:spPr>
          <c:marker>
            <c:symbol val="none"/>
          </c:marker>
          <c:dPt>
            <c:idx val="12"/>
            <c:bubble3D val="0"/>
            <c:spPr>
              <a:ln w="44450">
                <a:solidFill>
                  <a:srgbClr val="000080"/>
                </a:solidFill>
                <a:prstDash val="solid"/>
              </a:ln>
            </c:spPr>
          </c:dPt>
          <c:xVal>
            <c:numRef>
              <c:f>EleData!$DZ$12:$EM$12</c:f>
              <c:numCache>
                <c:formatCode>General</c:formatCode>
                <c:ptCount val="14"/>
                <c:pt idx="0">
                  <c:v>0.5</c:v>
                </c:pt>
                <c:pt idx="1">
                  <c:v>0.55000000000000004</c:v>
                </c:pt>
                <c:pt idx="2">
                  <c:v>0.60000000000000009</c:v>
                </c:pt>
                <c:pt idx="3">
                  <c:v>0.64999999999999991</c:v>
                </c:pt>
                <c:pt idx="4">
                  <c:v>0.7</c:v>
                </c:pt>
                <c:pt idx="5">
                  <c:v>0.75</c:v>
                </c:pt>
                <c:pt idx="6">
                  <c:v>0.8</c:v>
                </c:pt>
                <c:pt idx="7">
                  <c:v>0.85</c:v>
                </c:pt>
                <c:pt idx="8">
                  <c:v>0.9</c:v>
                </c:pt>
                <c:pt idx="9">
                  <c:v>0.95</c:v>
                </c:pt>
                <c:pt idx="10">
                  <c:v>1</c:v>
                </c:pt>
                <c:pt idx="11">
                  <c:v>1</c:v>
                </c:pt>
                <c:pt idx="12">
                  <c:v>0.5</c:v>
                </c:pt>
                <c:pt idx="13">
                  <c:v>0.5</c:v>
                </c:pt>
              </c:numCache>
            </c:numRef>
          </c:xVal>
          <c:yVal>
            <c:numRef>
              <c:f>EleData!$DZ$13:$EM$13</c:f>
              <c:numCache>
                <c:formatCode>General</c:formatCode>
                <c:ptCount val="14"/>
                <c:pt idx="0">
                  <c:v>8.6918257510613051E-2</c:v>
                </c:pt>
                <c:pt idx="1">
                  <c:v>8.6918257510613051E-2</c:v>
                </c:pt>
                <c:pt idx="2">
                  <c:v>8.6918257510613051E-2</c:v>
                </c:pt>
                <c:pt idx="3">
                  <c:v>8.6918257510613078E-2</c:v>
                </c:pt>
                <c:pt idx="4">
                  <c:v>8.6918257510613051E-2</c:v>
                </c:pt>
                <c:pt idx="5">
                  <c:v>8.6918257510613051E-2</c:v>
                </c:pt>
                <c:pt idx="6">
                  <c:v>8.6918257510613051E-2</c:v>
                </c:pt>
                <c:pt idx="7">
                  <c:v>8.6918257510613051E-2</c:v>
                </c:pt>
                <c:pt idx="8">
                  <c:v>8.6918257510613051E-2</c:v>
                </c:pt>
                <c:pt idx="9">
                  <c:v>8.6918257510613051E-2</c:v>
                </c:pt>
                <c:pt idx="10">
                  <c:v>8.6918257510613051E-2</c:v>
                </c:pt>
                <c:pt idx="11">
                  <c:v>0.25</c:v>
                </c:pt>
                <c:pt idx="12">
                  <c:v>0.25</c:v>
                </c:pt>
                <c:pt idx="13">
                  <c:v>8.6918257510613051E-2</c:v>
                </c:pt>
              </c:numCache>
            </c:numRef>
          </c:yVal>
          <c:smooth val="0"/>
        </c:ser>
        <c:ser>
          <c:idx val="2"/>
          <c:order val="2"/>
          <c:tx>
            <c:v>Normalkraft3</c:v>
          </c:tx>
          <c:spPr>
            <a:ln w="25400">
              <a:solidFill>
                <a:srgbClr val="000080"/>
              </a:solidFill>
              <a:prstDash val="solid"/>
            </a:ln>
          </c:spPr>
          <c:marker>
            <c:symbol val="none"/>
          </c:marker>
          <c:dPt>
            <c:idx val="12"/>
            <c:bubble3D val="0"/>
            <c:spPr>
              <a:ln w="44450">
                <a:solidFill>
                  <a:srgbClr val="000080"/>
                </a:solidFill>
                <a:prstDash val="solid"/>
              </a:ln>
            </c:spPr>
          </c:dPt>
          <c:xVal>
            <c:numRef>
              <c:f>EleData!$DZ$18:$EM$18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EleData!$DZ$19:$EM$19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3"/>
          <c:order val="3"/>
          <c:tx>
            <c:v>Normalkraft4</c:v>
          </c:tx>
          <c:spPr>
            <a:ln w="25400">
              <a:solidFill>
                <a:srgbClr val="000080"/>
              </a:solidFill>
              <a:prstDash val="solid"/>
            </a:ln>
          </c:spPr>
          <c:marker>
            <c:symbol val="none"/>
          </c:marker>
          <c:dPt>
            <c:idx val="12"/>
            <c:bubble3D val="0"/>
            <c:spPr>
              <a:ln w="44450">
                <a:solidFill>
                  <a:srgbClr val="000080"/>
                </a:solidFill>
                <a:prstDash val="solid"/>
              </a:ln>
            </c:spPr>
          </c:dPt>
          <c:xVal>
            <c:numRef>
              <c:f>EleData!$DZ$24:$EM$24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EleData!$DZ$25:$EM$25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4"/>
          <c:order val="4"/>
          <c:tx>
            <c:v>Normalkraft5</c:v>
          </c:tx>
          <c:spPr>
            <a:ln w="25400">
              <a:solidFill>
                <a:srgbClr val="000080"/>
              </a:solidFill>
              <a:prstDash val="solid"/>
            </a:ln>
          </c:spPr>
          <c:marker>
            <c:symbol val="none"/>
          </c:marker>
          <c:dPt>
            <c:idx val="12"/>
            <c:bubble3D val="0"/>
            <c:spPr>
              <a:ln w="44450">
                <a:solidFill>
                  <a:srgbClr val="000080"/>
                </a:solidFill>
                <a:prstDash val="solid"/>
              </a:ln>
            </c:spPr>
          </c:dPt>
          <c:xVal>
            <c:numRef>
              <c:f>EleData!$DZ$30:$EM$30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EleData!$DZ$31:$EM$31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5"/>
          <c:order val="5"/>
          <c:tx>
            <c:v>Normalkraft6</c:v>
          </c:tx>
          <c:spPr>
            <a:ln w="25400">
              <a:solidFill>
                <a:srgbClr val="000080"/>
              </a:solidFill>
              <a:prstDash val="solid"/>
            </a:ln>
          </c:spPr>
          <c:marker>
            <c:symbol val="none"/>
          </c:marker>
          <c:dPt>
            <c:idx val="12"/>
            <c:bubble3D val="0"/>
            <c:spPr>
              <a:ln w="44450">
                <a:solidFill>
                  <a:srgbClr val="000080"/>
                </a:solidFill>
                <a:prstDash val="solid"/>
              </a:ln>
            </c:spPr>
          </c:dPt>
          <c:xVal>
            <c:numRef>
              <c:f>EleData!$DZ$36:$EM$36</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EleData!$DZ$37:$EM$37</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6"/>
          <c:order val="6"/>
          <c:tx>
            <c:v>Normalkraft7</c:v>
          </c:tx>
          <c:spPr>
            <a:ln w="25400">
              <a:solidFill>
                <a:srgbClr val="000080"/>
              </a:solidFill>
              <a:prstDash val="solid"/>
            </a:ln>
          </c:spPr>
          <c:marker>
            <c:symbol val="none"/>
          </c:marker>
          <c:dPt>
            <c:idx val="12"/>
            <c:bubble3D val="0"/>
            <c:spPr>
              <a:ln w="44450">
                <a:solidFill>
                  <a:srgbClr val="000080"/>
                </a:solidFill>
                <a:prstDash val="solid"/>
              </a:ln>
            </c:spPr>
          </c:dPt>
          <c:xVal>
            <c:numRef>
              <c:f>EleData!$DZ$42:$EM$42</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EleData!$DZ$43:$EM$43</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7"/>
          <c:order val="7"/>
          <c:tx>
            <c:v>Normalkraft8</c:v>
          </c:tx>
          <c:spPr>
            <a:ln w="25400">
              <a:solidFill>
                <a:srgbClr val="000080"/>
              </a:solidFill>
              <a:prstDash val="solid"/>
            </a:ln>
          </c:spPr>
          <c:marker>
            <c:symbol val="none"/>
          </c:marker>
          <c:dPt>
            <c:idx val="12"/>
            <c:bubble3D val="0"/>
            <c:spPr>
              <a:ln w="44450">
                <a:solidFill>
                  <a:srgbClr val="000080"/>
                </a:solidFill>
                <a:prstDash val="solid"/>
              </a:ln>
            </c:spPr>
          </c:dPt>
          <c:xVal>
            <c:numRef>
              <c:f>EleData!$DZ$48:$EM$48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EleData!$DZ$49:$EM$49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8"/>
          <c:order val="8"/>
          <c:tx>
            <c:v>Normalkraft9</c:v>
          </c:tx>
          <c:spPr>
            <a:ln w="25400">
              <a:solidFill>
                <a:srgbClr val="000080"/>
              </a:solidFill>
              <a:prstDash val="solid"/>
            </a:ln>
          </c:spPr>
          <c:marker>
            <c:symbol val="none"/>
          </c:marker>
          <c:dPt>
            <c:idx val="12"/>
            <c:bubble3D val="0"/>
            <c:spPr>
              <a:ln w="44450">
                <a:solidFill>
                  <a:srgbClr val="000080"/>
                </a:solidFill>
                <a:prstDash val="solid"/>
              </a:ln>
            </c:spPr>
          </c:dPt>
          <c:xVal>
            <c:numRef>
              <c:f>EleData!$DZ$54:$EM$54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EleData!$DZ$55:$EM$55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9"/>
          <c:order val="9"/>
          <c:tx>
            <c:v>Normalkraft10</c:v>
          </c:tx>
          <c:spPr>
            <a:ln w="25400">
              <a:solidFill>
                <a:srgbClr val="000080"/>
              </a:solidFill>
              <a:prstDash val="solid"/>
            </a:ln>
          </c:spPr>
          <c:marker>
            <c:symbol val="none"/>
          </c:marker>
          <c:dPt>
            <c:idx val="12"/>
            <c:bubble3D val="0"/>
            <c:spPr>
              <a:ln w="44450">
                <a:solidFill>
                  <a:srgbClr val="000080"/>
                </a:solidFill>
                <a:prstDash val="solid"/>
              </a:ln>
            </c:spPr>
          </c:dPt>
          <c:xVal>
            <c:numRef>
              <c:f>EleData!$DZ$60:$EM$60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EleData!$DZ$61:$EM$61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0"/>
          <c:order val="10"/>
          <c:tx>
            <c:v>Normalkraft11</c:v>
          </c:tx>
          <c:spPr>
            <a:ln w="25400">
              <a:solidFill>
                <a:srgbClr val="000080"/>
              </a:solidFill>
              <a:prstDash val="solid"/>
            </a:ln>
          </c:spPr>
          <c:marker>
            <c:symbol val="none"/>
          </c:marker>
          <c:dPt>
            <c:idx val="12"/>
            <c:bubble3D val="0"/>
            <c:spPr>
              <a:ln w="44450">
                <a:solidFill>
                  <a:srgbClr val="000080"/>
                </a:solidFill>
                <a:prstDash val="solid"/>
              </a:ln>
            </c:spPr>
          </c:dPt>
          <c:xVal>
            <c:numRef>
              <c:f>EleData!$DZ$66:$EM$66</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EleData!$DZ$67:$EM$67</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1"/>
          <c:order val="11"/>
          <c:tx>
            <c:v>Normalkraft12</c:v>
          </c:tx>
          <c:spPr>
            <a:ln w="25400">
              <a:solidFill>
                <a:srgbClr val="000080"/>
              </a:solidFill>
              <a:prstDash val="solid"/>
            </a:ln>
          </c:spPr>
          <c:marker>
            <c:symbol val="none"/>
          </c:marker>
          <c:dPt>
            <c:idx val="12"/>
            <c:bubble3D val="0"/>
            <c:spPr>
              <a:ln w="44450">
                <a:solidFill>
                  <a:srgbClr val="000080"/>
                </a:solidFill>
                <a:prstDash val="solid"/>
              </a:ln>
            </c:spPr>
          </c:dPt>
          <c:xVal>
            <c:numRef>
              <c:f>EleData!$DZ$72:$EM$72</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EleData!$DZ$73:$EM$73</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2"/>
          <c:order val="12"/>
          <c:tx>
            <c:v>Normalkraft13</c:v>
          </c:tx>
          <c:spPr>
            <a:ln w="25400">
              <a:solidFill>
                <a:srgbClr val="000080"/>
              </a:solidFill>
              <a:prstDash val="solid"/>
            </a:ln>
          </c:spPr>
          <c:marker>
            <c:symbol val="none"/>
          </c:marker>
          <c:dPt>
            <c:idx val="12"/>
            <c:bubble3D val="0"/>
            <c:spPr>
              <a:ln w="44450">
                <a:solidFill>
                  <a:srgbClr val="000080"/>
                </a:solidFill>
                <a:prstDash val="solid"/>
              </a:ln>
            </c:spPr>
          </c:dPt>
          <c:xVal>
            <c:numRef>
              <c:f>EleData!$DZ$78:$EM$78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EleData!$DZ$79:$EM$79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3"/>
          <c:order val="13"/>
          <c:tx>
            <c:v>Normalkraft14</c:v>
          </c:tx>
          <c:spPr>
            <a:ln w="25400">
              <a:solidFill>
                <a:srgbClr val="000080"/>
              </a:solidFill>
              <a:prstDash val="solid"/>
            </a:ln>
          </c:spPr>
          <c:marker>
            <c:symbol val="none"/>
          </c:marker>
          <c:dPt>
            <c:idx val="12"/>
            <c:bubble3D val="0"/>
            <c:spPr>
              <a:ln w="44450">
                <a:solidFill>
                  <a:srgbClr val="000080"/>
                </a:solidFill>
                <a:prstDash val="solid"/>
              </a:ln>
            </c:spPr>
          </c:dPt>
          <c:xVal>
            <c:numRef>
              <c:f>EleData!$DZ$84:$EM$84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EleData!$DZ$85:$EM$85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4"/>
          <c:order val="14"/>
          <c:tx>
            <c:v>Normalkraft15</c:v>
          </c:tx>
          <c:spPr>
            <a:ln w="25400">
              <a:solidFill>
                <a:srgbClr val="000080"/>
              </a:solidFill>
              <a:prstDash val="solid"/>
            </a:ln>
          </c:spPr>
          <c:marker>
            <c:symbol val="none"/>
          </c:marker>
          <c:dPt>
            <c:idx val="12"/>
            <c:bubble3D val="0"/>
            <c:spPr>
              <a:ln w="44450">
                <a:solidFill>
                  <a:srgbClr val="000080"/>
                </a:solidFill>
                <a:prstDash val="solid"/>
              </a:ln>
            </c:spPr>
          </c:dPt>
          <c:xVal>
            <c:numRef>
              <c:f>EleData!$DZ$90:$EM$90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EleData!$DZ$91:$EM$91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5"/>
          <c:order val="15"/>
          <c:tx>
            <c:v>Normalkraft16</c:v>
          </c:tx>
          <c:spPr>
            <a:ln w="25400">
              <a:solidFill>
                <a:srgbClr val="000080"/>
              </a:solidFill>
              <a:prstDash val="solid"/>
            </a:ln>
          </c:spPr>
          <c:marker>
            <c:symbol val="none"/>
          </c:marker>
          <c:dPt>
            <c:idx val="12"/>
            <c:bubble3D val="0"/>
            <c:spPr>
              <a:ln w="44450">
                <a:solidFill>
                  <a:srgbClr val="000080"/>
                </a:solidFill>
                <a:prstDash val="solid"/>
              </a:ln>
            </c:spPr>
          </c:dPt>
          <c:xVal>
            <c:numRef>
              <c:f>EleData!$DZ$96:$EM$96</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EleData!$DZ$97:$EM$97</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6"/>
          <c:order val="16"/>
          <c:tx>
            <c:v>Normalkraft17</c:v>
          </c:tx>
          <c:spPr>
            <a:ln w="25400">
              <a:solidFill>
                <a:srgbClr val="000080"/>
              </a:solidFill>
              <a:prstDash val="solid"/>
            </a:ln>
          </c:spPr>
          <c:marker>
            <c:symbol val="none"/>
          </c:marker>
          <c:dPt>
            <c:idx val="12"/>
            <c:bubble3D val="0"/>
            <c:spPr>
              <a:ln w="44450">
                <a:solidFill>
                  <a:srgbClr val="000080"/>
                </a:solidFill>
                <a:prstDash val="solid"/>
              </a:ln>
            </c:spPr>
          </c:dPt>
          <c:xVal>
            <c:numRef>
              <c:f>EleData!$DZ$102:$EM$102</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EleData!$DZ$103:$EM$103</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7"/>
          <c:order val="17"/>
          <c:tx>
            <c:v>Normalkraft18</c:v>
          </c:tx>
          <c:spPr>
            <a:ln w="25400">
              <a:solidFill>
                <a:srgbClr val="000080"/>
              </a:solidFill>
              <a:prstDash val="solid"/>
            </a:ln>
          </c:spPr>
          <c:marker>
            <c:symbol val="none"/>
          </c:marker>
          <c:dPt>
            <c:idx val="12"/>
            <c:bubble3D val="0"/>
            <c:spPr>
              <a:ln w="44450">
                <a:solidFill>
                  <a:srgbClr val="000080"/>
                </a:solidFill>
                <a:prstDash val="solid"/>
              </a:ln>
            </c:spPr>
          </c:dPt>
          <c:xVal>
            <c:numRef>
              <c:f>EleData!$DZ$108:$EM$108</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EleData!$DZ$109:$EM$109</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8"/>
          <c:order val="18"/>
          <c:tx>
            <c:v>Normalkraft19</c:v>
          </c:tx>
          <c:spPr>
            <a:ln w="25400">
              <a:solidFill>
                <a:srgbClr val="000080"/>
              </a:solidFill>
              <a:prstDash val="solid"/>
            </a:ln>
          </c:spPr>
          <c:marker>
            <c:symbol val="none"/>
          </c:marker>
          <c:dPt>
            <c:idx val="12"/>
            <c:bubble3D val="0"/>
            <c:spPr>
              <a:ln w="44450">
                <a:solidFill>
                  <a:srgbClr val="000080"/>
                </a:solidFill>
                <a:prstDash val="solid"/>
              </a:ln>
            </c:spPr>
          </c:dPt>
          <c:xVal>
            <c:numRef>
              <c:f>EleData!$DZ$114:$EM$114</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EleData!$DZ$115:$EM$115</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19"/>
          <c:order val="19"/>
          <c:tx>
            <c:v>Normalkraft20</c:v>
          </c:tx>
          <c:spPr>
            <a:ln w="25400">
              <a:solidFill>
                <a:srgbClr val="000080"/>
              </a:solidFill>
              <a:prstDash val="solid"/>
            </a:ln>
          </c:spPr>
          <c:marker>
            <c:symbol val="none"/>
          </c:marker>
          <c:dPt>
            <c:idx val="12"/>
            <c:bubble3D val="0"/>
            <c:spPr>
              <a:ln w="44450">
                <a:solidFill>
                  <a:srgbClr val="000080"/>
                </a:solidFill>
                <a:prstDash val="solid"/>
              </a:ln>
            </c:spPr>
          </c:dPt>
          <c:xVal>
            <c:numRef>
              <c:f>EleData!$DZ$120:$EM$120</c:f>
              <c:numCache>
                <c:formatCode>General</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xVal>
          <c:yVal>
            <c:numRef>
              <c:f>EleData!$DZ$121:$EM$121</c:f>
              <c:numCache>
                <c:formatCode>General</c:formatCode>
                <c:ptCount val="14"/>
                <c:pt idx="0">
                  <c:v>0.47499999999999998</c:v>
                </c:pt>
                <c:pt idx="1">
                  <c:v>0.47499999999999998</c:v>
                </c:pt>
                <c:pt idx="2">
                  <c:v>0.47499999999999998</c:v>
                </c:pt>
                <c:pt idx="3">
                  <c:v>0.47499999999999998</c:v>
                </c:pt>
                <c:pt idx="4">
                  <c:v>0.47499999999999998</c:v>
                </c:pt>
                <c:pt idx="5">
                  <c:v>0.47499999999999998</c:v>
                </c:pt>
                <c:pt idx="6">
                  <c:v>0.47499999999999998</c:v>
                </c:pt>
                <c:pt idx="7">
                  <c:v>0.47499999999999998</c:v>
                </c:pt>
                <c:pt idx="8">
                  <c:v>0.47499999999999998</c:v>
                </c:pt>
                <c:pt idx="9">
                  <c:v>0.47499999999999998</c:v>
                </c:pt>
                <c:pt idx="10">
                  <c:v>0.47499999999999998</c:v>
                </c:pt>
                <c:pt idx="11">
                  <c:v>0.47499999999999998</c:v>
                </c:pt>
                <c:pt idx="12">
                  <c:v>0.47499999999999998</c:v>
                </c:pt>
                <c:pt idx="13">
                  <c:v>0.47499999999999998</c:v>
                </c:pt>
              </c:numCache>
            </c:numRef>
          </c:yVal>
          <c:smooth val="0"/>
        </c:ser>
        <c:ser>
          <c:idx val="20"/>
          <c:order val="20"/>
          <c:tx>
            <c:v>BoundingBox21</c:v>
          </c:tx>
          <c:spPr>
            <a:ln w="12700">
              <a:solidFill>
                <a:srgbClr val="C0C0C0"/>
              </a:solidFill>
              <a:prstDash val="solid"/>
            </a:ln>
          </c:spPr>
          <c:marker>
            <c:symbol val="none"/>
          </c:marker>
          <c:xVal>
            <c:numRef>
              <c:f>KnotenData!$H$46:$H$49</c:f>
              <c:numCache>
                <c:formatCode>General</c:formatCode>
                <c:ptCount val="4"/>
                <c:pt idx="0">
                  <c:v>-0.23876329668835039</c:v>
                </c:pt>
                <c:pt idx="1">
                  <c:v>1.0504535452148804</c:v>
                </c:pt>
                <c:pt idx="2">
                  <c:v>1.0504535452148804</c:v>
                </c:pt>
                <c:pt idx="3">
                  <c:v>-0.23876329668835039</c:v>
                </c:pt>
              </c:numCache>
            </c:numRef>
          </c:xVal>
          <c:yVal>
            <c:numRef>
              <c:f>KnotenData!$I$46:$I$49</c:f>
              <c:numCache>
                <c:formatCode>General</c:formatCode>
                <c:ptCount val="4"/>
                <c:pt idx="0">
                  <c:v>0.95629866947814546</c:v>
                </c:pt>
                <c:pt idx="1">
                  <c:v>0.95629866947814546</c:v>
                </c:pt>
                <c:pt idx="2">
                  <c:v>-0.33291817242508537</c:v>
                </c:pt>
                <c:pt idx="3">
                  <c:v>-0.33291817242508537</c:v>
                </c:pt>
              </c:numCache>
            </c:numRef>
          </c:yVal>
          <c:smooth val="0"/>
        </c:ser>
        <c:dLbls>
          <c:showLegendKey val="0"/>
          <c:showVal val="0"/>
          <c:showCatName val="0"/>
          <c:showSerName val="0"/>
          <c:showPercent val="0"/>
          <c:showBubbleSize val="0"/>
        </c:dLbls>
        <c:axId val="439093168"/>
        <c:axId val="439092384"/>
      </c:scatterChart>
      <c:valAx>
        <c:axId val="439093168"/>
        <c:scaling>
          <c:orientation val="minMax"/>
        </c:scaling>
        <c:delete val="1"/>
        <c:axPos val="b"/>
        <c:numFmt formatCode="General" sourceLinked="1"/>
        <c:majorTickMark val="out"/>
        <c:minorTickMark val="none"/>
        <c:tickLblPos val="nextTo"/>
        <c:crossAx val="439092384"/>
        <c:crosses val="max"/>
        <c:crossBetween val="midCat"/>
        <c:majorUnit val="1.0000000000000002E-2"/>
      </c:valAx>
      <c:valAx>
        <c:axId val="439092384"/>
        <c:scaling>
          <c:orientation val="maxMin"/>
        </c:scaling>
        <c:delete val="1"/>
        <c:axPos val="r"/>
        <c:numFmt formatCode="General" sourceLinked="1"/>
        <c:majorTickMark val="out"/>
        <c:minorTickMark val="none"/>
        <c:tickLblPos val="nextTo"/>
        <c:crossAx val="439093168"/>
        <c:crosses val="max"/>
        <c:crossBetween val="midCat"/>
        <c:majorUnit val="1.0000000000000002E-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212990</xdr:colOff>
      <xdr:row>0</xdr:row>
      <xdr:rowOff>152929</xdr:rowOff>
    </xdr:from>
    <xdr:to>
      <xdr:col>19</xdr:col>
      <xdr:colOff>740570</xdr:colOff>
      <xdr:row>10</xdr:row>
      <xdr:rowOff>112184</xdr:rowOff>
    </xdr:to>
    <xdr:grpSp>
      <xdr:nvGrpSpPr>
        <xdr:cNvPr id="9258" name="Group 22"/>
        <xdr:cNvGrpSpPr>
          <a:grpSpLocks/>
        </xdr:cNvGrpSpPr>
      </xdr:nvGrpSpPr>
      <xdr:grpSpPr bwMode="auto">
        <a:xfrm>
          <a:off x="10870407" y="152929"/>
          <a:ext cx="2284413" cy="1578505"/>
          <a:chOff x="892" y="428"/>
          <a:chExt cx="239" cy="162"/>
        </a:xfrm>
      </xdr:grpSpPr>
      <xdr:sp macro="" textlink="">
        <xdr:nvSpPr>
          <xdr:cNvPr id="9227" name="Rectangle 11"/>
          <xdr:cNvSpPr>
            <a:spLocks noChangeArrowheads="1"/>
          </xdr:cNvSpPr>
        </xdr:nvSpPr>
        <xdr:spPr bwMode="auto">
          <a:xfrm>
            <a:off x="892" y="428"/>
            <a:ext cx="239" cy="1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Vorzeichendefinition: pos. Richtungen</a:t>
            </a:r>
          </a:p>
        </xdr:txBody>
      </xdr:sp>
      <xdr:grpSp>
        <xdr:nvGrpSpPr>
          <xdr:cNvPr id="9261" name="Group 21"/>
          <xdr:cNvGrpSpPr>
            <a:grpSpLocks/>
          </xdr:cNvGrpSpPr>
        </xdr:nvGrpSpPr>
        <xdr:grpSpPr bwMode="auto">
          <a:xfrm>
            <a:off x="944" y="475"/>
            <a:ext cx="109" cy="89"/>
            <a:chOff x="944" y="475"/>
            <a:chExt cx="109" cy="89"/>
          </a:xfrm>
        </xdr:grpSpPr>
        <xdr:sp macro="" textlink="">
          <xdr:nvSpPr>
            <xdr:cNvPr id="9262" name="Oval 3"/>
            <xdr:cNvSpPr>
              <a:spLocks noChangeArrowheads="1"/>
            </xdr:cNvSpPr>
          </xdr:nvSpPr>
          <xdr:spPr bwMode="auto">
            <a:xfrm>
              <a:off x="994" y="505"/>
              <a:ext cx="9" cy="9"/>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63" name="Line 4"/>
            <xdr:cNvSpPr>
              <a:spLocks noChangeShapeType="1"/>
            </xdr:cNvSpPr>
          </xdr:nvSpPr>
          <xdr:spPr bwMode="auto">
            <a:xfrm>
              <a:off x="1006" y="509"/>
              <a:ext cx="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264" name="Line 5"/>
            <xdr:cNvSpPr>
              <a:spLocks noChangeShapeType="1"/>
            </xdr:cNvSpPr>
          </xdr:nvSpPr>
          <xdr:spPr bwMode="auto">
            <a:xfrm>
              <a:off x="997" y="520"/>
              <a:ext cx="0" cy="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265" name="Arc 6"/>
            <xdr:cNvSpPr>
              <a:spLocks/>
            </xdr:cNvSpPr>
          </xdr:nvSpPr>
          <xdr:spPr bwMode="auto">
            <a:xfrm flipH="1">
              <a:off x="965" y="475"/>
              <a:ext cx="34" cy="33"/>
            </a:xfrm>
            <a:custGeom>
              <a:avLst/>
              <a:gdLst>
                <a:gd name="T0" fmla="*/ 0 w 22401"/>
                <a:gd name="T1" fmla="*/ 0 h 21892"/>
                <a:gd name="T2" fmla="*/ 34 w 22401"/>
                <a:gd name="T3" fmla="*/ 33 h 21892"/>
                <a:gd name="T4" fmla="*/ 1 w 22401"/>
                <a:gd name="T5" fmla="*/ 33 h 21892"/>
                <a:gd name="T6" fmla="*/ 0 60000 65536"/>
                <a:gd name="T7" fmla="*/ 0 60000 65536"/>
                <a:gd name="T8" fmla="*/ 0 60000 65536"/>
              </a:gdLst>
              <a:ahLst/>
              <a:cxnLst>
                <a:cxn ang="T6">
                  <a:pos x="T0" y="T1"/>
                </a:cxn>
                <a:cxn ang="T7">
                  <a:pos x="T2" y="T3"/>
                </a:cxn>
                <a:cxn ang="T8">
                  <a:pos x="T4" y="T5"/>
                </a:cxn>
              </a:cxnLst>
              <a:rect l="0" t="0" r="r" b="b"/>
              <a:pathLst>
                <a:path w="22401" h="21892" fill="none" extrusionOk="0">
                  <a:moveTo>
                    <a:pt x="-1" y="14"/>
                  </a:moveTo>
                  <a:cubicBezTo>
                    <a:pt x="266" y="4"/>
                    <a:pt x="533" y="-1"/>
                    <a:pt x="801" y="0"/>
                  </a:cubicBezTo>
                  <a:cubicBezTo>
                    <a:pt x="12730" y="0"/>
                    <a:pt x="22401" y="9670"/>
                    <a:pt x="22401" y="21600"/>
                  </a:cubicBezTo>
                  <a:cubicBezTo>
                    <a:pt x="22401" y="21697"/>
                    <a:pt x="22400" y="21794"/>
                    <a:pt x="22399" y="21892"/>
                  </a:cubicBezTo>
                </a:path>
                <a:path w="22401" h="21892" stroke="0" extrusionOk="0">
                  <a:moveTo>
                    <a:pt x="-1" y="14"/>
                  </a:moveTo>
                  <a:cubicBezTo>
                    <a:pt x="266" y="4"/>
                    <a:pt x="533" y="-1"/>
                    <a:pt x="801" y="0"/>
                  </a:cubicBezTo>
                  <a:cubicBezTo>
                    <a:pt x="12730" y="0"/>
                    <a:pt x="22401" y="9670"/>
                    <a:pt x="22401" y="21600"/>
                  </a:cubicBezTo>
                  <a:cubicBezTo>
                    <a:pt x="22401" y="21697"/>
                    <a:pt x="22400" y="21794"/>
                    <a:pt x="22399" y="21892"/>
                  </a:cubicBezTo>
                  <a:lnTo>
                    <a:pt x="801" y="21600"/>
                  </a:lnTo>
                  <a:lnTo>
                    <a:pt x="-1" y="14"/>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9223" name="Text Box 7"/>
            <xdr:cNvSpPr txBox="1">
              <a:spLocks noChangeArrowheads="1"/>
            </xdr:cNvSpPr>
          </xdr:nvSpPr>
          <xdr:spPr bwMode="auto">
            <a:xfrm>
              <a:off x="944" y="496"/>
              <a:ext cx="1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000" b="0" i="0" u="none" strike="noStrike" baseline="0">
                  <a:solidFill>
                    <a:srgbClr val="000000"/>
                  </a:solidFill>
                  <a:latin typeface="Symbol"/>
                </a:rPr>
                <a:t>j</a:t>
              </a:r>
            </a:p>
          </xdr:txBody>
        </xdr:sp>
        <xdr:sp macro="" textlink="">
          <xdr:nvSpPr>
            <xdr:cNvPr id="9224" name="Text Box 8"/>
            <xdr:cNvSpPr txBox="1">
              <a:spLocks noChangeArrowheads="1"/>
            </xdr:cNvSpPr>
          </xdr:nvSpPr>
          <xdr:spPr bwMode="auto">
            <a:xfrm>
              <a:off x="1002" y="547"/>
              <a:ext cx="26"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000" b="0" i="0" u="none" strike="noStrike" baseline="0">
                  <a:solidFill>
                    <a:srgbClr val="000000"/>
                  </a:solidFill>
                  <a:latin typeface="Arial"/>
                  <a:cs typeface="Arial"/>
                </a:rPr>
                <a:t>z, w</a:t>
              </a:r>
            </a:p>
          </xdr:txBody>
        </xdr:sp>
        <xdr:sp macro="" textlink="">
          <xdr:nvSpPr>
            <xdr:cNvPr id="9225" name="Text Box 9"/>
            <xdr:cNvSpPr txBox="1">
              <a:spLocks noChangeArrowheads="1"/>
            </xdr:cNvSpPr>
          </xdr:nvSpPr>
          <xdr:spPr bwMode="auto">
            <a:xfrm>
              <a:off x="1029" y="519"/>
              <a:ext cx="24"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000" b="0" i="0" u="none" strike="noStrike" baseline="0">
                  <a:solidFill>
                    <a:srgbClr val="000000"/>
                  </a:solidFill>
                  <a:latin typeface="Arial"/>
                  <a:cs typeface="Arial"/>
                </a:rPr>
                <a:t>x, u</a:t>
              </a:r>
            </a:p>
          </xdr:txBody>
        </xdr:sp>
      </xdr:grpSp>
    </xdr:grpSp>
    <xdr:clientData/>
  </xdr:twoCellAnchor>
  <xdr:twoCellAnchor>
    <xdr:from>
      <xdr:col>11</xdr:col>
      <xdr:colOff>317501</xdr:colOff>
      <xdr:row>22</xdr:row>
      <xdr:rowOff>158749</xdr:rowOff>
    </xdr:from>
    <xdr:to>
      <xdr:col>16</xdr:col>
      <xdr:colOff>3176</xdr:colOff>
      <xdr:row>45</xdr:row>
      <xdr:rowOff>54409</xdr:rowOff>
    </xdr:to>
    <xdr:graphicFrame macro="">
      <xdr:nvGraphicFramePr>
        <xdr:cNvPr id="24"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22</xdr:row>
      <xdr:rowOff>137583</xdr:rowOff>
    </xdr:from>
    <xdr:to>
      <xdr:col>7</xdr:col>
      <xdr:colOff>306915</xdr:colOff>
      <xdr:row>45</xdr:row>
      <xdr:rowOff>119953</xdr:rowOff>
    </xdr:to>
    <xdr:graphicFrame macro="">
      <xdr:nvGraphicFramePr>
        <xdr:cNvPr id="1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728134</xdr:colOff>
      <xdr:row>21</xdr:row>
      <xdr:rowOff>155574</xdr:rowOff>
    </xdr:from>
    <xdr:to>
      <xdr:col>7</xdr:col>
      <xdr:colOff>511969</xdr:colOff>
      <xdr:row>45</xdr:row>
      <xdr:rowOff>33433</xdr:rowOff>
    </xdr:to>
    <xdr:graphicFrame macro="">
      <xdr:nvGraphicFramePr>
        <xdr:cNvPr id="205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723900</xdr:colOff>
          <xdr:row>21</xdr:row>
          <xdr:rowOff>152400</xdr:rowOff>
        </xdr:from>
        <xdr:to>
          <xdr:col>10</xdr:col>
          <xdr:colOff>0</xdr:colOff>
          <xdr:row>28</xdr:row>
          <xdr:rowOff>133350</xdr:rowOff>
        </xdr:to>
        <xdr:sp macro="" textlink="">
          <xdr:nvSpPr>
            <xdr:cNvPr id="2056" name="Object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22412</xdr:colOff>
      <xdr:row>21</xdr:row>
      <xdr:rowOff>155575</xdr:rowOff>
    </xdr:from>
    <xdr:to>
      <xdr:col>17</xdr:col>
      <xdr:colOff>470087</xdr:colOff>
      <xdr:row>44</xdr:row>
      <xdr:rowOff>94191</xdr:rowOff>
    </xdr:to>
    <xdr:graphicFrame macro="">
      <xdr:nvGraphicFramePr>
        <xdr:cNvPr id="1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5</xdr:row>
          <xdr:rowOff>9525</xdr:rowOff>
        </xdr:from>
        <xdr:to>
          <xdr:col>5</xdr:col>
          <xdr:colOff>609600</xdr:colOff>
          <xdr:row>10</xdr:row>
          <xdr:rowOff>171450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590550</xdr:colOff>
      <xdr:row>14</xdr:row>
      <xdr:rowOff>28575</xdr:rowOff>
    </xdr:from>
    <xdr:ext cx="18531" cy="170560"/>
    <xdr:sp macro="" textlink="">
      <xdr:nvSpPr>
        <xdr:cNvPr id="1050" name="Text Box 26"/>
        <xdr:cNvSpPr txBox="1">
          <a:spLocks noChangeArrowheads="1"/>
        </xdr:cNvSpPr>
      </xdr:nvSpPr>
      <xdr:spPr bwMode="auto">
        <a:xfrm>
          <a:off x="9567863" y="2671763"/>
          <a:ext cx="18531" cy="170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endParaRPr lang="de-DE" sz="1000" b="0" i="0" u="none" strike="noStrike" baseline="0">
            <a:solidFill>
              <a:srgbClr val="000000"/>
            </a:solidFill>
            <a:latin typeface="Arial"/>
            <a:cs typeface="Aria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3175</xdr:colOff>
      <xdr:row>2</xdr:row>
      <xdr:rowOff>139699</xdr:rowOff>
    </xdr:from>
    <xdr:to>
      <xdr:col>7</xdr:col>
      <xdr:colOff>0</xdr:colOff>
      <xdr:row>33</xdr:row>
      <xdr:rowOff>21794</xdr:rowOff>
    </xdr:to>
    <xdr:graphicFrame macro="">
      <xdr:nvGraphicFramePr>
        <xdr:cNvPr id="11"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774700</xdr:colOff>
      <xdr:row>2</xdr:row>
      <xdr:rowOff>139699</xdr:rowOff>
    </xdr:from>
    <xdr:to>
      <xdr:col>7</xdr:col>
      <xdr:colOff>0</xdr:colOff>
      <xdr:row>33</xdr:row>
      <xdr:rowOff>21794</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774700</xdr:colOff>
      <xdr:row>2</xdr:row>
      <xdr:rowOff>139699</xdr:rowOff>
    </xdr:from>
    <xdr:to>
      <xdr:col>7</xdr:col>
      <xdr:colOff>0</xdr:colOff>
      <xdr:row>33</xdr:row>
      <xdr:rowOff>21794</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AA161"/>
  <sheetViews>
    <sheetView tabSelected="1" zoomScale="90" zoomScaleNormal="90" workbookViewId="0">
      <selection activeCell="I29" sqref="I29"/>
    </sheetView>
  </sheetViews>
  <sheetFormatPr baseColWidth="10" defaultRowHeight="12.75" x14ac:dyDescent="0.2"/>
  <cols>
    <col min="1" max="1" width="3.7109375" customWidth="1"/>
    <col min="2" max="2" width="7.28515625" bestFit="1" customWidth="1"/>
    <col min="4" max="4" width="11.42578125" customWidth="1"/>
    <col min="5" max="5" width="7.5703125" customWidth="1"/>
    <col min="6" max="7" width="7.7109375" customWidth="1"/>
    <col min="17" max="17" width="3.42578125" customWidth="1"/>
  </cols>
  <sheetData>
    <row r="1" spans="2:20" ht="13.5" thickBot="1" x14ac:dyDescent="0.25">
      <c r="C1" s="455" t="s">
        <v>32</v>
      </c>
      <c r="D1" s="456"/>
      <c r="E1" s="464" t="s">
        <v>27</v>
      </c>
      <c r="F1" s="465"/>
      <c r="G1" s="466"/>
      <c r="H1" s="467" t="s">
        <v>28</v>
      </c>
      <c r="I1" s="468"/>
      <c r="J1" s="468"/>
      <c r="K1" s="457" t="s">
        <v>62</v>
      </c>
      <c r="L1" s="458"/>
      <c r="M1" s="459"/>
      <c r="N1" s="461" t="s">
        <v>66</v>
      </c>
      <c r="O1" s="462"/>
      <c r="P1" s="463"/>
    </row>
    <row r="2" spans="2:20" ht="13.5" thickBot="1" x14ac:dyDescent="0.25">
      <c r="B2" s="55" t="s">
        <v>3</v>
      </c>
      <c r="C2" s="46" t="s">
        <v>1</v>
      </c>
      <c r="D2" s="47" t="s">
        <v>2</v>
      </c>
      <c r="E2" s="50" t="s">
        <v>21</v>
      </c>
      <c r="F2" s="51" t="s">
        <v>22</v>
      </c>
      <c r="G2" s="52" t="s">
        <v>23</v>
      </c>
      <c r="H2" s="53" t="s">
        <v>24</v>
      </c>
      <c r="I2" s="54" t="s">
        <v>25</v>
      </c>
      <c r="J2" s="144" t="s">
        <v>26</v>
      </c>
      <c r="K2" s="70" t="s">
        <v>63</v>
      </c>
      <c r="L2" s="71" t="s">
        <v>64</v>
      </c>
      <c r="M2" s="147" t="s">
        <v>65</v>
      </c>
      <c r="N2" s="191" t="s">
        <v>21</v>
      </c>
      <c r="O2" s="192" t="s">
        <v>22</v>
      </c>
      <c r="P2" s="193" t="s">
        <v>23</v>
      </c>
    </row>
    <row r="3" spans="2:20" x14ac:dyDescent="0.2">
      <c r="B3" s="22">
        <v>1</v>
      </c>
      <c r="C3" s="358">
        <v>0</v>
      </c>
      <c r="D3" s="359">
        <v>0.75</v>
      </c>
      <c r="E3" s="360">
        <v>0</v>
      </c>
      <c r="F3" s="361">
        <v>0</v>
      </c>
      <c r="G3" s="362">
        <v>1</v>
      </c>
      <c r="H3" s="363"/>
      <c r="I3" s="364"/>
      <c r="J3" s="365"/>
      <c r="K3" s="366"/>
      <c r="L3" s="367"/>
      <c r="M3" s="368"/>
      <c r="N3" s="4">
        <f ca="1">IF(E3&lt;&gt;0,SIGN(E3)*INDIRECT("Ksys!" &amp; ADDRESS(ROW(Ksys!$B$1)+ABS(E3),COLUMN(Ksys!$B$1 ))),0)</f>
        <v>0</v>
      </c>
      <c r="O3" s="5">
        <f ca="1">IF(F3&lt;&gt;0,SIGN(F3)*INDIRECT("Ksys!" &amp; ADDRESS(ROW(Ksys!$B$1)+ABS(F3),COLUMN(Ksys!$B$1 ))),0)</f>
        <v>0</v>
      </c>
      <c r="P3" s="6">
        <f ca="1">IF(G3&lt;&gt;0,SIGN(G3)*INDIRECT("Ksys!" &amp; ADDRESS(ROW(Ksys!$B$1)+ABS(G3),COLUMN(Ksys!$B$1 ))),0)</f>
        <v>-3.440928079939998E-3</v>
      </c>
      <c r="R3" s="352" t="s">
        <v>191</v>
      </c>
      <c r="S3" s="353">
        <f ca="1">IF(MAX(EleData!CK:CK)=0,1,MAX(EleData!CK:CK))</f>
        <v>1.6470609543335233E-3</v>
      </c>
      <c r="T3" s="12"/>
    </row>
    <row r="4" spans="2:20" x14ac:dyDescent="0.2">
      <c r="B4" s="23">
        <v>2</v>
      </c>
      <c r="C4" s="369">
        <v>0.5</v>
      </c>
      <c r="D4" s="370">
        <v>0.25</v>
      </c>
      <c r="E4" s="371">
        <v>2</v>
      </c>
      <c r="F4" s="372">
        <v>3</v>
      </c>
      <c r="G4" s="373">
        <v>4</v>
      </c>
      <c r="H4" s="374"/>
      <c r="I4" s="375">
        <v>1</v>
      </c>
      <c r="J4" s="376"/>
      <c r="K4" s="377"/>
      <c r="L4" s="378"/>
      <c r="M4" s="379"/>
      <c r="N4" s="7">
        <f ca="1">IF(E4&lt;&gt;0,SIGN(E4)*INDIRECT("Ksys!" &amp; ADDRESS(ROW(Ksys!$B$1)+ABS(E4),COLUMN(Ksys!$B$1 ))),0)</f>
        <v>3.8609276954815165E-4</v>
      </c>
      <c r="O4" s="1">
        <f ca="1">IF(F4&lt;&gt;0,SIGN(F4)*INDIRECT("Ksys!" &amp; ADDRESS(ROW(Ksys!$B$1)+ABS(F4),COLUMN(Ksys!$B$1 ))),0)</f>
        <v>1.6470609543335233E-3</v>
      </c>
      <c r="P4" s="8">
        <f ca="1">IF(G4&lt;&gt;0,SIGN(G4)*INDIRECT("Ksys!" &amp; ADDRESS(ROW(Ksys!$B$1)+ABS(G4),COLUMN(Ksys!$B$1 ))),0)</f>
        <v>7.8239498823497731E-4</v>
      </c>
      <c r="R4" s="354" t="s">
        <v>187</v>
      </c>
      <c r="S4" s="355">
        <v>0.2</v>
      </c>
      <c r="T4" s="12"/>
    </row>
    <row r="5" spans="2:20" ht="13.5" thickBot="1" x14ac:dyDescent="0.25">
      <c r="B5" s="56">
        <v>3</v>
      </c>
      <c r="C5" s="380">
        <v>1</v>
      </c>
      <c r="D5" s="381">
        <v>0.25</v>
      </c>
      <c r="E5" s="382">
        <v>0</v>
      </c>
      <c r="F5" s="383">
        <v>0</v>
      </c>
      <c r="G5" s="384">
        <v>5</v>
      </c>
      <c r="H5" s="385"/>
      <c r="I5" s="375"/>
      <c r="J5" s="376"/>
      <c r="K5" s="377"/>
      <c r="L5" s="378"/>
      <c r="M5" s="379"/>
      <c r="N5" s="7">
        <f ca="1">IF(E5&lt;&gt;0,SIGN(E5)*INDIRECT("Ksys!" &amp; ADDRESS(ROW(Ksys!$B$1)+ABS(E5),COLUMN(Ksys!$B$1 ))),0)</f>
        <v>0</v>
      </c>
      <c r="O5" s="1">
        <f ca="1">IF(F5&lt;&gt;0,SIGN(F5)*INDIRECT("Ksys!" &amp; ADDRESS(ROW(Ksys!$B$1)+ABS(F5),COLUMN(Ksys!$B$1 ))),0)</f>
        <v>0</v>
      </c>
      <c r="P5" s="8">
        <f ca="1">IF(G5&lt;&gt;0,SIGN(G5)*INDIRECT("Ksys!" &amp; ADDRESS(ROW(Ksys!$B$1)+ABS(G5),COLUMN(Ksys!$B$1 ))),0)</f>
        <v>4.8104020355497473E-3</v>
      </c>
      <c r="R5" s="356" t="s">
        <v>192</v>
      </c>
      <c r="S5" s="357">
        <f ca="1">J36/S3*KnotenData!H4*S4</f>
        <v>152.4410301699439</v>
      </c>
    </row>
    <row r="6" spans="2:20" x14ac:dyDescent="0.2">
      <c r="B6" s="23">
        <v>4</v>
      </c>
      <c r="C6" s="380"/>
      <c r="D6" s="381"/>
      <c r="E6" s="382"/>
      <c r="F6" s="383"/>
      <c r="G6" s="384"/>
      <c r="H6" s="385"/>
      <c r="I6" s="375"/>
      <c r="J6" s="376"/>
      <c r="K6" s="377"/>
      <c r="L6" s="378"/>
      <c r="M6" s="379"/>
      <c r="N6" s="7">
        <f ca="1">IF(E6&lt;&gt;0,SIGN(E6)*INDIRECT("Ksys!" &amp; ADDRESS(ROW(Ksys!$B$1)+ABS(E6),COLUMN(Ksys!$B$1 ))),0)</f>
        <v>0</v>
      </c>
      <c r="O6" s="1">
        <f ca="1">IF(F6&lt;&gt;0,SIGN(F6)*INDIRECT("Ksys!" &amp; ADDRESS(ROW(Ksys!$B$1)+ABS(F6),COLUMN(Ksys!$B$1 ))),0)</f>
        <v>0</v>
      </c>
      <c r="P6" s="8">
        <f ca="1">IF(G6&lt;&gt;0,SIGN(G6)*INDIRECT("Ksys!" &amp; ADDRESS(ROW(Ksys!$B$1)+ABS(G6),COLUMN(Ksys!$B$1 ))),0)</f>
        <v>0</v>
      </c>
    </row>
    <row r="7" spans="2:20" x14ac:dyDescent="0.2">
      <c r="B7" s="23">
        <v>5</v>
      </c>
      <c r="C7" s="380"/>
      <c r="D7" s="381"/>
      <c r="E7" s="382"/>
      <c r="F7" s="383"/>
      <c r="G7" s="384"/>
      <c r="H7" s="385"/>
      <c r="I7" s="388"/>
      <c r="J7" s="376"/>
      <c r="K7" s="377"/>
      <c r="L7" s="378"/>
      <c r="M7" s="379"/>
      <c r="N7" s="7">
        <f ca="1">IF(E7&lt;&gt;0,SIGN(E7)*INDIRECT("Ksys!" &amp; ADDRESS(ROW(Ksys!$B$1)+ABS(E7),COLUMN(Ksys!$B$1 ))),0)</f>
        <v>0</v>
      </c>
      <c r="O7" s="1">
        <f ca="1">IF(F7&lt;&gt;0,SIGN(F7)*INDIRECT("Ksys!" &amp; ADDRESS(ROW(Ksys!$B$1)+ABS(F7),COLUMN(Ksys!$B$1 ))),0)</f>
        <v>0</v>
      </c>
      <c r="P7" s="8">
        <f ca="1">IF(G7&lt;&gt;0,SIGN(G7)*INDIRECT("Ksys!" &amp; ADDRESS(ROW(Ksys!$B$1)+ABS(G7),COLUMN(Ksys!$B$1 ))),0)</f>
        <v>0</v>
      </c>
    </row>
    <row r="8" spans="2:20" x14ac:dyDescent="0.2">
      <c r="B8" s="23">
        <v>6</v>
      </c>
      <c r="C8" s="369"/>
      <c r="D8" s="370"/>
      <c r="E8" s="382"/>
      <c r="F8" s="386"/>
      <c r="G8" s="387"/>
      <c r="H8" s="385"/>
      <c r="I8" s="388"/>
      <c r="J8" s="376"/>
      <c r="K8" s="377"/>
      <c r="L8" s="378"/>
      <c r="M8" s="379"/>
      <c r="N8" s="7">
        <f ca="1">IF(E8&lt;&gt;0,SIGN(E8)*INDIRECT("Ksys!" &amp; ADDRESS(ROW(Ksys!$B$1)+ABS(E8),COLUMN(Ksys!$B$1 ))),0)</f>
        <v>0</v>
      </c>
      <c r="O8" s="1">
        <f ca="1">IF(F8&lt;&gt;0,SIGN(F8)*INDIRECT("Ksys!" &amp; ADDRESS(ROW(Ksys!$B$1)+ABS(F8),COLUMN(Ksys!$B$1 ))),0)</f>
        <v>0</v>
      </c>
      <c r="P8" s="8">
        <f ca="1">IF(G8&lt;&gt;0,SIGN(G8)*INDIRECT("Ksys!" &amp; ADDRESS(ROW(Ksys!$B$1)+ABS(G8),COLUMN(Ksys!$B$1 ))),0)</f>
        <v>0</v>
      </c>
    </row>
    <row r="9" spans="2:20" x14ac:dyDescent="0.2">
      <c r="B9" s="23">
        <v>7</v>
      </c>
      <c r="C9" s="369"/>
      <c r="D9" s="370"/>
      <c r="E9" s="382"/>
      <c r="F9" s="386"/>
      <c r="G9" s="387"/>
      <c r="H9" s="385"/>
      <c r="I9" s="388"/>
      <c r="J9" s="376"/>
      <c r="K9" s="377"/>
      <c r="L9" s="378"/>
      <c r="M9" s="379"/>
      <c r="N9" s="7">
        <f ca="1">IF(E9&lt;&gt;0,SIGN(E9)*INDIRECT("Ksys!" &amp; ADDRESS(ROW(Ksys!$B$1)+ABS(E9),COLUMN(Ksys!$B$1 ))),0)</f>
        <v>0</v>
      </c>
      <c r="O9" s="1">
        <f ca="1">IF(F9&lt;&gt;0,SIGN(F9)*INDIRECT("Ksys!" &amp; ADDRESS(ROW(Ksys!$B$1)+ABS(F9),COLUMN(Ksys!$B$1 ))),0)</f>
        <v>0</v>
      </c>
      <c r="P9" s="8">
        <f ca="1">IF(G9&lt;&gt;0,SIGN(G9)*INDIRECT("Ksys!" &amp; ADDRESS(ROW(Ksys!$B$1)+ABS(G9),COLUMN(Ksys!$B$1 ))),0)</f>
        <v>0</v>
      </c>
    </row>
    <row r="10" spans="2:20" x14ac:dyDescent="0.2">
      <c r="B10" s="23">
        <v>8</v>
      </c>
      <c r="C10" s="369"/>
      <c r="D10" s="370"/>
      <c r="E10" s="382"/>
      <c r="F10" s="386"/>
      <c r="G10" s="387"/>
      <c r="H10" s="385"/>
      <c r="I10" s="388"/>
      <c r="J10" s="376"/>
      <c r="K10" s="377"/>
      <c r="L10" s="378"/>
      <c r="M10" s="379"/>
      <c r="N10" s="7">
        <f ca="1">IF(E10&lt;&gt;0,SIGN(E10)*INDIRECT("Ksys!" &amp; ADDRESS(ROW(Ksys!$B$1)+ABS(E10),COLUMN(Ksys!$B$1 ))),0)</f>
        <v>0</v>
      </c>
      <c r="O10" s="1">
        <f ca="1">IF(F10&lt;&gt;0,SIGN(F10)*INDIRECT("Ksys!" &amp; ADDRESS(ROW(Ksys!$B$1)+ABS(F10),COLUMN(Ksys!$B$1 ))),0)</f>
        <v>0</v>
      </c>
      <c r="P10" s="8">
        <f ca="1">IF(G10&lt;&gt;0,SIGN(G10)*INDIRECT("Ksys!" &amp; ADDRESS(ROW(Ksys!$B$1)+ABS(G10),COLUMN(Ksys!$B$1 ))),0)</f>
        <v>0</v>
      </c>
    </row>
    <row r="11" spans="2:20" x14ac:dyDescent="0.2">
      <c r="B11" s="23">
        <v>9</v>
      </c>
      <c r="C11" s="369"/>
      <c r="D11" s="370"/>
      <c r="E11" s="382"/>
      <c r="F11" s="372"/>
      <c r="G11" s="387"/>
      <c r="H11" s="385"/>
      <c r="I11" s="388"/>
      <c r="J11" s="376"/>
      <c r="K11" s="377"/>
      <c r="L11" s="378"/>
      <c r="M11" s="379"/>
      <c r="N11" s="7">
        <f ca="1">IF(E11&lt;&gt;0,SIGN(E11)*INDIRECT("Ksys!" &amp; ADDRESS(ROW(Ksys!$B$1)+ABS(E11),COLUMN(Ksys!$B$1 ))),0)</f>
        <v>0</v>
      </c>
      <c r="O11" s="1">
        <f ca="1">IF(F11&lt;&gt;0,SIGN(F11)*INDIRECT("Ksys!" &amp; ADDRESS(ROW(Ksys!$B$1)+ABS(F11),COLUMN(Ksys!$B$1 ))),0)</f>
        <v>0</v>
      </c>
      <c r="P11" s="8">
        <f ca="1">IF(G11&lt;&gt;0,SIGN(G11)*INDIRECT("Ksys!" &amp; ADDRESS(ROW(Ksys!$B$1)+ABS(G11),COLUMN(Ksys!$B$1 ))),0)</f>
        <v>0</v>
      </c>
    </row>
    <row r="12" spans="2:20" x14ac:dyDescent="0.2">
      <c r="B12" s="23">
        <v>10</v>
      </c>
      <c r="C12" s="369"/>
      <c r="D12" s="370"/>
      <c r="E12" s="382"/>
      <c r="F12" s="386"/>
      <c r="G12" s="387"/>
      <c r="H12" s="385"/>
      <c r="I12" s="388"/>
      <c r="J12" s="376"/>
      <c r="K12" s="377"/>
      <c r="L12" s="378"/>
      <c r="M12" s="379"/>
      <c r="N12" s="7">
        <f ca="1">IF(E12&lt;&gt;0,SIGN(E12)*INDIRECT("Ksys!" &amp; ADDRESS(ROW(Ksys!$B$1)+ABS(E12),COLUMN(Ksys!$B$1 ))),0)</f>
        <v>0</v>
      </c>
      <c r="O12" s="1">
        <f ca="1">IF(F12&lt;&gt;0,SIGN(F12)*INDIRECT("Ksys!" &amp; ADDRESS(ROW(Ksys!$B$1)+ABS(F12),COLUMN(Ksys!$B$1 ))),0)</f>
        <v>0</v>
      </c>
      <c r="P12" s="8">
        <f ca="1">IF(G12&lt;&gt;0,SIGN(G12)*INDIRECT("Ksys!" &amp; ADDRESS(ROW(Ksys!$B$1)+ABS(G12),COLUMN(Ksys!$B$1 ))),0)</f>
        <v>0</v>
      </c>
    </row>
    <row r="13" spans="2:20" x14ac:dyDescent="0.2">
      <c r="B13" s="23">
        <v>11</v>
      </c>
      <c r="C13" s="369"/>
      <c r="D13" s="370"/>
      <c r="E13" s="382"/>
      <c r="F13" s="386"/>
      <c r="G13" s="387"/>
      <c r="H13" s="385"/>
      <c r="I13" s="388"/>
      <c r="J13" s="376"/>
      <c r="K13" s="377"/>
      <c r="L13" s="378"/>
      <c r="M13" s="379"/>
      <c r="N13" s="7">
        <f ca="1">IF(E13&lt;&gt;0,SIGN(E13)*INDIRECT("Ksys!" &amp; ADDRESS(ROW(Ksys!$B$1)+ABS(E13),COLUMN(Ksys!$B$1 ))),0)</f>
        <v>0</v>
      </c>
      <c r="O13" s="1">
        <f ca="1">IF(F13&lt;&gt;0,SIGN(F13)*INDIRECT("Ksys!" &amp; ADDRESS(ROW(Ksys!$B$1)+ABS(F13),COLUMN(Ksys!$B$1 ))),0)</f>
        <v>0</v>
      </c>
      <c r="P13" s="8">
        <f ca="1">IF(G13&lt;&gt;0,SIGN(G13)*INDIRECT("Ksys!" &amp; ADDRESS(ROW(Ksys!$B$1)+ABS(G13),COLUMN(Ksys!$B$1 ))),0)</f>
        <v>0</v>
      </c>
    </row>
    <row r="14" spans="2:20" x14ac:dyDescent="0.2">
      <c r="B14" s="23">
        <v>12</v>
      </c>
      <c r="C14" s="369"/>
      <c r="D14" s="370"/>
      <c r="E14" s="382"/>
      <c r="F14" s="386"/>
      <c r="G14" s="387"/>
      <c r="H14" s="385"/>
      <c r="I14" s="388"/>
      <c r="J14" s="376"/>
      <c r="K14" s="377"/>
      <c r="L14" s="378"/>
      <c r="M14" s="379"/>
      <c r="N14" s="7">
        <f ca="1">IF(E14&lt;&gt;0,SIGN(E14)*INDIRECT("Ksys!" &amp; ADDRESS(ROW(Ksys!$B$1)+ABS(E14),COLUMN(Ksys!$B$1 ))),0)</f>
        <v>0</v>
      </c>
      <c r="O14" s="1">
        <f ca="1">IF(F14&lt;&gt;0,SIGN(F14)*INDIRECT("Ksys!" &amp; ADDRESS(ROW(Ksys!$B$1)+ABS(F14),COLUMN(Ksys!$B$1 ))),0)</f>
        <v>0</v>
      </c>
      <c r="P14" s="8">
        <f ca="1">IF(G14&lt;&gt;0,SIGN(G14)*INDIRECT("Ksys!" &amp; ADDRESS(ROW(Ksys!$B$1)+ABS(G14),COLUMN(Ksys!$B$1 ))),0)</f>
        <v>0</v>
      </c>
    </row>
    <row r="15" spans="2:20" x14ac:dyDescent="0.2">
      <c r="B15" s="23">
        <v>13</v>
      </c>
      <c r="C15" s="369"/>
      <c r="D15" s="370"/>
      <c r="E15" s="382"/>
      <c r="F15" s="386"/>
      <c r="G15" s="387"/>
      <c r="H15" s="385"/>
      <c r="I15" s="388"/>
      <c r="J15" s="376"/>
      <c r="K15" s="377"/>
      <c r="L15" s="378"/>
      <c r="M15" s="379"/>
      <c r="N15" s="7">
        <f ca="1">IF(E15&lt;&gt;0,SIGN(E15)*INDIRECT("Ksys!" &amp; ADDRESS(ROW(Ksys!$B$1)+ABS(E15),COLUMN(Ksys!$B$1 ))),0)</f>
        <v>0</v>
      </c>
      <c r="O15" s="1">
        <f ca="1">IF(F15&lt;&gt;0,SIGN(F15)*INDIRECT("Ksys!" &amp; ADDRESS(ROW(Ksys!$B$1)+ABS(F15),COLUMN(Ksys!$B$1 ))),0)</f>
        <v>0</v>
      </c>
      <c r="P15" s="8">
        <f ca="1">IF(G15&lt;&gt;0,SIGN(G15)*INDIRECT("Ksys!" &amp; ADDRESS(ROW(Ksys!$B$1)+ABS(G15),COLUMN(Ksys!$B$1 ))),0)</f>
        <v>0</v>
      </c>
    </row>
    <row r="16" spans="2:20" x14ac:dyDescent="0.2">
      <c r="B16" s="23">
        <v>14</v>
      </c>
      <c r="C16" s="369"/>
      <c r="D16" s="370"/>
      <c r="E16" s="382"/>
      <c r="F16" s="386"/>
      <c r="G16" s="387"/>
      <c r="H16" s="385"/>
      <c r="I16" s="388"/>
      <c r="J16" s="376"/>
      <c r="K16" s="377"/>
      <c r="L16" s="378"/>
      <c r="M16" s="379"/>
      <c r="N16" s="7">
        <f ca="1">IF(E16&lt;&gt;0,SIGN(E16)*INDIRECT("Ksys!" &amp; ADDRESS(ROW(Ksys!$B$1)+ABS(E16),COLUMN(Ksys!$B$1 ))),0)</f>
        <v>0</v>
      </c>
      <c r="O16" s="1">
        <f ca="1">IF(F16&lt;&gt;0,SIGN(F16)*INDIRECT("Ksys!" &amp; ADDRESS(ROW(Ksys!$B$1)+ABS(F16),COLUMN(Ksys!$B$1 ))),0)</f>
        <v>0</v>
      </c>
      <c r="P16" s="8">
        <f ca="1">IF(G16&lt;&gt;0,SIGN(G16)*INDIRECT("Ksys!" &amp; ADDRESS(ROW(Ksys!$B$1)+ABS(G16),COLUMN(Ksys!$B$1 ))),0)</f>
        <v>0</v>
      </c>
    </row>
    <row r="17" spans="2:20" x14ac:dyDescent="0.2">
      <c r="B17" s="23">
        <v>15</v>
      </c>
      <c r="C17" s="369"/>
      <c r="D17" s="370"/>
      <c r="E17" s="382"/>
      <c r="F17" s="386"/>
      <c r="G17" s="387"/>
      <c r="H17" s="385"/>
      <c r="I17" s="388"/>
      <c r="J17" s="376"/>
      <c r="K17" s="377"/>
      <c r="L17" s="378"/>
      <c r="M17" s="379"/>
      <c r="N17" s="7">
        <f ca="1">IF(E17&lt;&gt;0,SIGN(E17)*INDIRECT("Ksys!" &amp; ADDRESS(ROW(Ksys!$B$1)+ABS(E17),COLUMN(Ksys!$B$1 ))),0)</f>
        <v>0</v>
      </c>
      <c r="O17" s="1">
        <f ca="1">IF(F17&lt;&gt;0,SIGN(F17)*INDIRECT("Ksys!" &amp; ADDRESS(ROW(Ksys!$B$1)+ABS(F17),COLUMN(Ksys!$B$1 ))),0)</f>
        <v>0</v>
      </c>
      <c r="P17" s="8">
        <f ca="1">IF(G17&lt;&gt;0,SIGN(G17)*INDIRECT("Ksys!" &amp; ADDRESS(ROW(Ksys!$B$1)+ABS(G17),COLUMN(Ksys!$B$1 ))),0)</f>
        <v>0</v>
      </c>
      <c r="R17" s="12"/>
      <c r="S17" s="12"/>
      <c r="T17" s="12"/>
    </row>
    <row r="18" spans="2:20" x14ac:dyDescent="0.2">
      <c r="B18" s="23">
        <v>16</v>
      </c>
      <c r="C18" s="369"/>
      <c r="D18" s="370"/>
      <c r="E18" s="382"/>
      <c r="F18" s="386"/>
      <c r="G18" s="387"/>
      <c r="H18" s="385"/>
      <c r="I18" s="388"/>
      <c r="J18" s="376"/>
      <c r="K18" s="377"/>
      <c r="L18" s="378"/>
      <c r="M18" s="379"/>
      <c r="N18" s="7">
        <f ca="1">IF(E18&lt;&gt;0,SIGN(E18)*INDIRECT("Ksys!" &amp; ADDRESS(ROW(Ksys!$B$1)+ABS(E18),COLUMN(Ksys!$B$1 ))),0)</f>
        <v>0</v>
      </c>
      <c r="O18" s="1">
        <f ca="1">IF(F18&lt;&gt;0,SIGN(F18)*INDIRECT("Ksys!" &amp; ADDRESS(ROW(Ksys!$B$1)+ABS(F18),COLUMN(Ksys!$B$1 ))),0)</f>
        <v>0</v>
      </c>
      <c r="P18" s="8">
        <f ca="1">IF(G18&lt;&gt;0,SIGN(G18)*INDIRECT("Ksys!" &amp; ADDRESS(ROW(Ksys!$B$1)+ABS(G18),COLUMN(Ksys!$B$1 ))),0)</f>
        <v>0</v>
      </c>
      <c r="R18" s="12"/>
      <c r="S18" s="12"/>
      <c r="T18" s="12"/>
    </row>
    <row r="19" spans="2:20" x14ac:dyDescent="0.2">
      <c r="B19" s="23">
        <v>17</v>
      </c>
      <c r="C19" s="369"/>
      <c r="D19" s="370"/>
      <c r="E19" s="382"/>
      <c r="F19" s="386"/>
      <c r="G19" s="387"/>
      <c r="H19" s="385"/>
      <c r="I19" s="388"/>
      <c r="J19" s="376"/>
      <c r="K19" s="377"/>
      <c r="L19" s="378"/>
      <c r="M19" s="379"/>
      <c r="N19" s="7">
        <f ca="1">IF(E19&lt;&gt;0,SIGN(E19)*INDIRECT("Ksys!" &amp; ADDRESS(ROW(Ksys!$B$1)+ABS(E19),COLUMN(Ksys!$B$1 ))),0)</f>
        <v>0</v>
      </c>
      <c r="O19" s="1">
        <f ca="1">IF(F19&lt;&gt;0,SIGN(F19)*INDIRECT("Ksys!" &amp; ADDRESS(ROW(Ksys!$B$1)+ABS(F19),COLUMN(Ksys!$B$1 ))),0)</f>
        <v>0</v>
      </c>
      <c r="P19" s="8">
        <f ca="1">IF(G19&lt;&gt;0,SIGN(G19)*INDIRECT("Ksys!" &amp; ADDRESS(ROW(Ksys!$B$1)+ABS(G19),COLUMN(Ksys!$B$1 ))),0)</f>
        <v>0</v>
      </c>
      <c r="R19" s="12"/>
      <c r="S19" s="12"/>
      <c r="T19" s="12"/>
    </row>
    <row r="20" spans="2:20" x14ac:dyDescent="0.2">
      <c r="B20" s="23">
        <v>18</v>
      </c>
      <c r="C20" s="369"/>
      <c r="D20" s="370"/>
      <c r="E20" s="382"/>
      <c r="F20" s="386"/>
      <c r="G20" s="387"/>
      <c r="H20" s="385"/>
      <c r="I20" s="388"/>
      <c r="J20" s="376"/>
      <c r="K20" s="377"/>
      <c r="L20" s="378"/>
      <c r="M20" s="379"/>
      <c r="N20" s="7">
        <f ca="1">IF(E20&lt;&gt;0,SIGN(E20)*INDIRECT("Ksys!" &amp; ADDRESS(ROW(Ksys!$B$1)+ABS(E20),COLUMN(Ksys!$B$1 ))),0)</f>
        <v>0</v>
      </c>
      <c r="O20" s="1">
        <f ca="1">IF(F20&lt;&gt;0,SIGN(F20)*INDIRECT("Ksys!" &amp; ADDRESS(ROW(Ksys!$B$1)+ABS(F20),COLUMN(Ksys!$B$1 ))),0)</f>
        <v>0</v>
      </c>
      <c r="P20" s="8">
        <f ca="1">IF(G20&lt;&gt;0,SIGN(G20)*INDIRECT("Ksys!" &amp; ADDRESS(ROW(Ksys!$B$1)+ABS(G20),COLUMN(Ksys!$B$1 ))),0)</f>
        <v>0</v>
      </c>
      <c r="R20" s="12"/>
      <c r="S20" s="12"/>
      <c r="T20" s="12"/>
    </row>
    <row r="21" spans="2:20" x14ac:dyDescent="0.2">
      <c r="B21" s="23">
        <v>19</v>
      </c>
      <c r="C21" s="369"/>
      <c r="D21" s="370"/>
      <c r="E21" s="382"/>
      <c r="F21" s="386"/>
      <c r="G21" s="387"/>
      <c r="H21" s="385"/>
      <c r="I21" s="388"/>
      <c r="J21" s="376"/>
      <c r="K21" s="377"/>
      <c r="L21" s="378"/>
      <c r="M21" s="379"/>
      <c r="N21" s="7">
        <f ca="1">IF(E21&lt;&gt;0,SIGN(E21)*INDIRECT("Ksys!" &amp; ADDRESS(ROW(Ksys!$B$1)+ABS(E21),COLUMN(Ksys!$B$1 ))),0)</f>
        <v>0</v>
      </c>
      <c r="O21" s="1">
        <f ca="1">IF(F21&lt;&gt;0,SIGN(F21)*INDIRECT("Ksys!" &amp; ADDRESS(ROW(Ksys!$B$1)+ABS(F21),COLUMN(Ksys!$B$1 ))),0)</f>
        <v>0</v>
      </c>
      <c r="P21" s="8">
        <f ca="1">IF(G21&lt;&gt;0,SIGN(G21)*INDIRECT("Ksys!" &amp; ADDRESS(ROW(Ksys!$B$1)+ABS(G21),COLUMN(Ksys!$B$1 ))),0)</f>
        <v>0</v>
      </c>
      <c r="R21" s="12"/>
      <c r="S21" s="12"/>
      <c r="T21" s="12"/>
    </row>
    <row r="22" spans="2:20" ht="13.5" thickBot="1" x14ac:dyDescent="0.25">
      <c r="B22" s="24">
        <v>20</v>
      </c>
      <c r="C22" s="389"/>
      <c r="D22" s="390"/>
      <c r="E22" s="391"/>
      <c r="F22" s="392"/>
      <c r="G22" s="393"/>
      <c r="H22" s="394"/>
      <c r="I22" s="395"/>
      <c r="J22" s="396"/>
      <c r="K22" s="397"/>
      <c r="L22" s="398"/>
      <c r="M22" s="399"/>
      <c r="N22" s="9">
        <f ca="1">IF(E22&lt;&gt;0,SIGN(E22)*INDIRECT("Ksys!" &amp; ADDRESS(ROW(Ksys!$B$1)+ABS(E22),COLUMN(Ksys!$B$1 ))),0)</f>
        <v>0</v>
      </c>
      <c r="O22" s="10">
        <f ca="1">IF(F22&lt;&gt;0,SIGN(F22)*INDIRECT("Ksys!" &amp; ADDRESS(ROW(Ksys!$B$1)+ABS(F22),COLUMN(Ksys!$B$1 ))),0)</f>
        <v>0</v>
      </c>
      <c r="P22" s="146">
        <f ca="1">IF(G22&lt;&gt;0,SIGN(G22)*INDIRECT("Ksys!" &amp; ADDRESS(ROW(Ksys!$B$1)+ABS(G22),COLUMN(Ksys!$B$1 ))),0)</f>
        <v>0</v>
      </c>
      <c r="R22" s="12"/>
      <c r="S22" s="12"/>
      <c r="T22" s="12"/>
    </row>
    <row r="23" spans="2:20" x14ac:dyDescent="0.2">
      <c r="R23" s="12"/>
      <c r="S23" s="12"/>
      <c r="T23" s="12"/>
    </row>
    <row r="24" spans="2:20" x14ac:dyDescent="0.2">
      <c r="R24" s="12"/>
      <c r="S24" s="12"/>
      <c r="T24" s="12"/>
    </row>
    <row r="25" spans="2:20" x14ac:dyDescent="0.2">
      <c r="K25" s="92"/>
      <c r="L25" s="92"/>
      <c r="M25" s="92"/>
    </row>
    <row r="26" spans="2:20" x14ac:dyDescent="0.2">
      <c r="M26" s="12"/>
    </row>
    <row r="27" spans="2:20" x14ac:dyDescent="0.2">
      <c r="I27" s="92"/>
      <c r="J27" s="92"/>
      <c r="K27" s="92"/>
      <c r="L27" s="201"/>
    </row>
    <row r="28" spans="2:20" x14ac:dyDescent="0.2">
      <c r="I28" s="460"/>
      <c r="J28" s="460"/>
      <c r="K28" s="92"/>
      <c r="L28" s="201"/>
    </row>
    <row r="29" spans="2:20" x14ac:dyDescent="0.2">
      <c r="B29" s="92"/>
      <c r="C29" s="92"/>
      <c r="D29" s="92"/>
      <c r="E29" s="92"/>
      <c r="K29" s="92"/>
      <c r="L29" s="92"/>
    </row>
    <row r="30" spans="2:20" x14ac:dyDescent="0.2">
      <c r="B30" s="92"/>
      <c r="C30" s="92"/>
      <c r="D30" s="92"/>
      <c r="E30" s="92"/>
      <c r="I30" s="92"/>
      <c r="J30" s="92"/>
      <c r="K30" s="92"/>
      <c r="L30" s="92"/>
    </row>
    <row r="31" spans="2:20" x14ac:dyDescent="0.2">
      <c r="B31" s="92"/>
      <c r="C31" s="92"/>
      <c r="D31" s="92"/>
      <c r="E31" s="92"/>
    </row>
    <row r="32" spans="2:20" x14ac:dyDescent="0.2">
      <c r="B32" s="92"/>
      <c r="C32" s="92"/>
      <c r="D32" s="92"/>
      <c r="E32" s="92"/>
    </row>
    <row r="33" spans="2:10" x14ac:dyDescent="0.2">
      <c r="B33" s="92"/>
      <c r="C33" s="92"/>
      <c r="D33" s="92"/>
      <c r="E33" s="92"/>
    </row>
    <row r="34" spans="2:10" x14ac:dyDescent="0.2">
      <c r="B34" s="92"/>
      <c r="C34" s="92"/>
      <c r="D34" s="92"/>
      <c r="E34" s="92"/>
    </row>
    <row r="35" spans="2:10" ht="13.5" thickBot="1" x14ac:dyDescent="0.25">
      <c r="B35" s="92"/>
      <c r="C35" s="92"/>
      <c r="D35" s="92"/>
      <c r="E35" s="92"/>
      <c r="F35" s="91"/>
      <c r="G35" s="91"/>
    </row>
    <row r="36" spans="2:10" ht="13.5" thickBot="1" x14ac:dyDescent="0.25">
      <c r="B36" s="201"/>
      <c r="C36" s="92"/>
      <c r="D36" s="92"/>
      <c r="E36" s="92"/>
      <c r="F36" s="91"/>
      <c r="G36" s="91"/>
      <c r="I36" s="298" t="s">
        <v>49</v>
      </c>
      <c r="J36" s="400">
        <v>2</v>
      </c>
    </row>
    <row r="37" spans="2:10" x14ac:dyDescent="0.2">
      <c r="B37" s="172"/>
      <c r="D37" s="92"/>
      <c r="E37" s="92"/>
      <c r="F37" s="91"/>
      <c r="G37" s="91"/>
    </row>
    <row r="38" spans="2:10" x14ac:dyDescent="0.2">
      <c r="B38" s="201"/>
      <c r="C38" s="92"/>
      <c r="D38" s="92"/>
      <c r="E38" s="92"/>
      <c r="F38" s="91"/>
      <c r="G38" s="91"/>
    </row>
    <row r="39" spans="2:10" x14ac:dyDescent="0.2">
      <c r="B39" s="201"/>
      <c r="C39" s="92"/>
      <c r="D39" s="92"/>
      <c r="E39" s="92"/>
      <c r="F39" s="91"/>
      <c r="G39" s="91"/>
      <c r="J39" s="169"/>
    </row>
    <row r="40" spans="2:10" x14ac:dyDescent="0.2">
      <c r="B40" s="92"/>
      <c r="C40" s="92"/>
      <c r="D40" s="92"/>
      <c r="E40" s="92"/>
      <c r="J40" s="169"/>
    </row>
    <row r="41" spans="2:10" x14ac:dyDescent="0.2">
      <c r="B41" s="92"/>
      <c r="C41" s="92"/>
      <c r="D41" s="92"/>
      <c r="E41" s="92"/>
    </row>
    <row r="42" spans="2:10" x14ac:dyDescent="0.2">
      <c r="B42" s="92"/>
      <c r="C42" s="92"/>
      <c r="D42" s="92"/>
      <c r="E42" s="92"/>
    </row>
    <row r="43" spans="2:10" x14ac:dyDescent="0.2">
      <c r="B43" s="92"/>
      <c r="C43" s="92"/>
      <c r="D43" s="92"/>
      <c r="E43" s="92"/>
    </row>
    <row r="44" spans="2:10" x14ac:dyDescent="0.2">
      <c r="B44" s="92"/>
      <c r="C44" s="92"/>
      <c r="D44" s="92"/>
      <c r="E44" s="92"/>
    </row>
    <row r="45" spans="2:10" x14ac:dyDescent="0.2">
      <c r="B45" s="92"/>
      <c r="C45" s="92"/>
      <c r="D45" s="92"/>
      <c r="E45" s="92"/>
    </row>
    <row r="46" spans="2:10" x14ac:dyDescent="0.2">
      <c r="B46" s="92"/>
      <c r="C46" s="92"/>
      <c r="D46" s="92"/>
      <c r="E46" s="92"/>
    </row>
    <row r="47" spans="2:10" x14ac:dyDescent="0.2">
      <c r="B47" s="92"/>
      <c r="C47" s="92"/>
      <c r="D47" s="92"/>
      <c r="E47" s="92"/>
    </row>
    <row r="48" spans="2:10" x14ac:dyDescent="0.2">
      <c r="B48" s="92"/>
      <c r="C48" s="92"/>
      <c r="D48" s="92"/>
      <c r="E48" s="92"/>
    </row>
    <row r="49" spans="2:5" x14ac:dyDescent="0.2">
      <c r="B49" s="92"/>
      <c r="C49" s="92"/>
      <c r="D49" s="92"/>
      <c r="E49" s="92"/>
    </row>
    <row r="50" spans="2:5" x14ac:dyDescent="0.2">
      <c r="B50" s="92"/>
      <c r="C50" s="92"/>
      <c r="D50" s="92"/>
      <c r="E50" s="92"/>
    </row>
    <row r="51" spans="2:5" x14ac:dyDescent="0.2">
      <c r="B51" s="92"/>
      <c r="C51" s="92"/>
      <c r="D51" s="92"/>
      <c r="E51" s="92"/>
    </row>
    <row r="52" spans="2:5" x14ac:dyDescent="0.2">
      <c r="B52" s="92"/>
      <c r="C52" s="92"/>
      <c r="D52" s="92"/>
      <c r="E52" s="92"/>
    </row>
    <row r="53" spans="2:5" x14ac:dyDescent="0.2">
      <c r="B53" s="92"/>
      <c r="C53" s="92"/>
      <c r="D53" s="92"/>
      <c r="E53" s="92"/>
    </row>
    <row r="54" spans="2:5" x14ac:dyDescent="0.2">
      <c r="B54" s="92"/>
      <c r="C54" s="92"/>
      <c r="D54" s="92"/>
      <c r="E54" s="92"/>
    </row>
    <row r="55" spans="2:5" x14ac:dyDescent="0.2">
      <c r="B55" s="92"/>
      <c r="C55" s="92"/>
      <c r="D55" s="92"/>
      <c r="E55" s="92"/>
    </row>
    <row r="56" spans="2:5" x14ac:dyDescent="0.2">
      <c r="B56" s="92"/>
      <c r="C56" s="92"/>
      <c r="D56" s="92"/>
      <c r="E56" s="92"/>
    </row>
    <row r="57" spans="2:5" x14ac:dyDescent="0.2">
      <c r="B57" s="92"/>
      <c r="C57" s="92"/>
      <c r="D57" s="92"/>
      <c r="E57" s="92"/>
    </row>
    <row r="58" spans="2:5" x14ac:dyDescent="0.2">
      <c r="B58" s="92"/>
      <c r="C58" s="92"/>
      <c r="D58" s="92"/>
      <c r="E58" s="92"/>
    </row>
    <row r="59" spans="2:5" x14ac:dyDescent="0.2">
      <c r="B59" s="92"/>
      <c r="C59" s="92"/>
      <c r="D59" s="92"/>
      <c r="E59" s="92"/>
    </row>
    <row r="60" spans="2:5" x14ac:dyDescent="0.2">
      <c r="B60" s="92"/>
      <c r="C60" s="92"/>
      <c r="D60" s="92"/>
      <c r="E60" s="92"/>
    </row>
    <row r="61" spans="2:5" x14ac:dyDescent="0.2">
      <c r="B61" s="92"/>
      <c r="C61" s="92"/>
      <c r="D61" s="92"/>
      <c r="E61" s="92"/>
    </row>
    <row r="62" spans="2:5" x14ac:dyDescent="0.2">
      <c r="B62" s="92"/>
      <c r="C62" s="92"/>
      <c r="D62" s="92"/>
      <c r="E62" s="92"/>
    </row>
    <row r="63" spans="2:5" x14ac:dyDescent="0.2">
      <c r="B63" s="92"/>
      <c r="C63" s="92"/>
      <c r="D63" s="92"/>
      <c r="E63" s="92"/>
    </row>
    <row r="64" spans="2:5" x14ac:dyDescent="0.2">
      <c r="B64" s="92"/>
      <c r="C64" s="92"/>
      <c r="D64" s="92"/>
      <c r="E64" s="92"/>
    </row>
    <row r="65" spans="2:27" x14ac:dyDescent="0.2">
      <c r="B65" s="92"/>
      <c r="C65" s="92"/>
      <c r="D65" s="92"/>
      <c r="E65" s="92"/>
    </row>
    <row r="66" spans="2:27" x14ac:dyDescent="0.2">
      <c r="B66" s="92"/>
      <c r="C66" s="92"/>
      <c r="D66" s="92"/>
      <c r="E66" s="92"/>
    </row>
    <row r="67" spans="2:27" x14ac:dyDescent="0.2">
      <c r="B67" s="92"/>
      <c r="C67" s="92"/>
      <c r="D67" s="92"/>
      <c r="E67" s="92"/>
    </row>
    <row r="68" spans="2:27" x14ac:dyDescent="0.2">
      <c r="B68" s="92"/>
      <c r="C68" s="92"/>
      <c r="D68" s="92"/>
      <c r="E68" s="92"/>
    </row>
    <row r="69" spans="2:27" x14ac:dyDescent="0.2">
      <c r="B69" s="92"/>
      <c r="C69" s="92"/>
      <c r="D69" s="92"/>
      <c r="E69" s="92"/>
    </row>
    <row r="70" spans="2:27" x14ac:dyDescent="0.2">
      <c r="B70" s="92"/>
      <c r="C70" s="92"/>
      <c r="D70" s="92"/>
      <c r="E70" s="92"/>
    </row>
    <row r="71" spans="2:27" x14ac:dyDescent="0.2">
      <c r="B71" s="92"/>
      <c r="C71" s="92"/>
      <c r="D71" s="92"/>
      <c r="E71" s="92"/>
    </row>
    <row r="72" spans="2:27" x14ac:dyDescent="0.2">
      <c r="B72" s="92"/>
      <c r="C72" s="92"/>
      <c r="D72" s="92"/>
      <c r="E72" s="92"/>
    </row>
    <row r="75" spans="2:27" x14ac:dyDescent="0.2">
      <c r="B75" s="92"/>
      <c r="C75" s="202"/>
      <c r="D75" s="92"/>
      <c r="E75" s="92"/>
      <c r="F75" s="92"/>
      <c r="G75" s="92"/>
      <c r="H75" s="92"/>
      <c r="I75" s="92"/>
      <c r="J75" s="92"/>
      <c r="K75" s="92"/>
      <c r="L75" s="92"/>
      <c r="M75" s="92"/>
      <c r="N75" s="92"/>
      <c r="O75" s="92"/>
      <c r="P75" s="92"/>
      <c r="Q75" s="92"/>
      <c r="R75" s="92"/>
      <c r="S75" s="92"/>
      <c r="T75" s="92"/>
      <c r="U75" s="92"/>
      <c r="V75" s="92"/>
      <c r="W75" s="92"/>
      <c r="X75" s="92"/>
      <c r="Y75" s="92"/>
      <c r="Z75" s="92"/>
      <c r="AA75" s="92"/>
    </row>
    <row r="76" spans="2:27" x14ac:dyDescent="0.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row>
    <row r="77" spans="2:27" x14ac:dyDescent="0.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row>
    <row r="78" spans="2:27" x14ac:dyDescent="0.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row>
    <row r="79" spans="2:27" x14ac:dyDescent="0.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row>
    <row r="80" spans="2:27" x14ac:dyDescent="0.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row>
    <row r="81" spans="2:27" x14ac:dyDescent="0.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row>
    <row r="82" spans="2:27" x14ac:dyDescent="0.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row>
    <row r="83" spans="2:27" x14ac:dyDescent="0.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row>
    <row r="84" spans="2:27" x14ac:dyDescent="0.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row>
    <row r="85" spans="2:27" x14ac:dyDescent="0.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row>
    <row r="86" spans="2:27" x14ac:dyDescent="0.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row>
    <row r="87" spans="2:27" x14ac:dyDescent="0.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row>
    <row r="88" spans="2:27" x14ac:dyDescent="0.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row>
    <row r="89" spans="2:27" x14ac:dyDescent="0.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row>
    <row r="90" spans="2:27" x14ac:dyDescent="0.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row>
    <row r="91" spans="2:27" x14ac:dyDescent="0.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row>
    <row r="92" spans="2:27" x14ac:dyDescent="0.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row>
    <row r="93" spans="2:27" x14ac:dyDescent="0.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row>
    <row r="94" spans="2:27" x14ac:dyDescent="0.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row>
    <row r="95" spans="2:27" x14ac:dyDescent="0.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row>
    <row r="96" spans="2:27" x14ac:dyDescent="0.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row>
    <row r="97" spans="2:27" x14ac:dyDescent="0.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row>
    <row r="98" spans="2:27" x14ac:dyDescent="0.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row>
    <row r="99" spans="2:27" x14ac:dyDescent="0.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row>
    <row r="100" spans="2:27" x14ac:dyDescent="0.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row>
    <row r="101" spans="2:27" x14ac:dyDescent="0.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row>
    <row r="102" spans="2:27" x14ac:dyDescent="0.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row>
    <row r="103" spans="2:27" x14ac:dyDescent="0.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row>
    <row r="104" spans="2:27" x14ac:dyDescent="0.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row>
    <row r="105" spans="2:27" x14ac:dyDescent="0.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row>
    <row r="106" spans="2:27" x14ac:dyDescent="0.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row>
    <row r="107" spans="2:27" x14ac:dyDescent="0.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row>
    <row r="108" spans="2:27" x14ac:dyDescent="0.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row>
    <row r="109" spans="2:27" x14ac:dyDescent="0.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row>
    <row r="110" spans="2:27" x14ac:dyDescent="0.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row>
    <row r="111" spans="2:27" x14ac:dyDescent="0.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row>
    <row r="112" spans="2:27" x14ac:dyDescent="0.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row>
    <row r="113" spans="2:27" x14ac:dyDescent="0.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row>
    <row r="114" spans="2:27" x14ac:dyDescent="0.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row>
    <row r="115" spans="2:27" x14ac:dyDescent="0.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row>
    <row r="116" spans="2:27" x14ac:dyDescent="0.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row>
    <row r="117" spans="2:27" x14ac:dyDescent="0.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row>
    <row r="118" spans="2:27" x14ac:dyDescent="0.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row>
    <row r="119" spans="2:27" x14ac:dyDescent="0.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row>
    <row r="120" spans="2:27" x14ac:dyDescent="0.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row>
    <row r="121" spans="2:27" x14ac:dyDescent="0.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row>
    <row r="122" spans="2:27" x14ac:dyDescent="0.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row>
    <row r="123" spans="2:27" x14ac:dyDescent="0.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row>
    <row r="124" spans="2:27" x14ac:dyDescent="0.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row>
    <row r="125" spans="2:27" x14ac:dyDescent="0.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row>
    <row r="126" spans="2:27" x14ac:dyDescent="0.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row>
    <row r="127" spans="2:27" x14ac:dyDescent="0.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row>
    <row r="128" spans="2:27" x14ac:dyDescent="0.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row>
    <row r="129" spans="2:27" x14ac:dyDescent="0.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row>
    <row r="130" spans="2:27" x14ac:dyDescent="0.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row>
    <row r="131" spans="2:27" x14ac:dyDescent="0.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row>
    <row r="132" spans="2:27" x14ac:dyDescent="0.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row>
    <row r="133" spans="2:27" x14ac:dyDescent="0.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row>
    <row r="134" spans="2:27" x14ac:dyDescent="0.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row>
    <row r="135" spans="2:27" x14ac:dyDescent="0.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row>
    <row r="136" spans="2:27" x14ac:dyDescent="0.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row>
    <row r="137" spans="2:27" x14ac:dyDescent="0.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row>
    <row r="138" spans="2:27" x14ac:dyDescent="0.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row>
    <row r="139" spans="2:27" x14ac:dyDescent="0.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row>
    <row r="140" spans="2:27" x14ac:dyDescent="0.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row>
    <row r="141" spans="2:27" x14ac:dyDescent="0.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row>
    <row r="142" spans="2:27" x14ac:dyDescent="0.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row>
    <row r="143" spans="2:27" x14ac:dyDescent="0.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row>
    <row r="144" spans="2:27" x14ac:dyDescent="0.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row>
    <row r="145" spans="2:27" x14ac:dyDescent="0.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row>
    <row r="146" spans="2:27" x14ac:dyDescent="0.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row>
    <row r="147" spans="2:27" x14ac:dyDescent="0.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row>
    <row r="148" spans="2:27" x14ac:dyDescent="0.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row>
    <row r="149" spans="2:27" x14ac:dyDescent="0.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row>
    <row r="150" spans="2:27" x14ac:dyDescent="0.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row>
    <row r="151" spans="2:27" x14ac:dyDescent="0.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row>
    <row r="152" spans="2:27" x14ac:dyDescent="0.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row>
    <row r="153" spans="2:27" x14ac:dyDescent="0.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row>
    <row r="154" spans="2:27" x14ac:dyDescent="0.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row>
    <row r="155" spans="2:27" x14ac:dyDescent="0.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row>
    <row r="156" spans="2:27" x14ac:dyDescent="0.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row>
    <row r="157" spans="2:27" x14ac:dyDescent="0.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row>
    <row r="158" spans="2:27" x14ac:dyDescent="0.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row>
    <row r="159" spans="2:27" x14ac:dyDescent="0.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row>
    <row r="160" spans="2:27" x14ac:dyDescent="0.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row>
    <row r="161" spans="2:27" x14ac:dyDescent="0.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row>
  </sheetData>
  <sheetProtection password="C690" sheet="1" objects="1" scenarios="1"/>
  <mergeCells count="6">
    <mergeCell ref="C1:D1"/>
    <mergeCell ref="K1:M1"/>
    <mergeCell ref="I28:J28"/>
    <mergeCell ref="N1:P1"/>
    <mergeCell ref="E1:G1"/>
    <mergeCell ref="H1:J1"/>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B1:AD46"/>
  <sheetViews>
    <sheetView zoomScale="90" zoomScaleNormal="90" workbookViewId="0">
      <selection activeCell="E4" sqref="E4"/>
    </sheetView>
  </sheetViews>
  <sheetFormatPr baseColWidth="10" defaultRowHeight="12.75" x14ac:dyDescent="0.2"/>
  <cols>
    <col min="1" max="1" width="3.140625" customWidth="1"/>
    <col min="2" max="2" width="8.42578125" bestFit="1" customWidth="1"/>
    <col min="10" max="10" width="4.28515625" customWidth="1"/>
    <col min="13" max="13" width="11.42578125" style="28"/>
  </cols>
  <sheetData>
    <row r="1" spans="2:30" ht="13.5" thickBot="1" x14ac:dyDescent="0.25">
      <c r="B1" s="210" t="s">
        <v>6</v>
      </c>
      <c r="C1" s="222" t="s">
        <v>4</v>
      </c>
      <c r="D1" s="223" t="s">
        <v>5</v>
      </c>
      <c r="E1" s="224" t="s">
        <v>10</v>
      </c>
      <c r="F1" s="225" t="s">
        <v>12</v>
      </c>
      <c r="G1" s="226" t="s">
        <v>51</v>
      </c>
      <c r="H1" s="227" t="s">
        <v>52</v>
      </c>
      <c r="I1" s="228" t="s">
        <v>58</v>
      </c>
      <c r="K1" s="235" t="s">
        <v>0</v>
      </c>
      <c r="L1" s="238" t="s">
        <v>8</v>
      </c>
      <c r="M1" s="242" t="s">
        <v>7</v>
      </c>
      <c r="N1" s="244" t="s">
        <v>9</v>
      </c>
      <c r="O1" s="246" t="s">
        <v>11</v>
      </c>
      <c r="P1" s="246" t="s">
        <v>69</v>
      </c>
      <c r="Q1" s="242" t="s">
        <v>70</v>
      </c>
      <c r="R1" s="244" t="s">
        <v>71</v>
      </c>
      <c r="S1" s="242" t="s">
        <v>63</v>
      </c>
      <c r="T1" s="254" t="s">
        <v>64</v>
      </c>
      <c r="U1" s="254" t="s">
        <v>78</v>
      </c>
      <c r="V1" s="254" t="s">
        <v>63</v>
      </c>
      <c r="W1" s="254" t="s">
        <v>64</v>
      </c>
      <c r="X1" s="243" t="s">
        <v>78</v>
      </c>
      <c r="Y1" s="469" t="s">
        <v>75</v>
      </c>
      <c r="Z1" s="470"/>
      <c r="AA1" s="470"/>
      <c r="AB1" s="470"/>
      <c r="AC1" s="470"/>
      <c r="AD1" s="471"/>
    </row>
    <row r="2" spans="2:30" x14ac:dyDescent="0.2">
      <c r="B2" s="211">
        <v>1</v>
      </c>
      <c r="C2" s="413">
        <v>1</v>
      </c>
      <c r="D2" s="414">
        <v>2</v>
      </c>
      <c r="E2" s="415">
        <v>10</v>
      </c>
      <c r="F2" s="416">
        <v>1000</v>
      </c>
      <c r="G2" s="417">
        <v>0</v>
      </c>
      <c r="H2" s="418">
        <v>0</v>
      </c>
      <c r="I2" s="419">
        <v>1</v>
      </c>
      <c r="K2" s="236">
        <f ca="1">IF(ISNUMBER(C2),INDIRECT("Knoten!C" &amp; C2+2),0)</f>
        <v>0</v>
      </c>
      <c r="L2" s="237">
        <f ca="1">IF(ISNUMBER(D2),INDIRECT("Knoten!"&amp;ADDRESS(D2+2,COLUMN(Knoten!C2))),0)</f>
        <v>0.5</v>
      </c>
      <c r="M2" s="236">
        <f ca="1">IF(ISNUMBER(C2),INDIRECT("Knoten!"&amp;ADDRESS(C2+2,COLUMN(Knoten!D2))),0)</f>
        <v>0.75</v>
      </c>
      <c r="N2" s="237">
        <f ca="1">IF(ISNUMBER(D2),INDIRECT("Knoten!"&amp;ADDRESS(D2+2,COLUMN(Knoten!D2))),0)</f>
        <v>0.25</v>
      </c>
      <c r="O2" s="247">
        <f ca="1">IF(ISNUMBER(C2),SQRT((L2-K2)^2+(N2-M2)^2),"")</f>
        <v>0.70710678118654757</v>
      </c>
      <c r="P2" s="247">
        <f ca="1">IF(ISNUMBER(O2),IF(Q2&gt;=0,ACOS(R2),-ACOS(R2))*180/PI(),"")</f>
        <v>45</v>
      </c>
      <c r="Q2" s="236">
        <f ca="1">IF(ISNUMBER(O2),-(N2-M2)/O2,"")</f>
        <v>0.70710678118654746</v>
      </c>
      <c r="R2" s="239">
        <f ca="1">IF(ISNUMBER(O2),(L2-K2)/O2,"")</f>
        <v>0.70710678118654746</v>
      </c>
      <c r="S2" s="236">
        <f ca="1">IF(ISNUMBER(C2),INDIRECT("Knoten!"&amp;ADDRESS(C2+2,COLUMN(Knoten!K2))),"")</f>
        <v>0</v>
      </c>
      <c r="T2" s="250">
        <f ca="1">IF(ISNUMBER(C2),INDIRECT("Knoten!"&amp;ADDRESS(C2+2,COLUMN(Knoten!L2))),"")</f>
        <v>0</v>
      </c>
      <c r="U2" s="250">
        <f ca="1">IF(ISNUMBER(C2),INDIRECT("Knoten!"&amp;ADDRESS(C2+2,COLUMN(Knoten!M2))),"")</f>
        <v>0</v>
      </c>
      <c r="V2" s="250">
        <f ca="1">IF(ISNUMBER(D2),INDIRECT("Knoten!"&amp;ADDRESS(D2+2,COLUMN(Knoten!K2))),"")</f>
        <v>0</v>
      </c>
      <c r="W2" s="250">
        <f ca="1">IF(ISNUMBER(D2),INDIRECT("Knoten!"&amp;ADDRESS(D2+2,COLUMN(Knoten!L2))),"")</f>
        <v>0</v>
      </c>
      <c r="X2" s="237">
        <f ca="1">IF(ISNUMBER(D2),INDIRECT("Knoten!"&amp;ADDRESS(D2+2,COLUMN(Knoten!M2))),"")</f>
        <v>0</v>
      </c>
      <c r="Y2" s="252">
        <f t="shared" ref="Y2:Y21" ca="1" si="0">IF(ISNUMBER(C2),INDIRECT("Knoten!E" &amp; (C2+2)),0)</f>
        <v>0</v>
      </c>
      <c r="Z2" s="250">
        <f t="shared" ref="Z2:Z21" ca="1" si="1">IF(ISNUMBER(C2),INDIRECT("Knoten!F" &amp; (C2+2)),0)</f>
        <v>0</v>
      </c>
      <c r="AA2" s="250">
        <f t="shared" ref="AA2:AA21" ca="1" si="2">IF(ISNUMBER(C2),INDIRECT("Knoten!G" &amp; (C2+2)),0)</f>
        <v>1</v>
      </c>
      <c r="AB2" s="250">
        <f t="shared" ref="AB2:AB21" ca="1" si="3">IF(ISNUMBER(D2),INDIRECT("Knoten!E" &amp; (D2+2)),0)</f>
        <v>2</v>
      </c>
      <c r="AC2" s="250">
        <f t="shared" ref="AC2:AC21" ca="1" si="4">IF(ISNUMBER(D2),INDIRECT("Knoten!F" &amp; (D2+2)),0)</f>
        <v>3</v>
      </c>
      <c r="AD2" s="237">
        <f t="shared" ref="AD2:AD21" ca="1" si="5">IF(ISNUMBER(D2),INDIRECT("Knoten!G" &amp; (D2+2)),0)</f>
        <v>4</v>
      </c>
    </row>
    <row r="3" spans="2:30" ht="12.75" customHeight="1" x14ac:dyDescent="0.2">
      <c r="B3" s="212">
        <v>2</v>
      </c>
      <c r="C3" s="420">
        <v>2</v>
      </c>
      <c r="D3" s="421">
        <v>3</v>
      </c>
      <c r="E3" s="422">
        <v>10</v>
      </c>
      <c r="F3" s="423">
        <v>1000</v>
      </c>
      <c r="G3" s="424">
        <v>0</v>
      </c>
      <c r="H3" s="425">
        <v>1</v>
      </c>
      <c r="I3" s="426">
        <v>1</v>
      </c>
      <c r="K3" s="231">
        <f ca="1">IF(ISNUMBER(C3),INDIRECT("Knoten!C" &amp; C3+2),0)</f>
        <v>0.5</v>
      </c>
      <c r="L3" s="232">
        <f ca="1">IF(ISNUMBER(D3),INDIRECT("Knoten!"&amp;ADDRESS(D3+2,COLUMN(Knoten!C3))),0)</f>
        <v>1</v>
      </c>
      <c r="M3" s="231">
        <f ca="1">IF(ISNUMBER(C3),INDIRECT("Knoten!"&amp;ADDRESS(C3+2,COLUMN(Knoten!D3))),0)</f>
        <v>0.25</v>
      </c>
      <c r="N3" s="232">
        <f ca="1">IF(ISNUMBER(D3),INDIRECT("Knoten!"&amp;ADDRESS(D3+2,COLUMN(Knoten!D3))),0)</f>
        <v>0.25</v>
      </c>
      <c r="O3" s="248">
        <f ca="1">IF(ISNUMBER(C3),SQRT((L3-K3)^2+(N3-M3)^2),"")</f>
        <v>0.5</v>
      </c>
      <c r="P3" s="248">
        <f t="shared" ref="P3:P21" ca="1" si="6">IF(ISNUMBER(O3),IF(Q3&gt;=0,ACOS(R3),-ACOS(R3))*180/PI(),"")</f>
        <v>0</v>
      </c>
      <c r="Q3" s="231">
        <f t="shared" ref="Q3:Q21" ca="1" si="7">IF(ISNUMBER(O3),-(N3-M3)/O3,"")</f>
        <v>0</v>
      </c>
      <c r="R3" s="240">
        <f t="shared" ref="R3:R21" ca="1" si="8">IF(ISNUMBER(O3),(L3-K3)/O3,"")</f>
        <v>1</v>
      </c>
      <c r="S3" s="231">
        <f ca="1">IF(ISNUMBER(C3),INDIRECT("Knoten!"&amp;ADDRESS(C3+2,COLUMN(Knoten!K3))),"")</f>
        <v>0</v>
      </c>
      <c r="T3" s="230">
        <f ca="1">IF(ISNUMBER(C3),INDIRECT("Knoten!"&amp;ADDRESS(C3+2,COLUMN(Knoten!L3))),"")</f>
        <v>0</v>
      </c>
      <c r="U3" s="230">
        <f ca="1">IF(ISNUMBER(C3),INDIRECT("Knoten!"&amp;ADDRESS(C3+2,COLUMN(Knoten!M3))),"")</f>
        <v>0</v>
      </c>
      <c r="V3" s="230">
        <f ca="1">IF(ISNUMBER(D3),INDIRECT("Knoten!"&amp;ADDRESS(D3+2,COLUMN(Knoten!K3))),"")</f>
        <v>0</v>
      </c>
      <c r="W3" s="230">
        <f ca="1">IF(ISNUMBER(D3),INDIRECT("Knoten!"&amp;ADDRESS(D3+2,COLUMN(Knoten!L3))),"")</f>
        <v>0</v>
      </c>
      <c r="X3" s="232">
        <f ca="1">IF(ISNUMBER(D3),INDIRECT("Knoten!"&amp;ADDRESS(D3+2,COLUMN(Knoten!M3))),"")</f>
        <v>0</v>
      </c>
      <c r="Y3" s="245">
        <f t="shared" ca="1" si="0"/>
        <v>2</v>
      </c>
      <c r="Z3" s="230">
        <f t="shared" ca="1" si="1"/>
        <v>3</v>
      </c>
      <c r="AA3" s="230">
        <f t="shared" ca="1" si="2"/>
        <v>4</v>
      </c>
      <c r="AB3" s="230">
        <f t="shared" ca="1" si="3"/>
        <v>0</v>
      </c>
      <c r="AC3" s="230">
        <f t="shared" ca="1" si="4"/>
        <v>0</v>
      </c>
      <c r="AD3" s="232">
        <f t="shared" ca="1" si="5"/>
        <v>5</v>
      </c>
    </row>
    <row r="4" spans="2:30" x14ac:dyDescent="0.2">
      <c r="B4" s="212">
        <v>3</v>
      </c>
      <c r="C4" s="420"/>
      <c r="D4" s="421"/>
      <c r="E4" s="422"/>
      <c r="F4" s="423"/>
      <c r="G4" s="424"/>
      <c r="H4" s="425"/>
      <c r="I4" s="426"/>
      <c r="K4" s="231">
        <f ca="1">IF(ISNUMBER(C4),INDIRECT("Knoten!C" &amp; C4+2),0)</f>
        <v>0</v>
      </c>
      <c r="L4" s="232">
        <f ca="1">IF(ISNUMBER(D4),INDIRECT("Knoten!"&amp;ADDRESS(D4+2,COLUMN(Knoten!C4))),0)</f>
        <v>0</v>
      </c>
      <c r="M4" s="231">
        <f ca="1">IF(ISNUMBER(C4),INDIRECT("Knoten!"&amp;ADDRESS(C4+2,COLUMN(Knoten!D4))),0)</f>
        <v>0</v>
      </c>
      <c r="N4" s="232">
        <f ca="1">IF(ISNUMBER(D4),INDIRECT("Knoten!"&amp;ADDRESS(D4+2,COLUMN(Knoten!D4))),0)</f>
        <v>0</v>
      </c>
      <c r="O4" s="248" t="str">
        <f t="shared" ref="O4:O21" si="9">IF(ISNUMBER(C4),SQRT((L4-K4)^2+(N4-M4)^2),"")</f>
        <v/>
      </c>
      <c r="P4" s="248" t="str">
        <f t="shared" si="6"/>
        <v/>
      </c>
      <c r="Q4" s="231" t="str">
        <f t="shared" si="7"/>
        <v/>
      </c>
      <c r="R4" s="240" t="str">
        <f t="shared" si="8"/>
        <v/>
      </c>
      <c r="S4" s="231" t="str">
        <f ca="1">IF(ISNUMBER(C4),INDIRECT("Knoten!"&amp;ADDRESS(C4+2,COLUMN(Knoten!K4))),"")</f>
        <v/>
      </c>
      <c r="T4" s="230" t="str">
        <f ca="1">IF(ISNUMBER(C4),INDIRECT("Knoten!"&amp;ADDRESS(C4+2,COLUMN(Knoten!L4))),"")</f>
        <v/>
      </c>
      <c r="U4" s="230" t="str">
        <f ca="1">IF(ISNUMBER(C4),INDIRECT("Knoten!"&amp;ADDRESS(C4+2,COLUMN(Knoten!M4))),"")</f>
        <v/>
      </c>
      <c r="V4" s="230" t="str">
        <f ca="1">IF(ISNUMBER(D4),INDIRECT("Knoten!"&amp;ADDRESS(D4+2,COLUMN(Knoten!K4))),"")</f>
        <v/>
      </c>
      <c r="W4" s="230" t="str">
        <f ca="1">IF(ISNUMBER(D4),INDIRECT("Knoten!"&amp;ADDRESS(D4+2,COLUMN(Knoten!L4))),"")</f>
        <v/>
      </c>
      <c r="X4" s="232" t="str">
        <f ca="1">IF(ISNUMBER(D4),INDIRECT("Knoten!"&amp;ADDRESS(D4+2,COLUMN(Knoten!M4))),"")</f>
        <v/>
      </c>
      <c r="Y4" s="245">
        <f t="shared" ca="1" si="0"/>
        <v>0</v>
      </c>
      <c r="Z4" s="230">
        <f t="shared" ca="1" si="1"/>
        <v>0</v>
      </c>
      <c r="AA4" s="230">
        <f t="shared" ca="1" si="2"/>
        <v>0</v>
      </c>
      <c r="AB4" s="230">
        <f t="shared" ca="1" si="3"/>
        <v>0</v>
      </c>
      <c r="AC4" s="230">
        <f t="shared" ca="1" si="4"/>
        <v>0</v>
      </c>
      <c r="AD4" s="232">
        <f t="shared" ca="1" si="5"/>
        <v>0</v>
      </c>
    </row>
    <row r="5" spans="2:30" x14ac:dyDescent="0.2">
      <c r="B5" s="212">
        <v>4</v>
      </c>
      <c r="C5" s="420"/>
      <c r="D5" s="421"/>
      <c r="E5" s="422"/>
      <c r="F5" s="423"/>
      <c r="G5" s="424"/>
      <c r="H5" s="425"/>
      <c r="I5" s="426"/>
      <c r="K5" s="231">
        <f ca="1">IF(ISNUMBER(C5),INDIRECT("Knoten!C" &amp; C5+2),0)</f>
        <v>0</v>
      </c>
      <c r="L5" s="232">
        <f ca="1">IF(ISNUMBER(D5),INDIRECT("Knoten!"&amp;ADDRESS(D5+2,COLUMN(Knoten!C5))),0)</f>
        <v>0</v>
      </c>
      <c r="M5" s="231">
        <f ca="1">IF(ISNUMBER(C5),INDIRECT("Knoten!"&amp;ADDRESS(C5+2,COLUMN(Knoten!D5))),0)</f>
        <v>0</v>
      </c>
      <c r="N5" s="232">
        <f ca="1">IF(ISNUMBER(D5),INDIRECT("Knoten!"&amp;ADDRESS(D5+2,COLUMN(Knoten!D5))),0)</f>
        <v>0</v>
      </c>
      <c r="O5" s="248" t="str">
        <f t="shared" si="9"/>
        <v/>
      </c>
      <c r="P5" s="248" t="str">
        <f t="shared" si="6"/>
        <v/>
      </c>
      <c r="Q5" s="231" t="str">
        <f t="shared" si="7"/>
        <v/>
      </c>
      <c r="R5" s="240" t="str">
        <f t="shared" si="8"/>
        <v/>
      </c>
      <c r="S5" s="231" t="str">
        <f ca="1">IF(ISNUMBER(C5),INDIRECT("Knoten!"&amp;ADDRESS(C5+2,COLUMN(Knoten!K5))),"")</f>
        <v/>
      </c>
      <c r="T5" s="230" t="str">
        <f ca="1">IF(ISNUMBER(C5),INDIRECT("Knoten!"&amp;ADDRESS(C5+2,COLUMN(Knoten!L5))),"")</f>
        <v/>
      </c>
      <c r="U5" s="230" t="str">
        <f ca="1">IF(ISNUMBER(C5),INDIRECT("Knoten!"&amp;ADDRESS(C5+2,COLUMN(Knoten!M5))),"")</f>
        <v/>
      </c>
      <c r="V5" s="230" t="str">
        <f ca="1">IF(ISNUMBER(D5),INDIRECT("Knoten!"&amp;ADDRESS(D5+2,COLUMN(Knoten!K5))),"")</f>
        <v/>
      </c>
      <c r="W5" s="230" t="str">
        <f ca="1">IF(ISNUMBER(D5),INDIRECT("Knoten!"&amp;ADDRESS(D5+2,COLUMN(Knoten!L5))),"")</f>
        <v/>
      </c>
      <c r="X5" s="232" t="str">
        <f ca="1">IF(ISNUMBER(D5),INDIRECT("Knoten!"&amp;ADDRESS(D5+2,COLUMN(Knoten!M5))),"")</f>
        <v/>
      </c>
      <c r="Y5" s="245">
        <f t="shared" ca="1" si="0"/>
        <v>0</v>
      </c>
      <c r="Z5" s="230">
        <f t="shared" ca="1" si="1"/>
        <v>0</v>
      </c>
      <c r="AA5" s="230">
        <f t="shared" ca="1" si="2"/>
        <v>0</v>
      </c>
      <c r="AB5" s="230">
        <f t="shared" ca="1" si="3"/>
        <v>0</v>
      </c>
      <c r="AC5" s="230">
        <f t="shared" ca="1" si="4"/>
        <v>0</v>
      </c>
      <c r="AD5" s="232">
        <f t="shared" ca="1" si="5"/>
        <v>0</v>
      </c>
    </row>
    <row r="6" spans="2:30" x14ac:dyDescent="0.2">
      <c r="B6" s="212">
        <v>5</v>
      </c>
      <c r="C6" s="420"/>
      <c r="D6" s="421"/>
      <c r="E6" s="422"/>
      <c r="F6" s="423"/>
      <c r="G6" s="424"/>
      <c r="H6" s="425"/>
      <c r="I6" s="426"/>
      <c r="K6" s="231">
        <f t="shared" ref="K6:K21" ca="1" si="10">IF(ISNUMBER(C6),INDIRECT("Knoten!C" &amp; C6+2),0)</f>
        <v>0</v>
      </c>
      <c r="L6" s="232">
        <f ca="1">IF(ISNUMBER(D6),INDIRECT("Knoten!"&amp;ADDRESS(D6+2,COLUMN(Knoten!C6))),0)</f>
        <v>0</v>
      </c>
      <c r="M6" s="231">
        <f ca="1">IF(ISNUMBER(C6),INDIRECT("Knoten!"&amp;ADDRESS(C6+2,COLUMN(Knoten!D6))),0)</f>
        <v>0</v>
      </c>
      <c r="N6" s="232">
        <f ca="1">IF(ISNUMBER(D6),INDIRECT("Knoten!"&amp;ADDRESS(D6+2,COLUMN(Knoten!D6))),0)</f>
        <v>0</v>
      </c>
      <c r="O6" s="248" t="str">
        <f t="shared" si="9"/>
        <v/>
      </c>
      <c r="P6" s="248" t="str">
        <f t="shared" si="6"/>
        <v/>
      </c>
      <c r="Q6" s="231" t="str">
        <f t="shared" si="7"/>
        <v/>
      </c>
      <c r="R6" s="240" t="str">
        <f t="shared" si="8"/>
        <v/>
      </c>
      <c r="S6" s="231" t="str">
        <f ca="1">IF(ISNUMBER(C6),INDIRECT("Knoten!"&amp;ADDRESS(C6+2,COLUMN(Knoten!K6))),"")</f>
        <v/>
      </c>
      <c r="T6" s="230" t="str">
        <f ca="1">IF(ISNUMBER(C6),INDIRECT("Knoten!"&amp;ADDRESS(C6+2,COLUMN(Knoten!L6))),"")</f>
        <v/>
      </c>
      <c r="U6" s="230" t="str">
        <f ca="1">IF(ISNUMBER(C6),INDIRECT("Knoten!"&amp;ADDRESS(C6+2,COLUMN(Knoten!M6))),"")</f>
        <v/>
      </c>
      <c r="V6" s="230" t="str">
        <f ca="1">IF(ISNUMBER(D6),INDIRECT("Knoten!"&amp;ADDRESS(D6+2,COLUMN(Knoten!K6))),"")</f>
        <v/>
      </c>
      <c r="W6" s="230" t="str">
        <f ca="1">IF(ISNUMBER(D6),INDIRECT("Knoten!"&amp;ADDRESS(D6+2,COLUMN(Knoten!L6))),"")</f>
        <v/>
      </c>
      <c r="X6" s="232" t="str">
        <f ca="1">IF(ISNUMBER(D6),INDIRECT("Knoten!"&amp;ADDRESS(D6+2,COLUMN(Knoten!M6))),"")</f>
        <v/>
      </c>
      <c r="Y6" s="245">
        <f t="shared" ca="1" si="0"/>
        <v>0</v>
      </c>
      <c r="Z6" s="230">
        <f t="shared" ca="1" si="1"/>
        <v>0</v>
      </c>
      <c r="AA6" s="230">
        <f t="shared" ca="1" si="2"/>
        <v>0</v>
      </c>
      <c r="AB6" s="230">
        <f t="shared" ca="1" si="3"/>
        <v>0</v>
      </c>
      <c r="AC6" s="230">
        <f t="shared" ca="1" si="4"/>
        <v>0</v>
      </c>
      <c r="AD6" s="232">
        <f t="shared" ca="1" si="5"/>
        <v>0</v>
      </c>
    </row>
    <row r="7" spans="2:30" x14ac:dyDescent="0.2">
      <c r="B7" s="212">
        <v>6</v>
      </c>
      <c r="C7" s="420"/>
      <c r="D7" s="421"/>
      <c r="E7" s="422"/>
      <c r="F7" s="423"/>
      <c r="G7" s="424"/>
      <c r="H7" s="425"/>
      <c r="I7" s="426"/>
      <c r="K7" s="231">
        <f t="shared" ca="1" si="10"/>
        <v>0</v>
      </c>
      <c r="L7" s="232">
        <f ca="1">IF(ISNUMBER(D7),INDIRECT("Knoten!"&amp;ADDRESS(D7+2,COLUMN(Knoten!C7))),0)</f>
        <v>0</v>
      </c>
      <c r="M7" s="231">
        <f ca="1">IF(ISNUMBER(C7),INDIRECT("Knoten!"&amp;ADDRESS(C7+2,COLUMN(Knoten!D7))),0)</f>
        <v>0</v>
      </c>
      <c r="N7" s="232">
        <f ca="1">IF(ISNUMBER(D7),INDIRECT("Knoten!"&amp;ADDRESS(D7+2,COLUMN(Knoten!D7))),0)</f>
        <v>0</v>
      </c>
      <c r="O7" s="248" t="str">
        <f t="shared" si="9"/>
        <v/>
      </c>
      <c r="P7" s="248" t="str">
        <f t="shared" si="6"/>
        <v/>
      </c>
      <c r="Q7" s="231" t="str">
        <f t="shared" si="7"/>
        <v/>
      </c>
      <c r="R7" s="240" t="str">
        <f t="shared" si="8"/>
        <v/>
      </c>
      <c r="S7" s="231" t="str">
        <f ca="1">IF(ISNUMBER(C7),INDIRECT("Knoten!"&amp;ADDRESS(C7+2,COLUMN(Knoten!K7))),"")</f>
        <v/>
      </c>
      <c r="T7" s="230" t="str">
        <f ca="1">IF(ISNUMBER(C7),INDIRECT("Knoten!"&amp;ADDRESS(C7+2,COLUMN(Knoten!L7))),"")</f>
        <v/>
      </c>
      <c r="U7" s="230" t="str">
        <f ca="1">IF(ISNUMBER(C7),INDIRECT("Knoten!"&amp;ADDRESS(C7+2,COLUMN(Knoten!M7))),"")</f>
        <v/>
      </c>
      <c r="V7" s="230" t="str">
        <f ca="1">IF(ISNUMBER(D7),INDIRECT("Knoten!"&amp;ADDRESS(D7+2,COLUMN(Knoten!K7))),"")</f>
        <v/>
      </c>
      <c r="W7" s="230" t="str">
        <f ca="1">IF(ISNUMBER(D7),INDIRECT("Knoten!"&amp;ADDRESS(D7+2,COLUMN(Knoten!L7))),"")</f>
        <v/>
      </c>
      <c r="X7" s="232" t="str">
        <f ca="1">IF(ISNUMBER(D7),INDIRECT("Knoten!"&amp;ADDRESS(D7+2,COLUMN(Knoten!M7))),"")</f>
        <v/>
      </c>
      <c r="Y7" s="245">
        <f t="shared" ca="1" si="0"/>
        <v>0</v>
      </c>
      <c r="Z7" s="230">
        <f t="shared" ca="1" si="1"/>
        <v>0</v>
      </c>
      <c r="AA7" s="230">
        <f t="shared" ca="1" si="2"/>
        <v>0</v>
      </c>
      <c r="AB7" s="230">
        <f t="shared" ca="1" si="3"/>
        <v>0</v>
      </c>
      <c r="AC7" s="230">
        <f t="shared" ca="1" si="4"/>
        <v>0</v>
      </c>
      <c r="AD7" s="232">
        <f t="shared" ca="1" si="5"/>
        <v>0</v>
      </c>
    </row>
    <row r="8" spans="2:30" x14ac:dyDescent="0.2">
      <c r="B8" s="212">
        <v>7</v>
      </c>
      <c r="C8" s="420"/>
      <c r="D8" s="421"/>
      <c r="E8" s="422"/>
      <c r="F8" s="423"/>
      <c r="G8" s="424"/>
      <c r="H8" s="425"/>
      <c r="I8" s="426"/>
      <c r="K8" s="231">
        <f t="shared" ca="1" si="10"/>
        <v>0</v>
      </c>
      <c r="L8" s="232">
        <f ca="1">IF(ISNUMBER(D8),INDIRECT("Knoten!"&amp;ADDRESS(D8+2,COLUMN(Knoten!C8))),0)</f>
        <v>0</v>
      </c>
      <c r="M8" s="231">
        <f ca="1">IF(ISNUMBER(C8),INDIRECT("Knoten!"&amp;ADDRESS(C8+2,COLUMN(Knoten!D8))),0)</f>
        <v>0</v>
      </c>
      <c r="N8" s="232">
        <f ca="1">IF(ISNUMBER(D8),INDIRECT("Knoten!"&amp;ADDRESS(D8+2,COLUMN(Knoten!D8))),0)</f>
        <v>0</v>
      </c>
      <c r="O8" s="248" t="str">
        <f t="shared" si="9"/>
        <v/>
      </c>
      <c r="P8" s="248" t="str">
        <f t="shared" si="6"/>
        <v/>
      </c>
      <c r="Q8" s="231" t="str">
        <f t="shared" si="7"/>
        <v/>
      </c>
      <c r="R8" s="240" t="str">
        <f t="shared" si="8"/>
        <v/>
      </c>
      <c r="S8" s="231" t="str">
        <f ca="1">IF(ISNUMBER(C8),INDIRECT("Knoten!"&amp;ADDRESS(C8+2,COLUMN(Knoten!K8))),"")</f>
        <v/>
      </c>
      <c r="T8" s="230" t="str">
        <f ca="1">IF(ISNUMBER(C8),INDIRECT("Knoten!"&amp;ADDRESS(C8+2,COLUMN(Knoten!L8))),"")</f>
        <v/>
      </c>
      <c r="U8" s="230" t="str">
        <f ca="1">IF(ISNUMBER(C8),INDIRECT("Knoten!"&amp;ADDRESS(C8+2,COLUMN(Knoten!M8))),"")</f>
        <v/>
      </c>
      <c r="V8" s="230" t="str">
        <f ca="1">IF(ISNUMBER(D8),INDIRECT("Knoten!"&amp;ADDRESS(D8+2,COLUMN(Knoten!K8))),"")</f>
        <v/>
      </c>
      <c r="W8" s="230" t="str">
        <f ca="1">IF(ISNUMBER(D8),INDIRECT("Knoten!"&amp;ADDRESS(D8+2,COLUMN(Knoten!L8))),"")</f>
        <v/>
      </c>
      <c r="X8" s="232" t="str">
        <f ca="1">IF(ISNUMBER(D8),INDIRECT("Knoten!"&amp;ADDRESS(D8+2,COLUMN(Knoten!M8))),"")</f>
        <v/>
      </c>
      <c r="Y8" s="245">
        <f t="shared" ca="1" si="0"/>
        <v>0</v>
      </c>
      <c r="Z8" s="230">
        <f t="shared" ca="1" si="1"/>
        <v>0</v>
      </c>
      <c r="AA8" s="230">
        <f t="shared" ca="1" si="2"/>
        <v>0</v>
      </c>
      <c r="AB8" s="230">
        <f t="shared" ca="1" si="3"/>
        <v>0</v>
      </c>
      <c r="AC8" s="230">
        <f t="shared" ca="1" si="4"/>
        <v>0</v>
      </c>
      <c r="AD8" s="232">
        <f t="shared" ca="1" si="5"/>
        <v>0</v>
      </c>
    </row>
    <row r="9" spans="2:30" x14ac:dyDescent="0.2">
      <c r="B9" s="212">
        <v>8</v>
      </c>
      <c r="C9" s="420"/>
      <c r="D9" s="421"/>
      <c r="E9" s="422"/>
      <c r="F9" s="423"/>
      <c r="G9" s="424"/>
      <c r="H9" s="425"/>
      <c r="I9" s="426"/>
      <c r="K9" s="231">
        <f t="shared" ca="1" si="10"/>
        <v>0</v>
      </c>
      <c r="L9" s="232">
        <f ca="1">IF(ISNUMBER(D9),INDIRECT("Knoten!"&amp;ADDRESS(D9+2,COLUMN(Knoten!C9))),0)</f>
        <v>0</v>
      </c>
      <c r="M9" s="231">
        <f ca="1">IF(ISNUMBER(C9),INDIRECT("Knoten!"&amp;ADDRESS(C9+2,COLUMN(Knoten!D9))),0)</f>
        <v>0</v>
      </c>
      <c r="N9" s="232">
        <f ca="1">IF(ISNUMBER(D9),INDIRECT("Knoten!"&amp;ADDRESS(D9+2,COLUMN(Knoten!D9))),0)</f>
        <v>0</v>
      </c>
      <c r="O9" s="248" t="str">
        <f t="shared" si="9"/>
        <v/>
      </c>
      <c r="P9" s="248" t="str">
        <f t="shared" si="6"/>
        <v/>
      </c>
      <c r="Q9" s="231" t="str">
        <f t="shared" si="7"/>
        <v/>
      </c>
      <c r="R9" s="240" t="str">
        <f t="shared" si="8"/>
        <v/>
      </c>
      <c r="S9" s="231" t="str">
        <f ca="1">IF(ISNUMBER(C9),INDIRECT("Knoten!"&amp;ADDRESS(C9+2,COLUMN(Knoten!K9))),"")</f>
        <v/>
      </c>
      <c r="T9" s="230" t="str">
        <f ca="1">IF(ISNUMBER(C9),INDIRECT("Knoten!"&amp;ADDRESS(C9+2,COLUMN(Knoten!L9))),"")</f>
        <v/>
      </c>
      <c r="U9" s="230" t="str">
        <f ca="1">IF(ISNUMBER(C9),INDIRECT("Knoten!"&amp;ADDRESS(C9+2,COLUMN(Knoten!M9))),"")</f>
        <v/>
      </c>
      <c r="V9" s="230" t="str">
        <f ca="1">IF(ISNUMBER(D9),INDIRECT("Knoten!"&amp;ADDRESS(D9+2,COLUMN(Knoten!K9))),"")</f>
        <v/>
      </c>
      <c r="W9" s="230" t="str">
        <f ca="1">IF(ISNUMBER(D9),INDIRECT("Knoten!"&amp;ADDRESS(D9+2,COLUMN(Knoten!L9))),"")</f>
        <v/>
      </c>
      <c r="X9" s="232" t="str">
        <f ca="1">IF(ISNUMBER(D9),INDIRECT("Knoten!"&amp;ADDRESS(D9+2,COLUMN(Knoten!M9))),"")</f>
        <v/>
      </c>
      <c r="Y9" s="245">
        <f t="shared" ca="1" si="0"/>
        <v>0</v>
      </c>
      <c r="Z9" s="230">
        <f t="shared" ca="1" si="1"/>
        <v>0</v>
      </c>
      <c r="AA9" s="230">
        <f t="shared" ca="1" si="2"/>
        <v>0</v>
      </c>
      <c r="AB9" s="230">
        <f t="shared" ca="1" si="3"/>
        <v>0</v>
      </c>
      <c r="AC9" s="230">
        <f t="shared" ca="1" si="4"/>
        <v>0</v>
      </c>
      <c r="AD9" s="232">
        <f t="shared" ca="1" si="5"/>
        <v>0</v>
      </c>
    </row>
    <row r="10" spans="2:30" x14ac:dyDescent="0.2">
      <c r="B10" s="212">
        <v>9</v>
      </c>
      <c r="C10" s="420"/>
      <c r="D10" s="421"/>
      <c r="E10" s="422"/>
      <c r="F10" s="423"/>
      <c r="G10" s="424"/>
      <c r="H10" s="425"/>
      <c r="I10" s="426"/>
      <c r="K10" s="231">
        <f t="shared" ca="1" si="10"/>
        <v>0</v>
      </c>
      <c r="L10" s="232">
        <f ca="1">IF(ISNUMBER(D10),INDIRECT("Knoten!"&amp;ADDRESS(D10+2,COLUMN(Knoten!C10))),0)</f>
        <v>0</v>
      </c>
      <c r="M10" s="231">
        <f ca="1">IF(ISNUMBER(C10),INDIRECT("Knoten!"&amp;ADDRESS(C10+2,COLUMN(Knoten!D10))),0)</f>
        <v>0</v>
      </c>
      <c r="N10" s="232">
        <f ca="1">IF(ISNUMBER(D10),INDIRECT("Knoten!"&amp;ADDRESS(D10+2,COLUMN(Knoten!D10))),0)</f>
        <v>0</v>
      </c>
      <c r="O10" s="248" t="str">
        <f t="shared" si="9"/>
        <v/>
      </c>
      <c r="P10" s="248" t="str">
        <f t="shared" si="6"/>
        <v/>
      </c>
      <c r="Q10" s="231" t="str">
        <f t="shared" si="7"/>
        <v/>
      </c>
      <c r="R10" s="240" t="str">
        <f t="shared" si="8"/>
        <v/>
      </c>
      <c r="S10" s="231" t="str">
        <f ca="1">IF(ISNUMBER(C10),INDIRECT("Knoten!"&amp;ADDRESS(C10+2,COLUMN(Knoten!K10))),"")</f>
        <v/>
      </c>
      <c r="T10" s="230" t="str">
        <f ca="1">IF(ISNUMBER(C10),INDIRECT("Knoten!"&amp;ADDRESS(C10+2,COLUMN(Knoten!L10))),"")</f>
        <v/>
      </c>
      <c r="U10" s="230" t="str">
        <f ca="1">IF(ISNUMBER(C10),INDIRECT("Knoten!"&amp;ADDRESS(C10+2,COLUMN(Knoten!M10))),"")</f>
        <v/>
      </c>
      <c r="V10" s="230" t="str">
        <f ca="1">IF(ISNUMBER(D10),INDIRECT("Knoten!"&amp;ADDRESS(D10+2,COLUMN(Knoten!K10))),"")</f>
        <v/>
      </c>
      <c r="W10" s="230" t="str">
        <f ca="1">IF(ISNUMBER(D10),INDIRECT("Knoten!"&amp;ADDRESS(D10+2,COLUMN(Knoten!L10))),"")</f>
        <v/>
      </c>
      <c r="X10" s="232" t="str">
        <f ca="1">IF(ISNUMBER(D10),INDIRECT("Knoten!"&amp;ADDRESS(D10+2,COLUMN(Knoten!M10))),"")</f>
        <v/>
      </c>
      <c r="Y10" s="245">
        <f t="shared" ca="1" si="0"/>
        <v>0</v>
      </c>
      <c r="Z10" s="230">
        <f t="shared" ca="1" si="1"/>
        <v>0</v>
      </c>
      <c r="AA10" s="230">
        <f t="shared" ca="1" si="2"/>
        <v>0</v>
      </c>
      <c r="AB10" s="230">
        <f t="shared" ca="1" si="3"/>
        <v>0</v>
      </c>
      <c r="AC10" s="230">
        <f t="shared" ca="1" si="4"/>
        <v>0</v>
      </c>
      <c r="AD10" s="232">
        <f t="shared" ca="1" si="5"/>
        <v>0</v>
      </c>
    </row>
    <row r="11" spans="2:30" x14ac:dyDescent="0.2">
      <c r="B11" s="212">
        <v>10</v>
      </c>
      <c r="C11" s="420"/>
      <c r="D11" s="421"/>
      <c r="E11" s="422"/>
      <c r="F11" s="423"/>
      <c r="G11" s="424"/>
      <c r="H11" s="425"/>
      <c r="I11" s="426"/>
      <c r="K11" s="231">
        <f t="shared" ca="1" si="10"/>
        <v>0</v>
      </c>
      <c r="L11" s="232">
        <f ca="1">IF(ISNUMBER(D11),INDIRECT("Knoten!"&amp;ADDRESS(D11+2,COLUMN(Knoten!C11))),0)</f>
        <v>0</v>
      </c>
      <c r="M11" s="231">
        <f ca="1">IF(ISNUMBER(C11),INDIRECT("Knoten!"&amp;ADDRESS(C11+2,COLUMN(Knoten!D11))),0)</f>
        <v>0</v>
      </c>
      <c r="N11" s="232">
        <f ca="1">IF(ISNUMBER(D11),INDIRECT("Knoten!"&amp;ADDRESS(D11+2,COLUMN(Knoten!D11))),0)</f>
        <v>0</v>
      </c>
      <c r="O11" s="248" t="str">
        <f t="shared" si="9"/>
        <v/>
      </c>
      <c r="P11" s="248" t="str">
        <f t="shared" si="6"/>
        <v/>
      </c>
      <c r="Q11" s="231" t="str">
        <f t="shared" si="7"/>
        <v/>
      </c>
      <c r="R11" s="240" t="str">
        <f t="shared" si="8"/>
        <v/>
      </c>
      <c r="S11" s="231" t="str">
        <f ca="1">IF(ISNUMBER(C11),INDIRECT("Knoten!"&amp;ADDRESS(C11+2,COLUMN(Knoten!K11))),"")</f>
        <v/>
      </c>
      <c r="T11" s="230" t="str">
        <f ca="1">IF(ISNUMBER(C11),INDIRECT("Knoten!"&amp;ADDRESS(C11+2,COLUMN(Knoten!L11))),"")</f>
        <v/>
      </c>
      <c r="U11" s="230" t="str">
        <f ca="1">IF(ISNUMBER(C11),INDIRECT("Knoten!"&amp;ADDRESS(C11+2,COLUMN(Knoten!M11))),"")</f>
        <v/>
      </c>
      <c r="V11" s="230" t="str">
        <f ca="1">IF(ISNUMBER(D11),INDIRECT("Knoten!"&amp;ADDRESS(D11+2,COLUMN(Knoten!K11))),"")</f>
        <v/>
      </c>
      <c r="W11" s="230" t="str">
        <f ca="1">IF(ISNUMBER(D11),INDIRECT("Knoten!"&amp;ADDRESS(D11+2,COLUMN(Knoten!L11))),"")</f>
        <v/>
      </c>
      <c r="X11" s="232" t="str">
        <f ca="1">IF(ISNUMBER(D11),INDIRECT("Knoten!"&amp;ADDRESS(D11+2,COLUMN(Knoten!M11))),"")</f>
        <v/>
      </c>
      <c r="Y11" s="245">
        <f t="shared" ca="1" si="0"/>
        <v>0</v>
      </c>
      <c r="Z11" s="230">
        <f t="shared" ca="1" si="1"/>
        <v>0</v>
      </c>
      <c r="AA11" s="230">
        <f t="shared" ca="1" si="2"/>
        <v>0</v>
      </c>
      <c r="AB11" s="230">
        <f t="shared" ca="1" si="3"/>
        <v>0</v>
      </c>
      <c r="AC11" s="230">
        <f t="shared" ca="1" si="4"/>
        <v>0</v>
      </c>
      <c r="AD11" s="232">
        <f t="shared" ca="1" si="5"/>
        <v>0</v>
      </c>
    </row>
    <row r="12" spans="2:30" x14ac:dyDescent="0.2">
      <c r="B12" s="212">
        <v>11</v>
      </c>
      <c r="C12" s="420"/>
      <c r="D12" s="421"/>
      <c r="E12" s="422"/>
      <c r="F12" s="423"/>
      <c r="G12" s="424"/>
      <c r="H12" s="425"/>
      <c r="I12" s="426"/>
      <c r="K12" s="231">
        <f t="shared" ca="1" si="10"/>
        <v>0</v>
      </c>
      <c r="L12" s="232">
        <f ca="1">IF(ISNUMBER(D12),INDIRECT("Knoten!"&amp;ADDRESS(D12+2,COLUMN(Knoten!C12))),0)</f>
        <v>0</v>
      </c>
      <c r="M12" s="231">
        <f ca="1">IF(ISNUMBER(C12),INDIRECT("Knoten!"&amp;ADDRESS(C12+2,COLUMN(Knoten!D12))),0)</f>
        <v>0</v>
      </c>
      <c r="N12" s="232">
        <f ca="1">IF(ISNUMBER(D12),INDIRECT("Knoten!"&amp;ADDRESS(D12+2,COLUMN(Knoten!D12))),0)</f>
        <v>0</v>
      </c>
      <c r="O12" s="248" t="str">
        <f t="shared" si="9"/>
        <v/>
      </c>
      <c r="P12" s="248" t="str">
        <f t="shared" si="6"/>
        <v/>
      </c>
      <c r="Q12" s="231" t="str">
        <f t="shared" si="7"/>
        <v/>
      </c>
      <c r="R12" s="240" t="str">
        <f t="shared" si="8"/>
        <v/>
      </c>
      <c r="S12" s="231" t="str">
        <f ca="1">IF(ISNUMBER(C12),INDIRECT("Knoten!"&amp;ADDRESS(C12+2,COLUMN(Knoten!K12))),"")</f>
        <v/>
      </c>
      <c r="T12" s="230" t="str">
        <f ca="1">IF(ISNUMBER(C12),INDIRECT("Knoten!"&amp;ADDRESS(C12+2,COLUMN(Knoten!L12))),"")</f>
        <v/>
      </c>
      <c r="U12" s="230" t="str">
        <f ca="1">IF(ISNUMBER(C12),INDIRECT("Knoten!"&amp;ADDRESS(C12+2,COLUMN(Knoten!M12))),"")</f>
        <v/>
      </c>
      <c r="V12" s="230" t="str">
        <f ca="1">IF(ISNUMBER(D12),INDIRECT("Knoten!"&amp;ADDRESS(D12+2,COLUMN(Knoten!K12))),"")</f>
        <v/>
      </c>
      <c r="W12" s="230" t="str">
        <f ca="1">IF(ISNUMBER(D12),INDIRECT("Knoten!"&amp;ADDRESS(D12+2,COLUMN(Knoten!L12))),"")</f>
        <v/>
      </c>
      <c r="X12" s="232" t="str">
        <f ca="1">IF(ISNUMBER(D12),INDIRECT("Knoten!"&amp;ADDRESS(D12+2,COLUMN(Knoten!M12))),"")</f>
        <v/>
      </c>
      <c r="Y12" s="245">
        <f t="shared" ca="1" si="0"/>
        <v>0</v>
      </c>
      <c r="Z12" s="230">
        <f t="shared" ca="1" si="1"/>
        <v>0</v>
      </c>
      <c r="AA12" s="230">
        <f t="shared" ca="1" si="2"/>
        <v>0</v>
      </c>
      <c r="AB12" s="230">
        <f t="shared" ca="1" si="3"/>
        <v>0</v>
      </c>
      <c r="AC12" s="230">
        <f t="shared" ca="1" si="4"/>
        <v>0</v>
      </c>
      <c r="AD12" s="232">
        <f t="shared" ca="1" si="5"/>
        <v>0</v>
      </c>
    </row>
    <row r="13" spans="2:30" x14ac:dyDescent="0.2">
      <c r="B13" s="212">
        <v>12</v>
      </c>
      <c r="C13" s="420"/>
      <c r="D13" s="421"/>
      <c r="E13" s="422"/>
      <c r="F13" s="423"/>
      <c r="G13" s="424"/>
      <c r="H13" s="425"/>
      <c r="I13" s="426"/>
      <c r="K13" s="231">
        <f t="shared" ca="1" si="10"/>
        <v>0</v>
      </c>
      <c r="L13" s="232">
        <f ca="1">IF(ISNUMBER(D13),INDIRECT("Knoten!"&amp;ADDRESS(D13+2,COLUMN(Knoten!C13))),0)</f>
        <v>0</v>
      </c>
      <c r="M13" s="231">
        <f ca="1">IF(ISNUMBER(C13),INDIRECT("Knoten!"&amp;ADDRESS(C13+2,COLUMN(Knoten!D13))),0)</f>
        <v>0</v>
      </c>
      <c r="N13" s="232">
        <f ca="1">IF(ISNUMBER(D13),INDIRECT("Knoten!"&amp;ADDRESS(D13+2,COLUMN(Knoten!D13))),0)</f>
        <v>0</v>
      </c>
      <c r="O13" s="248" t="str">
        <f t="shared" si="9"/>
        <v/>
      </c>
      <c r="P13" s="248" t="str">
        <f t="shared" si="6"/>
        <v/>
      </c>
      <c r="Q13" s="231" t="str">
        <f t="shared" si="7"/>
        <v/>
      </c>
      <c r="R13" s="240" t="str">
        <f t="shared" si="8"/>
        <v/>
      </c>
      <c r="S13" s="231" t="str">
        <f ca="1">IF(ISNUMBER(C13),INDIRECT("Knoten!"&amp;ADDRESS(C13+2,COLUMN(Knoten!K13))),"")</f>
        <v/>
      </c>
      <c r="T13" s="230" t="str">
        <f ca="1">IF(ISNUMBER(C13),INDIRECT("Knoten!"&amp;ADDRESS(C13+2,COLUMN(Knoten!L13))),"")</f>
        <v/>
      </c>
      <c r="U13" s="230" t="str">
        <f ca="1">IF(ISNUMBER(C13),INDIRECT("Knoten!"&amp;ADDRESS(C13+2,COLUMN(Knoten!M13))),"")</f>
        <v/>
      </c>
      <c r="V13" s="230" t="str">
        <f ca="1">IF(ISNUMBER(D13),INDIRECT("Knoten!"&amp;ADDRESS(D13+2,COLUMN(Knoten!K13))),"")</f>
        <v/>
      </c>
      <c r="W13" s="230" t="str">
        <f ca="1">IF(ISNUMBER(D13),INDIRECT("Knoten!"&amp;ADDRESS(D13+2,COLUMN(Knoten!L13))),"")</f>
        <v/>
      </c>
      <c r="X13" s="232" t="str">
        <f ca="1">IF(ISNUMBER(D13),INDIRECT("Knoten!"&amp;ADDRESS(D13+2,COLUMN(Knoten!M13))),"")</f>
        <v/>
      </c>
      <c r="Y13" s="245">
        <f t="shared" ca="1" si="0"/>
        <v>0</v>
      </c>
      <c r="Z13" s="230">
        <f t="shared" ca="1" si="1"/>
        <v>0</v>
      </c>
      <c r="AA13" s="230">
        <f t="shared" ca="1" si="2"/>
        <v>0</v>
      </c>
      <c r="AB13" s="230">
        <f t="shared" ca="1" si="3"/>
        <v>0</v>
      </c>
      <c r="AC13" s="230">
        <f t="shared" ca="1" si="4"/>
        <v>0</v>
      </c>
      <c r="AD13" s="232">
        <f t="shared" ca="1" si="5"/>
        <v>0</v>
      </c>
    </row>
    <row r="14" spans="2:30" x14ac:dyDescent="0.2">
      <c r="B14" s="212">
        <v>13</v>
      </c>
      <c r="C14" s="420"/>
      <c r="D14" s="421"/>
      <c r="E14" s="422"/>
      <c r="F14" s="423"/>
      <c r="G14" s="424"/>
      <c r="H14" s="425"/>
      <c r="I14" s="426"/>
      <c r="K14" s="231">
        <f t="shared" ca="1" si="10"/>
        <v>0</v>
      </c>
      <c r="L14" s="232">
        <f ca="1">IF(ISNUMBER(D14),INDIRECT("Knoten!"&amp;ADDRESS(D14+2,COLUMN(Knoten!C14))),0)</f>
        <v>0</v>
      </c>
      <c r="M14" s="231">
        <f ca="1">IF(ISNUMBER(C14),INDIRECT("Knoten!"&amp;ADDRESS(C14+2,COLUMN(Knoten!D14))),0)</f>
        <v>0</v>
      </c>
      <c r="N14" s="232">
        <f ca="1">IF(ISNUMBER(D14),INDIRECT("Knoten!"&amp;ADDRESS(D14+2,COLUMN(Knoten!D14))),0)</f>
        <v>0</v>
      </c>
      <c r="O14" s="248" t="str">
        <f t="shared" si="9"/>
        <v/>
      </c>
      <c r="P14" s="248" t="str">
        <f t="shared" si="6"/>
        <v/>
      </c>
      <c r="Q14" s="231" t="str">
        <f t="shared" si="7"/>
        <v/>
      </c>
      <c r="R14" s="240" t="str">
        <f t="shared" si="8"/>
        <v/>
      </c>
      <c r="S14" s="231" t="str">
        <f ca="1">IF(ISNUMBER(C14),INDIRECT("Knoten!"&amp;ADDRESS(C14+2,COLUMN(Knoten!K14))),"")</f>
        <v/>
      </c>
      <c r="T14" s="230" t="str">
        <f ca="1">IF(ISNUMBER(C14),INDIRECT("Knoten!"&amp;ADDRESS(C14+2,COLUMN(Knoten!L14))),"")</f>
        <v/>
      </c>
      <c r="U14" s="230" t="str">
        <f ca="1">IF(ISNUMBER(C14),INDIRECT("Knoten!"&amp;ADDRESS(C14+2,COLUMN(Knoten!M14))),"")</f>
        <v/>
      </c>
      <c r="V14" s="230" t="str">
        <f ca="1">IF(ISNUMBER(D14),INDIRECT("Knoten!"&amp;ADDRESS(D14+2,COLUMN(Knoten!K14))),"")</f>
        <v/>
      </c>
      <c r="W14" s="230" t="str">
        <f ca="1">IF(ISNUMBER(D14),INDIRECT("Knoten!"&amp;ADDRESS(D14+2,COLUMN(Knoten!L14))),"")</f>
        <v/>
      </c>
      <c r="X14" s="232" t="str">
        <f ca="1">IF(ISNUMBER(D14),INDIRECT("Knoten!"&amp;ADDRESS(D14+2,COLUMN(Knoten!M14))),"")</f>
        <v/>
      </c>
      <c r="Y14" s="245">
        <f t="shared" ca="1" si="0"/>
        <v>0</v>
      </c>
      <c r="Z14" s="230">
        <f t="shared" ca="1" si="1"/>
        <v>0</v>
      </c>
      <c r="AA14" s="230">
        <f t="shared" ca="1" si="2"/>
        <v>0</v>
      </c>
      <c r="AB14" s="230">
        <f t="shared" ca="1" si="3"/>
        <v>0</v>
      </c>
      <c r="AC14" s="230">
        <f t="shared" ca="1" si="4"/>
        <v>0</v>
      </c>
      <c r="AD14" s="232">
        <f t="shared" ca="1" si="5"/>
        <v>0</v>
      </c>
    </row>
    <row r="15" spans="2:30" x14ac:dyDescent="0.2">
      <c r="B15" s="212">
        <v>14</v>
      </c>
      <c r="C15" s="420"/>
      <c r="D15" s="421"/>
      <c r="E15" s="422"/>
      <c r="F15" s="423"/>
      <c r="G15" s="424"/>
      <c r="H15" s="425"/>
      <c r="I15" s="426"/>
      <c r="K15" s="231">
        <f t="shared" ca="1" si="10"/>
        <v>0</v>
      </c>
      <c r="L15" s="232">
        <f ca="1">IF(ISNUMBER(D15),INDIRECT("Knoten!"&amp;ADDRESS(D15+2,COLUMN(Knoten!C15))),0)</f>
        <v>0</v>
      </c>
      <c r="M15" s="231">
        <f ca="1">IF(ISNUMBER(C15),INDIRECT("Knoten!"&amp;ADDRESS(C15+2,COLUMN(Knoten!D15))),0)</f>
        <v>0</v>
      </c>
      <c r="N15" s="232">
        <f ca="1">IF(ISNUMBER(D15),INDIRECT("Knoten!"&amp;ADDRESS(D15+2,COLUMN(Knoten!D15))),0)</f>
        <v>0</v>
      </c>
      <c r="O15" s="248" t="str">
        <f t="shared" si="9"/>
        <v/>
      </c>
      <c r="P15" s="248" t="str">
        <f t="shared" si="6"/>
        <v/>
      </c>
      <c r="Q15" s="231" t="str">
        <f t="shared" si="7"/>
        <v/>
      </c>
      <c r="R15" s="240" t="str">
        <f t="shared" si="8"/>
        <v/>
      </c>
      <c r="S15" s="231" t="str">
        <f ca="1">IF(ISNUMBER(C15),INDIRECT("Knoten!"&amp;ADDRESS(C15+2,COLUMN(Knoten!K15))),"")</f>
        <v/>
      </c>
      <c r="T15" s="230" t="str">
        <f ca="1">IF(ISNUMBER(C15),INDIRECT("Knoten!"&amp;ADDRESS(C15+2,COLUMN(Knoten!L15))),"")</f>
        <v/>
      </c>
      <c r="U15" s="230" t="str">
        <f ca="1">IF(ISNUMBER(C15),INDIRECT("Knoten!"&amp;ADDRESS(C15+2,COLUMN(Knoten!M15))),"")</f>
        <v/>
      </c>
      <c r="V15" s="230" t="str">
        <f ca="1">IF(ISNUMBER(D15),INDIRECT("Knoten!"&amp;ADDRESS(D15+2,COLUMN(Knoten!K15))),"")</f>
        <v/>
      </c>
      <c r="W15" s="230" t="str">
        <f ca="1">IF(ISNUMBER(D15),INDIRECT("Knoten!"&amp;ADDRESS(D15+2,COLUMN(Knoten!L15))),"")</f>
        <v/>
      </c>
      <c r="X15" s="232" t="str">
        <f ca="1">IF(ISNUMBER(D15),INDIRECT("Knoten!"&amp;ADDRESS(D15+2,COLUMN(Knoten!M15))),"")</f>
        <v/>
      </c>
      <c r="Y15" s="245">
        <f t="shared" ca="1" si="0"/>
        <v>0</v>
      </c>
      <c r="Z15" s="230">
        <f t="shared" ca="1" si="1"/>
        <v>0</v>
      </c>
      <c r="AA15" s="230">
        <f t="shared" ca="1" si="2"/>
        <v>0</v>
      </c>
      <c r="AB15" s="230">
        <f t="shared" ca="1" si="3"/>
        <v>0</v>
      </c>
      <c r="AC15" s="230">
        <f t="shared" ca="1" si="4"/>
        <v>0</v>
      </c>
      <c r="AD15" s="232">
        <f t="shared" ca="1" si="5"/>
        <v>0</v>
      </c>
    </row>
    <row r="16" spans="2:30" x14ac:dyDescent="0.2">
      <c r="B16" s="212">
        <v>15</v>
      </c>
      <c r="C16" s="420"/>
      <c r="D16" s="421"/>
      <c r="E16" s="422"/>
      <c r="F16" s="423"/>
      <c r="G16" s="424"/>
      <c r="H16" s="425"/>
      <c r="I16" s="426"/>
      <c r="K16" s="231">
        <f t="shared" ca="1" si="10"/>
        <v>0</v>
      </c>
      <c r="L16" s="232">
        <f ca="1">IF(ISNUMBER(D16),INDIRECT("Knoten!"&amp;ADDRESS(D16+2,COLUMN(Knoten!C16))),0)</f>
        <v>0</v>
      </c>
      <c r="M16" s="231">
        <f ca="1">IF(ISNUMBER(C16),INDIRECT("Knoten!"&amp;ADDRESS(C16+2,COLUMN(Knoten!D16))),0)</f>
        <v>0</v>
      </c>
      <c r="N16" s="232">
        <f ca="1">IF(ISNUMBER(D16),INDIRECT("Knoten!"&amp;ADDRESS(D16+2,COLUMN(Knoten!D16))),0)</f>
        <v>0</v>
      </c>
      <c r="O16" s="248" t="str">
        <f t="shared" si="9"/>
        <v/>
      </c>
      <c r="P16" s="248" t="str">
        <f t="shared" si="6"/>
        <v/>
      </c>
      <c r="Q16" s="231" t="str">
        <f t="shared" si="7"/>
        <v/>
      </c>
      <c r="R16" s="240" t="str">
        <f t="shared" si="8"/>
        <v/>
      </c>
      <c r="S16" s="231" t="str">
        <f ca="1">IF(ISNUMBER(C16),INDIRECT("Knoten!"&amp;ADDRESS(C16+2,COLUMN(Knoten!K16))),"")</f>
        <v/>
      </c>
      <c r="T16" s="230" t="str">
        <f ca="1">IF(ISNUMBER(C16),INDIRECT("Knoten!"&amp;ADDRESS(C16+2,COLUMN(Knoten!L16))),"")</f>
        <v/>
      </c>
      <c r="U16" s="230" t="str">
        <f ca="1">IF(ISNUMBER(C16),INDIRECT("Knoten!"&amp;ADDRESS(C16+2,COLUMN(Knoten!M16))),"")</f>
        <v/>
      </c>
      <c r="V16" s="230" t="str">
        <f ca="1">IF(ISNUMBER(D16),INDIRECT("Knoten!"&amp;ADDRESS(D16+2,COLUMN(Knoten!K16))),"")</f>
        <v/>
      </c>
      <c r="W16" s="230" t="str">
        <f ca="1">IF(ISNUMBER(D16),INDIRECT("Knoten!"&amp;ADDRESS(D16+2,COLUMN(Knoten!L16))),"")</f>
        <v/>
      </c>
      <c r="X16" s="232" t="str">
        <f ca="1">IF(ISNUMBER(D16),INDIRECT("Knoten!"&amp;ADDRESS(D16+2,COLUMN(Knoten!M16))),"")</f>
        <v/>
      </c>
      <c r="Y16" s="245">
        <f t="shared" ca="1" si="0"/>
        <v>0</v>
      </c>
      <c r="Z16" s="230">
        <f t="shared" ca="1" si="1"/>
        <v>0</v>
      </c>
      <c r="AA16" s="230">
        <f t="shared" ca="1" si="2"/>
        <v>0</v>
      </c>
      <c r="AB16" s="230">
        <f t="shared" ca="1" si="3"/>
        <v>0</v>
      </c>
      <c r="AC16" s="230">
        <f t="shared" ca="1" si="4"/>
        <v>0</v>
      </c>
      <c r="AD16" s="232">
        <f t="shared" ca="1" si="5"/>
        <v>0</v>
      </c>
    </row>
    <row r="17" spans="2:30" x14ac:dyDescent="0.2">
      <c r="B17" s="212">
        <v>16</v>
      </c>
      <c r="C17" s="420"/>
      <c r="D17" s="421"/>
      <c r="E17" s="422"/>
      <c r="F17" s="423"/>
      <c r="G17" s="424"/>
      <c r="H17" s="425"/>
      <c r="I17" s="426"/>
      <c r="K17" s="231">
        <f t="shared" ca="1" si="10"/>
        <v>0</v>
      </c>
      <c r="L17" s="232">
        <f ca="1">IF(ISNUMBER(D17),INDIRECT("Knoten!"&amp;ADDRESS(D17+2,COLUMN(Knoten!C17))),0)</f>
        <v>0</v>
      </c>
      <c r="M17" s="231">
        <f ca="1">IF(ISNUMBER(C17),INDIRECT("Knoten!"&amp;ADDRESS(C17+2,COLUMN(Knoten!D17))),0)</f>
        <v>0</v>
      </c>
      <c r="N17" s="232">
        <f ca="1">IF(ISNUMBER(D17),INDIRECT("Knoten!"&amp;ADDRESS(D17+2,COLUMN(Knoten!D17))),0)</f>
        <v>0</v>
      </c>
      <c r="O17" s="248" t="str">
        <f t="shared" si="9"/>
        <v/>
      </c>
      <c r="P17" s="248" t="str">
        <f t="shared" si="6"/>
        <v/>
      </c>
      <c r="Q17" s="231" t="str">
        <f t="shared" si="7"/>
        <v/>
      </c>
      <c r="R17" s="240" t="str">
        <f t="shared" si="8"/>
        <v/>
      </c>
      <c r="S17" s="231" t="str">
        <f ca="1">IF(ISNUMBER(C17),INDIRECT("Knoten!"&amp;ADDRESS(C17+2,COLUMN(Knoten!K17))),"")</f>
        <v/>
      </c>
      <c r="T17" s="230" t="str">
        <f ca="1">IF(ISNUMBER(C17),INDIRECT("Knoten!"&amp;ADDRESS(C17+2,COLUMN(Knoten!L17))),"")</f>
        <v/>
      </c>
      <c r="U17" s="230" t="str">
        <f ca="1">IF(ISNUMBER(C17),INDIRECT("Knoten!"&amp;ADDRESS(C17+2,COLUMN(Knoten!M17))),"")</f>
        <v/>
      </c>
      <c r="V17" s="230" t="str">
        <f ca="1">IF(ISNUMBER(D17),INDIRECT("Knoten!"&amp;ADDRESS(D17+2,COLUMN(Knoten!K17))),"")</f>
        <v/>
      </c>
      <c r="W17" s="230" t="str">
        <f ca="1">IF(ISNUMBER(D17),INDIRECT("Knoten!"&amp;ADDRESS(D17+2,COLUMN(Knoten!L17))),"")</f>
        <v/>
      </c>
      <c r="X17" s="232" t="str">
        <f ca="1">IF(ISNUMBER(D17),INDIRECT("Knoten!"&amp;ADDRESS(D17+2,COLUMN(Knoten!M17))),"")</f>
        <v/>
      </c>
      <c r="Y17" s="245">
        <f t="shared" ca="1" si="0"/>
        <v>0</v>
      </c>
      <c r="Z17" s="230">
        <f t="shared" ca="1" si="1"/>
        <v>0</v>
      </c>
      <c r="AA17" s="230">
        <f t="shared" ca="1" si="2"/>
        <v>0</v>
      </c>
      <c r="AB17" s="230">
        <f t="shared" ca="1" si="3"/>
        <v>0</v>
      </c>
      <c r="AC17" s="230">
        <f t="shared" ca="1" si="4"/>
        <v>0</v>
      </c>
      <c r="AD17" s="232">
        <f t="shared" ca="1" si="5"/>
        <v>0</v>
      </c>
    </row>
    <row r="18" spans="2:30" x14ac:dyDescent="0.2">
      <c r="B18" s="212">
        <v>17</v>
      </c>
      <c r="C18" s="420"/>
      <c r="D18" s="421"/>
      <c r="E18" s="422"/>
      <c r="F18" s="423"/>
      <c r="G18" s="424"/>
      <c r="H18" s="425"/>
      <c r="I18" s="426"/>
      <c r="K18" s="231">
        <f t="shared" ca="1" si="10"/>
        <v>0</v>
      </c>
      <c r="L18" s="232">
        <f ca="1">IF(ISNUMBER(D18),INDIRECT("Knoten!"&amp;ADDRESS(D18+2,COLUMN(Knoten!C18))),0)</f>
        <v>0</v>
      </c>
      <c r="M18" s="231">
        <f ca="1">IF(ISNUMBER(C18),INDIRECT("Knoten!"&amp;ADDRESS(C18+2,COLUMN(Knoten!D18))),0)</f>
        <v>0</v>
      </c>
      <c r="N18" s="232">
        <f ca="1">IF(ISNUMBER(D18),INDIRECT("Knoten!"&amp;ADDRESS(D18+2,COLUMN(Knoten!D18))),0)</f>
        <v>0</v>
      </c>
      <c r="O18" s="248" t="str">
        <f t="shared" si="9"/>
        <v/>
      </c>
      <c r="P18" s="248" t="str">
        <f t="shared" si="6"/>
        <v/>
      </c>
      <c r="Q18" s="231" t="str">
        <f t="shared" si="7"/>
        <v/>
      </c>
      <c r="R18" s="240" t="str">
        <f t="shared" si="8"/>
        <v/>
      </c>
      <c r="S18" s="231" t="str">
        <f ca="1">IF(ISNUMBER(C18),INDIRECT("Knoten!"&amp;ADDRESS(C18+2,COLUMN(Knoten!K18))),"")</f>
        <v/>
      </c>
      <c r="T18" s="230" t="str">
        <f ca="1">IF(ISNUMBER(C18),INDIRECT("Knoten!"&amp;ADDRESS(C18+2,COLUMN(Knoten!L18))),"")</f>
        <v/>
      </c>
      <c r="U18" s="230" t="str">
        <f ca="1">IF(ISNUMBER(C18),INDIRECT("Knoten!"&amp;ADDRESS(C18+2,COLUMN(Knoten!M18))),"")</f>
        <v/>
      </c>
      <c r="V18" s="230" t="str">
        <f ca="1">IF(ISNUMBER(D18),INDIRECT("Knoten!"&amp;ADDRESS(D18+2,COLUMN(Knoten!K18))),"")</f>
        <v/>
      </c>
      <c r="W18" s="230" t="str">
        <f ca="1">IF(ISNUMBER(D18),INDIRECT("Knoten!"&amp;ADDRESS(D18+2,COLUMN(Knoten!L18))),"")</f>
        <v/>
      </c>
      <c r="X18" s="232" t="str">
        <f ca="1">IF(ISNUMBER(D18),INDIRECT("Knoten!"&amp;ADDRESS(D18+2,COLUMN(Knoten!M18))),"")</f>
        <v/>
      </c>
      <c r="Y18" s="245">
        <f t="shared" ca="1" si="0"/>
        <v>0</v>
      </c>
      <c r="Z18" s="230">
        <f t="shared" ca="1" si="1"/>
        <v>0</v>
      </c>
      <c r="AA18" s="230">
        <f t="shared" ca="1" si="2"/>
        <v>0</v>
      </c>
      <c r="AB18" s="230">
        <f t="shared" ca="1" si="3"/>
        <v>0</v>
      </c>
      <c r="AC18" s="230">
        <f t="shared" ca="1" si="4"/>
        <v>0</v>
      </c>
      <c r="AD18" s="232">
        <f t="shared" ca="1" si="5"/>
        <v>0</v>
      </c>
    </row>
    <row r="19" spans="2:30" x14ac:dyDescent="0.2">
      <c r="B19" s="212">
        <v>18</v>
      </c>
      <c r="C19" s="420"/>
      <c r="D19" s="421"/>
      <c r="E19" s="422"/>
      <c r="F19" s="423"/>
      <c r="G19" s="424"/>
      <c r="H19" s="425"/>
      <c r="I19" s="426"/>
      <c r="K19" s="231">
        <f t="shared" ca="1" si="10"/>
        <v>0</v>
      </c>
      <c r="L19" s="232">
        <f ca="1">IF(ISNUMBER(D19),INDIRECT("Knoten!"&amp;ADDRESS(D19+2,COLUMN(Knoten!C19))),0)</f>
        <v>0</v>
      </c>
      <c r="M19" s="231">
        <f ca="1">IF(ISNUMBER(C19),INDIRECT("Knoten!"&amp;ADDRESS(C19+2,COLUMN(Knoten!D19))),0)</f>
        <v>0</v>
      </c>
      <c r="N19" s="232">
        <f ca="1">IF(ISNUMBER(D19),INDIRECT("Knoten!"&amp;ADDRESS(D19+2,COLUMN(Knoten!D19))),0)</f>
        <v>0</v>
      </c>
      <c r="O19" s="248" t="str">
        <f t="shared" si="9"/>
        <v/>
      </c>
      <c r="P19" s="248" t="str">
        <f t="shared" si="6"/>
        <v/>
      </c>
      <c r="Q19" s="231" t="str">
        <f t="shared" si="7"/>
        <v/>
      </c>
      <c r="R19" s="240" t="str">
        <f t="shared" si="8"/>
        <v/>
      </c>
      <c r="S19" s="231" t="str">
        <f ca="1">IF(ISNUMBER(C19),INDIRECT("Knoten!"&amp;ADDRESS(C19+2,COLUMN(Knoten!K19))),"")</f>
        <v/>
      </c>
      <c r="T19" s="230" t="str">
        <f ca="1">IF(ISNUMBER(C19),INDIRECT("Knoten!"&amp;ADDRESS(C19+2,COLUMN(Knoten!L19))),"")</f>
        <v/>
      </c>
      <c r="U19" s="230" t="str">
        <f ca="1">IF(ISNUMBER(C19),INDIRECT("Knoten!"&amp;ADDRESS(C19+2,COLUMN(Knoten!M19))),"")</f>
        <v/>
      </c>
      <c r="V19" s="230" t="str">
        <f ca="1">IF(ISNUMBER(D19),INDIRECT("Knoten!"&amp;ADDRESS(D19+2,COLUMN(Knoten!K19))),"")</f>
        <v/>
      </c>
      <c r="W19" s="230" t="str">
        <f ca="1">IF(ISNUMBER(D19),INDIRECT("Knoten!"&amp;ADDRESS(D19+2,COLUMN(Knoten!L19))),"")</f>
        <v/>
      </c>
      <c r="X19" s="232" t="str">
        <f ca="1">IF(ISNUMBER(D19),INDIRECT("Knoten!"&amp;ADDRESS(D19+2,COLUMN(Knoten!M19))),"")</f>
        <v/>
      </c>
      <c r="Y19" s="245">
        <f t="shared" ca="1" si="0"/>
        <v>0</v>
      </c>
      <c r="Z19" s="230">
        <f t="shared" ca="1" si="1"/>
        <v>0</v>
      </c>
      <c r="AA19" s="230">
        <f t="shared" ca="1" si="2"/>
        <v>0</v>
      </c>
      <c r="AB19" s="230">
        <f t="shared" ca="1" si="3"/>
        <v>0</v>
      </c>
      <c r="AC19" s="230">
        <f t="shared" ca="1" si="4"/>
        <v>0</v>
      </c>
      <c r="AD19" s="232">
        <f t="shared" ca="1" si="5"/>
        <v>0</v>
      </c>
    </row>
    <row r="20" spans="2:30" x14ac:dyDescent="0.2">
      <c r="B20" s="212">
        <v>19</v>
      </c>
      <c r="C20" s="420"/>
      <c r="D20" s="421"/>
      <c r="E20" s="422"/>
      <c r="F20" s="423"/>
      <c r="G20" s="424"/>
      <c r="H20" s="425"/>
      <c r="I20" s="426"/>
      <c r="K20" s="231">
        <f t="shared" ca="1" si="10"/>
        <v>0</v>
      </c>
      <c r="L20" s="232">
        <f ca="1">IF(ISNUMBER(D20),INDIRECT("Knoten!"&amp;ADDRESS(D20+2,COLUMN(Knoten!C20))),0)</f>
        <v>0</v>
      </c>
      <c r="M20" s="231">
        <f ca="1">IF(ISNUMBER(C20),INDIRECT("Knoten!"&amp;ADDRESS(C20+2,COLUMN(Knoten!D20))),0)</f>
        <v>0</v>
      </c>
      <c r="N20" s="232">
        <f ca="1">IF(ISNUMBER(D20),INDIRECT("Knoten!"&amp;ADDRESS(D20+2,COLUMN(Knoten!D20))),0)</f>
        <v>0</v>
      </c>
      <c r="O20" s="248" t="str">
        <f t="shared" si="9"/>
        <v/>
      </c>
      <c r="P20" s="248" t="str">
        <f t="shared" si="6"/>
        <v/>
      </c>
      <c r="Q20" s="231" t="str">
        <f t="shared" si="7"/>
        <v/>
      </c>
      <c r="R20" s="240" t="str">
        <f t="shared" si="8"/>
        <v/>
      </c>
      <c r="S20" s="231" t="str">
        <f ca="1">IF(ISNUMBER(C20),INDIRECT("Knoten!"&amp;ADDRESS(C20+2,COLUMN(Knoten!K20))),"")</f>
        <v/>
      </c>
      <c r="T20" s="230" t="str">
        <f ca="1">IF(ISNUMBER(C20),INDIRECT("Knoten!"&amp;ADDRESS(C20+2,COLUMN(Knoten!L20))),"")</f>
        <v/>
      </c>
      <c r="U20" s="230" t="str">
        <f ca="1">IF(ISNUMBER(C20),INDIRECT("Knoten!"&amp;ADDRESS(C20+2,COLUMN(Knoten!M20))),"")</f>
        <v/>
      </c>
      <c r="V20" s="230" t="str">
        <f ca="1">IF(ISNUMBER(D20),INDIRECT("Knoten!"&amp;ADDRESS(D20+2,COLUMN(Knoten!K20))),"")</f>
        <v/>
      </c>
      <c r="W20" s="230" t="str">
        <f ca="1">IF(ISNUMBER(D20),INDIRECT("Knoten!"&amp;ADDRESS(D20+2,COLUMN(Knoten!L20))),"")</f>
        <v/>
      </c>
      <c r="X20" s="232" t="str">
        <f ca="1">IF(ISNUMBER(D20),INDIRECT("Knoten!"&amp;ADDRESS(D20+2,COLUMN(Knoten!M20))),"")</f>
        <v/>
      </c>
      <c r="Y20" s="245">
        <f t="shared" ca="1" si="0"/>
        <v>0</v>
      </c>
      <c r="Z20" s="230">
        <f t="shared" ca="1" si="1"/>
        <v>0</v>
      </c>
      <c r="AA20" s="230">
        <f t="shared" ca="1" si="2"/>
        <v>0</v>
      </c>
      <c r="AB20" s="230">
        <f t="shared" ca="1" si="3"/>
        <v>0</v>
      </c>
      <c r="AC20" s="230">
        <f t="shared" ca="1" si="4"/>
        <v>0</v>
      </c>
      <c r="AD20" s="232">
        <f t="shared" ca="1" si="5"/>
        <v>0</v>
      </c>
    </row>
    <row r="21" spans="2:30" ht="13.5" thickBot="1" x14ac:dyDescent="0.25">
      <c r="B21" s="213">
        <v>20</v>
      </c>
      <c r="C21" s="427"/>
      <c r="D21" s="428"/>
      <c r="E21" s="429"/>
      <c r="F21" s="430"/>
      <c r="G21" s="431"/>
      <c r="H21" s="432"/>
      <c r="I21" s="433"/>
      <c r="K21" s="233">
        <f t="shared" ca="1" si="10"/>
        <v>0</v>
      </c>
      <c r="L21" s="234">
        <f ca="1">IF(ISNUMBER(D21),INDIRECT("Knoten!"&amp;ADDRESS(D21+2,COLUMN(Knoten!C21))),0)</f>
        <v>0</v>
      </c>
      <c r="M21" s="233">
        <f ca="1">IF(ISNUMBER(C21),INDIRECT("Knoten!"&amp;ADDRESS(C21+2,COLUMN(Knoten!D21))),0)</f>
        <v>0</v>
      </c>
      <c r="N21" s="234">
        <f ca="1">IF(ISNUMBER(D21),INDIRECT("Knoten!"&amp;ADDRESS(D21+2,COLUMN(Knoten!D21))),0)</f>
        <v>0</v>
      </c>
      <c r="O21" s="249" t="str">
        <f t="shared" si="9"/>
        <v/>
      </c>
      <c r="P21" s="249" t="str">
        <f t="shared" si="6"/>
        <v/>
      </c>
      <c r="Q21" s="233" t="str">
        <f t="shared" si="7"/>
        <v/>
      </c>
      <c r="R21" s="241" t="str">
        <f t="shared" si="8"/>
        <v/>
      </c>
      <c r="S21" s="233" t="str">
        <f ca="1">IF(ISNUMBER(C21),INDIRECT("Knoten!"&amp;ADDRESS(C21+2,COLUMN(Knoten!K21))),"")</f>
        <v/>
      </c>
      <c r="T21" s="251" t="str">
        <f ca="1">IF(ISNUMBER(C21),INDIRECT("Knoten!"&amp;ADDRESS(C21+2,COLUMN(Knoten!L21))),"")</f>
        <v/>
      </c>
      <c r="U21" s="251" t="str">
        <f ca="1">IF(ISNUMBER(C21),INDIRECT("Knoten!"&amp;ADDRESS(C21+2,COLUMN(Knoten!M21))),"")</f>
        <v/>
      </c>
      <c r="V21" s="251" t="str">
        <f ca="1">IF(ISNUMBER(D21),INDIRECT("Knoten!"&amp;ADDRESS(D21+2,COLUMN(Knoten!K21))),"")</f>
        <v/>
      </c>
      <c r="W21" s="251" t="str">
        <f ca="1">IF(ISNUMBER(D21),INDIRECT("Knoten!"&amp;ADDRESS(D21+2,COLUMN(Knoten!L21))),"")</f>
        <v/>
      </c>
      <c r="X21" s="234" t="str">
        <f ca="1">IF(ISNUMBER(D21),INDIRECT("Knoten!"&amp;ADDRESS(D21+2,COLUMN(Knoten!M21))),"")</f>
        <v/>
      </c>
      <c r="Y21" s="253">
        <f t="shared" ca="1" si="0"/>
        <v>0</v>
      </c>
      <c r="Z21" s="251">
        <f t="shared" ca="1" si="1"/>
        <v>0</v>
      </c>
      <c r="AA21" s="251">
        <f t="shared" ca="1" si="2"/>
        <v>0</v>
      </c>
      <c r="AB21" s="251">
        <f t="shared" ca="1" si="3"/>
        <v>0</v>
      </c>
      <c r="AC21" s="251">
        <f t="shared" ca="1" si="4"/>
        <v>0</v>
      </c>
      <c r="AD21" s="234">
        <f t="shared" ca="1" si="5"/>
        <v>0</v>
      </c>
    </row>
    <row r="22" spans="2:30" x14ac:dyDescent="0.2">
      <c r="N22" t="str">
        <f>IF(ISBLANK(B22),"",#REF!)</f>
        <v/>
      </c>
    </row>
    <row r="23" spans="2:30" x14ac:dyDescent="0.2">
      <c r="N23" t="str">
        <f>IF(ISBLANK(B23),"",#REF!)</f>
        <v/>
      </c>
    </row>
    <row r="24" spans="2:30" x14ac:dyDescent="0.2">
      <c r="N24" t="str">
        <f>IF(ISBLANK(B24),"",#REF!)</f>
        <v/>
      </c>
    </row>
    <row r="31" spans="2:30" x14ac:dyDescent="0.2">
      <c r="S31" s="172"/>
    </row>
    <row r="33" spans="11:12" x14ac:dyDescent="0.2">
      <c r="K33" s="314"/>
      <c r="L33" s="12"/>
    </row>
    <row r="39" spans="11:12" x14ac:dyDescent="0.2">
      <c r="K39" s="12"/>
      <c r="L39" s="12"/>
    </row>
    <row r="40" spans="11:12" x14ac:dyDescent="0.2">
      <c r="K40" s="12"/>
      <c r="L40" s="12"/>
    </row>
    <row r="41" spans="11:12" x14ac:dyDescent="0.2">
      <c r="K41" s="12"/>
      <c r="L41" s="12"/>
    </row>
    <row r="42" spans="11:12" x14ac:dyDescent="0.2">
      <c r="K42" s="12"/>
      <c r="L42" s="12"/>
    </row>
    <row r="43" spans="11:12" x14ac:dyDescent="0.2">
      <c r="K43" s="12"/>
      <c r="L43" s="12"/>
    </row>
    <row r="44" spans="11:12" x14ac:dyDescent="0.2">
      <c r="K44" s="12"/>
      <c r="L44" s="12"/>
    </row>
    <row r="45" spans="11:12" x14ac:dyDescent="0.2">
      <c r="K45" s="12"/>
      <c r="L45" s="12"/>
    </row>
    <row r="46" spans="11:12" x14ac:dyDescent="0.2">
      <c r="K46" s="12"/>
      <c r="L46" s="12"/>
    </row>
  </sheetData>
  <sheetProtection password="C690" sheet="1" objects="1" scenarios="1"/>
  <mergeCells count="1">
    <mergeCell ref="Y1:AD1"/>
  </mergeCells>
  <phoneticPr fontId="0" type="noConversion"/>
  <pageMargins left="0.78740157499999996" right="0.78740157499999996" top="0.984251969" bottom="0.984251969" header="0.4921259845" footer="0.4921259845"/>
  <headerFooter alignWithMargins="0"/>
  <drawing r:id="rId1"/>
  <legacyDrawing r:id="rId2"/>
  <oleObjects>
    <mc:AlternateContent xmlns:mc="http://schemas.openxmlformats.org/markup-compatibility/2006">
      <mc:Choice Requires="x14">
        <oleObject progId="Word.Picture.8" shapeId="2056" r:id="rId3">
          <objectPr defaultSize="0" r:id="rId4">
            <anchor moveWithCells="1">
              <from>
                <xdr:col>7</xdr:col>
                <xdr:colOff>723900</xdr:colOff>
                <xdr:row>21</xdr:row>
                <xdr:rowOff>152400</xdr:rowOff>
              </from>
              <to>
                <xdr:col>10</xdr:col>
                <xdr:colOff>0</xdr:colOff>
                <xdr:row>28</xdr:row>
                <xdr:rowOff>133350</xdr:rowOff>
              </to>
            </anchor>
          </objectPr>
        </oleObject>
      </mc:Choice>
      <mc:Fallback>
        <oleObject progId="Word.Picture.8" shapeId="2056"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B1:L60"/>
  <sheetViews>
    <sheetView zoomScale="80" zoomScaleNormal="80" workbookViewId="0">
      <selection activeCell="C18" sqref="C18:H23"/>
    </sheetView>
  </sheetViews>
  <sheetFormatPr baseColWidth="10" defaultRowHeight="12.75" x14ac:dyDescent="0.2"/>
  <cols>
    <col min="1" max="1" width="6.28515625" customWidth="1"/>
    <col min="2" max="2" width="8.140625" customWidth="1"/>
    <col min="4" max="4" width="12.140625" bestFit="1" customWidth="1"/>
  </cols>
  <sheetData>
    <row r="1" spans="3:12" ht="12.75" customHeight="1" thickTop="1" thickBot="1" x14ac:dyDescent="0.25">
      <c r="C1" s="175" t="s">
        <v>6</v>
      </c>
      <c r="D1" s="276">
        <v>1</v>
      </c>
    </row>
    <row r="2" spans="3:12" ht="15" customHeight="1" thickTop="1" thickBot="1" x14ac:dyDescent="0.25">
      <c r="C2" s="174" t="s">
        <v>3</v>
      </c>
      <c r="D2" s="176" t="s">
        <v>29</v>
      </c>
      <c r="E2" s="151" t="s">
        <v>1</v>
      </c>
      <c r="F2" s="150" t="s">
        <v>2</v>
      </c>
      <c r="G2" s="151" t="s">
        <v>24</v>
      </c>
      <c r="H2" s="3" t="s">
        <v>25</v>
      </c>
      <c r="I2" s="150" t="s">
        <v>26</v>
      </c>
      <c r="J2" s="152" t="s">
        <v>63</v>
      </c>
      <c r="K2" s="148" t="s">
        <v>64</v>
      </c>
      <c r="L2" s="149" t="s">
        <v>65</v>
      </c>
    </row>
    <row r="3" spans="3:12" ht="15" customHeight="1" thickTop="1" x14ac:dyDescent="0.2">
      <c r="C3" s="25" t="s">
        <v>4</v>
      </c>
      <c r="D3" s="434">
        <f ca="1">INDIRECT("System!C" &amp; D1+1)</f>
        <v>1</v>
      </c>
      <c r="E3" s="435">
        <f ca="1">INDIRECT("Knoten!C" &amp; (D3+2))</f>
        <v>0</v>
      </c>
      <c r="F3" s="436">
        <f ca="1">INDIRECT("Knoten!D" &amp; (D3+2))</f>
        <v>0.75</v>
      </c>
      <c r="G3" s="435">
        <f ca="1">INDIRECT("Knoten!H" &amp; (D3+2))</f>
        <v>0</v>
      </c>
      <c r="H3" s="437">
        <f ca="1">INDIRECT("Knoten!I" &amp; (D3+2))</f>
        <v>0</v>
      </c>
      <c r="I3" s="436">
        <f ca="1">INDIRECT("Knoten!J" &amp; (D3+2))</f>
        <v>0</v>
      </c>
      <c r="J3" s="435">
        <f ca="1">INDIRECT("Knoten!K" &amp; (D3+2))</f>
        <v>0</v>
      </c>
      <c r="K3" s="437">
        <f ca="1">INDIRECT("Knoten!L" &amp; (D3+2))</f>
        <v>0</v>
      </c>
      <c r="L3" s="437">
        <f ca="1">INDIRECT("Knoten!M" &amp; (D3+2))</f>
        <v>0</v>
      </c>
    </row>
    <row r="4" spans="3:12" ht="15" customHeight="1" x14ac:dyDescent="0.2">
      <c r="C4" s="26" t="s">
        <v>5</v>
      </c>
      <c r="D4" s="438">
        <f ca="1">INDIRECT("System!D" &amp; D1+1)</f>
        <v>2</v>
      </c>
      <c r="E4" s="435">
        <f ca="1">INDIRECT("Knoten!C" &amp; (D4+2))</f>
        <v>0.5</v>
      </c>
      <c r="F4" s="436">
        <f ca="1">INDIRECT("Knoten!D" &amp; (D4+2))</f>
        <v>0.25</v>
      </c>
      <c r="G4" s="439">
        <f ca="1">INDIRECT("Knoten!H" &amp; (D4+2))</f>
        <v>0</v>
      </c>
      <c r="H4" s="440">
        <f ca="1">INDIRECT("Knoten!I" &amp; (D4+2))</f>
        <v>1</v>
      </c>
      <c r="I4" s="441">
        <f ca="1">INDIRECT("Knoten!J" &amp; (D4+2))</f>
        <v>0</v>
      </c>
      <c r="J4" s="439">
        <f ca="1">INDIRECT("Knoten!K" &amp; (D4+2))</f>
        <v>0</v>
      </c>
      <c r="K4" s="440">
        <f ca="1">INDIRECT("Knoten!L" &amp; (D4+2))</f>
        <v>0</v>
      </c>
      <c r="L4" s="440">
        <f ca="1">INDIRECT("Knoten!M" &amp; (D4+2))</f>
        <v>0</v>
      </c>
    </row>
    <row r="5" spans="3:12" ht="15" customHeight="1" thickBot="1" x14ac:dyDescent="0.25">
      <c r="D5" s="442"/>
      <c r="E5" s="442"/>
      <c r="F5" s="442"/>
      <c r="G5" s="442"/>
      <c r="H5" s="442"/>
      <c r="I5" s="442"/>
      <c r="J5" s="442"/>
      <c r="K5" s="442"/>
      <c r="L5" s="442"/>
    </row>
    <row r="6" spans="3:12" ht="15" customHeight="1" thickBot="1" x14ac:dyDescent="0.25">
      <c r="C6" s="43" t="s">
        <v>57</v>
      </c>
      <c r="D6" s="273">
        <f ca="1">INDIRECT("System!I" &amp; D1+1)</f>
        <v>1</v>
      </c>
      <c r="E6" s="76"/>
    </row>
    <row r="7" spans="3:12" ht="15" customHeight="1" x14ac:dyDescent="0.2">
      <c r="C7" s="27" t="s">
        <v>10</v>
      </c>
      <c r="D7" s="274">
        <f ca="1">INDIRECT("System!E" &amp; D1+1)</f>
        <v>10</v>
      </c>
    </row>
    <row r="8" spans="3:12" ht="15" customHeight="1" thickBot="1" x14ac:dyDescent="0.25">
      <c r="C8" s="178" t="s">
        <v>12</v>
      </c>
      <c r="D8" s="275">
        <f ca="1">INDIRECT("System!F" &amp; D1+1)</f>
        <v>1000</v>
      </c>
    </row>
    <row r="9" spans="3:12" ht="15" customHeight="1" x14ac:dyDescent="0.3">
      <c r="C9" s="4" t="s">
        <v>54</v>
      </c>
      <c r="D9" s="274">
        <f ca="1">INDIRECT("System!G" &amp; D1+1)</f>
        <v>0</v>
      </c>
      <c r="F9" s="77"/>
    </row>
    <row r="10" spans="3:12" ht="15" customHeight="1" thickBot="1" x14ac:dyDescent="0.35">
      <c r="C10" s="177" t="s">
        <v>53</v>
      </c>
      <c r="D10" s="275">
        <f ca="1">INDIRECT("System!H" &amp; D1+1)</f>
        <v>0</v>
      </c>
    </row>
    <row r="11" spans="3:12" ht="15" customHeight="1" thickBot="1" x14ac:dyDescent="0.25">
      <c r="C11" s="73" t="s">
        <v>11</v>
      </c>
      <c r="D11" s="75">
        <f ca="1">SQRT( (E4-E3)^2+(F4-F3)^2)</f>
        <v>0.70710678118654757</v>
      </c>
    </row>
    <row r="12" spans="3:12" ht="15" customHeight="1" x14ac:dyDescent="0.2">
      <c r="C12" s="167" t="s">
        <v>14</v>
      </c>
      <c r="D12" s="168">
        <f ca="1">-(F4-F3)/L</f>
        <v>0.70710678118654746</v>
      </c>
    </row>
    <row r="13" spans="3:12" ht="15" customHeight="1" x14ac:dyDescent="0.2">
      <c r="C13" s="7" t="s">
        <v>13</v>
      </c>
      <c r="D13" s="8">
        <f ca="1">(E4-E3)/L</f>
        <v>0.70710678118654746</v>
      </c>
    </row>
    <row r="14" spans="3:12" ht="15" customHeight="1" thickBot="1" x14ac:dyDescent="0.25">
      <c r="C14" s="9" t="s">
        <v>15</v>
      </c>
      <c r="D14" s="29">
        <f ca="1">IF(sin&gt;=0,ACOS(cos),-ACOS(cos))*180/PI()</f>
        <v>45</v>
      </c>
    </row>
    <row r="15" spans="3:12" ht="12.75" customHeight="1" thickBot="1" x14ac:dyDescent="0.25"/>
    <row r="16" spans="3:12" ht="13.5" thickBot="1" x14ac:dyDescent="0.25">
      <c r="C16" s="475" t="s">
        <v>19</v>
      </c>
      <c r="D16" s="476"/>
      <c r="E16" s="476"/>
      <c r="F16" s="476"/>
      <c r="G16" s="476"/>
      <c r="H16" s="477"/>
      <c r="J16" s="116" t="s">
        <v>55</v>
      </c>
    </row>
    <row r="17" spans="2:10" ht="13.5" thickBot="1" x14ac:dyDescent="0.25">
      <c r="B17" s="69" t="s">
        <v>18</v>
      </c>
      <c r="C17" s="70">
        <v>1</v>
      </c>
      <c r="D17" s="71">
        <v>2</v>
      </c>
      <c r="E17" s="71">
        <v>3</v>
      </c>
      <c r="F17" s="71">
        <v>4</v>
      </c>
      <c r="G17" s="71">
        <v>5</v>
      </c>
      <c r="H17" s="72">
        <v>6</v>
      </c>
      <c r="J17" s="117" t="s">
        <v>35</v>
      </c>
    </row>
    <row r="18" spans="2:10" x14ac:dyDescent="0.2">
      <c r="B18" s="22">
        <v>1</v>
      </c>
      <c r="C18" s="93">
        <f ca="1">EA/L</f>
        <v>1414.2135623730949</v>
      </c>
      <c r="D18" s="94">
        <v>0</v>
      </c>
      <c r="E18" s="94">
        <v>0</v>
      </c>
      <c r="F18" s="94">
        <f ca="1">-EA/L</f>
        <v>-1414.2135623730949</v>
      </c>
      <c r="G18" s="94">
        <v>0</v>
      </c>
      <c r="H18" s="96">
        <v>0</v>
      </c>
      <c r="J18" s="118">
        <f ca="1">qx*L/2</f>
        <v>0</v>
      </c>
    </row>
    <row r="19" spans="2:10" x14ac:dyDescent="0.2">
      <c r="B19" s="23">
        <v>2</v>
      </c>
      <c r="C19" s="97">
        <v>0</v>
      </c>
      <c r="D19" s="98">
        <f ca="1">IF(GE=1,12*EI/L^3,IF(GE="2a",3*EI/L^3,3*EI/L^3))</f>
        <v>339.41125496954271</v>
      </c>
      <c r="E19" s="99">
        <f ca="1">IF(GE=1,-6*EI/L^2,IF(GE="2a",0,-3*EI/L^2))</f>
        <v>-119.99999999999997</v>
      </c>
      <c r="F19" s="99">
        <v>0</v>
      </c>
      <c r="G19" s="99">
        <f ca="1">IF(GE=1,-12*EI/L^3,IF(GE="2a",-3*EI/L^3,-3*EI/L^3))</f>
        <v>-339.41125496954271</v>
      </c>
      <c r="H19" s="100">
        <f ca="1">IF(GE=1,-6*EI/L^2,IF(GE="2a",-3*EI/L^2,0))</f>
        <v>-119.99999999999997</v>
      </c>
      <c r="J19" s="119">
        <f ca="1">IF(GE=1,qz*L/2,IF(GE="2a",qz*3/8*L,qz*5/8*L))</f>
        <v>0</v>
      </c>
    </row>
    <row r="20" spans="2:10" x14ac:dyDescent="0.2">
      <c r="B20" s="23">
        <v>3</v>
      </c>
      <c r="C20" s="97">
        <v>0</v>
      </c>
      <c r="D20" s="101">
        <f ca="1">IF(GE=1,-6*EI/L^2,IF(GE="2a",0,-3*EI/L^2))</f>
        <v>-119.99999999999997</v>
      </c>
      <c r="E20" s="98">
        <f ca="1">IF(GE=1,4*EI/L,IF(GE="2a",0,3*EI/L))</f>
        <v>56.568542494923797</v>
      </c>
      <c r="F20" s="99">
        <v>0</v>
      </c>
      <c r="G20" s="99">
        <f ca="1">IF(GE=1,6*EI/L^2,IF(GE="2a",0,3*EI/L^2))</f>
        <v>119.99999999999997</v>
      </c>
      <c r="H20" s="100">
        <f ca="1">IF(GE=1,2*EI/L,0)</f>
        <v>28.284271247461898</v>
      </c>
      <c r="J20" s="119">
        <f ca="1">IF(GE=1,-qz*L^2/12,IF(GE="2a",0,-qz*L^2/8))</f>
        <v>0</v>
      </c>
    </row>
    <row r="21" spans="2:10" x14ac:dyDescent="0.2">
      <c r="B21" s="23">
        <v>4</v>
      </c>
      <c r="C21" s="97">
        <f ca="1">F18</f>
        <v>-1414.2135623730949</v>
      </c>
      <c r="D21" s="101">
        <v>0</v>
      </c>
      <c r="E21" s="101">
        <v>0</v>
      </c>
      <c r="F21" s="98">
        <f ca="1">EA/L</f>
        <v>1414.2135623730949</v>
      </c>
      <c r="G21" s="99">
        <v>0</v>
      </c>
      <c r="H21" s="100">
        <v>0</v>
      </c>
      <c r="J21" s="119">
        <f ca="1">qx*L/2</f>
        <v>0</v>
      </c>
    </row>
    <row r="22" spans="2:10" x14ac:dyDescent="0.2">
      <c r="B22" s="23">
        <v>5</v>
      </c>
      <c r="C22" s="97">
        <v>0</v>
      </c>
      <c r="D22" s="101">
        <f ca="1">IF(GE=1,-12*EI/L^3,IF(GE="2a",-3*EI/L^3,-3*EI/L^3))</f>
        <v>-339.41125496954271</v>
      </c>
      <c r="E22" s="101">
        <f ca="1">IF(GE=1,6*EI/L^2,IF(GE="2a",0,3*EI/L^2))</f>
        <v>119.99999999999997</v>
      </c>
      <c r="F22" s="101">
        <v>0</v>
      </c>
      <c r="G22" s="98">
        <f ca="1">IF(GE=1,12*EI/L^3,IF(GE="2a",3*EI/L^3,3*EI/L^3))</f>
        <v>339.41125496954271</v>
      </c>
      <c r="H22" s="100">
        <f ca="1">IF(GE=1,6*EI/L^2,IF(GE="2a",3*EI/L^2,0))</f>
        <v>119.99999999999997</v>
      </c>
      <c r="J22" s="119">
        <f ca="1">IF(GE=1,qz*L/2,IF(GE="2a",qz*5/8*L,qz*3/8*L))</f>
        <v>0</v>
      </c>
    </row>
    <row r="23" spans="2:10" ht="13.5" thickBot="1" x14ac:dyDescent="0.25">
      <c r="B23" s="24">
        <v>6</v>
      </c>
      <c r="C23" s="102">
        <v>0</v>
      </c>
      <c r="D23" s="103">
        <f ca="1">IF(GE=1,-6*EI/L^2,IF(GE="2a",-3*EI/L^2,0))</f>
        <v>-119.99999999999997</v>
      </c>
      <c r="E23" s="104">
        <f ca="1">IF(GE=1,2*EI/L,0)</f>
        <v>28.284271247461898</v>
      </c>
      <c r="F23" s="103">
        <f>H21</f>
        <v>0</v>
      </c>
      <c r="G23" s="103">
        <f ca="1">IF(GE=1,6*EI/L^2,IF(GE="2a",3*EI/L^2,0))</f>
        <v>119.99999999999997</v>
      </c>
      <c r="H23" s="105">
        <f ca="1">IF(GE=1,4*EI/L,IF(GE="2a",3*EI/L,0))</f>
        <v>56.568542494923797</v>
      </c>
      <c r="J23" s="120">
        <f ca="1">IF(GE=1,qz*L^2/12,IF(GE="2a",qz*L^2/8,0))</f>
        <v>0</v>
      </c>
    </row>
    <row r="24" spans="2:10" ht="13.5" thickBot="1" x14ac:dyDescent="0.25">
      <c r="J24" s="121"/>
    </row>
    <row r="25" spans="2:10" ht="13.5" thickBot="1" x14ac:dyDescent="0.25">
      <c r="C25" s="467" t="s">
        <v>20</v>
      </c>
      <c r="D25" s="468"/>
      <c r="E25" s="468"/>
      <c r="F25" s="468"/>
      <c r="G25" s="468"/>
      <c r="H25" s="478"/>
      <c r="J25" s="121"/>
    </row>
    <row r="26" spans="2:10" x14ac:dyDescent="0.2">
      <c r="B26" s="17" t="s">
        <v>17</v>
      </c>
      <c r="C26" s="37">
        <f ca="1">INDIRECT("Knoten!E" &amp; (D3+2))</f>
        <v>0</v>
      </c>
      <c r="D26" s="18">
        <f ca="1">INDIRECT("Knoten!F" &amp; (D3+2))</f>
        <v>0</v>
      </c>
      <c r="E26" s="18">
        <f ca="1">INDIRECT("Knoten!G" &amp; (D3+2))</f>
        <v>1</v>
      </c>
      <c r="F26" s="18">
        <f ca="1">INDIRECT("Knoten!E" &amp; (D4+2))</f>
        <v>2</v>
      </c>
      <c r="G26" s="18">
        <f ca="1">INDIRECT("Knoten!F" &amp; (D4+2))</f>
        <v>3</v>
      </c>
      <c r="H26" s="19">
        <f ca="1">INDIRECT("Knoten!G" &amp; (D4+2))</f>
        <v>4</v>
      </c>
      <c r="I26" s="67" t="s">
        <v>30</v>
      </c>
      <c r="J26" s="122" t="s">
        <v>55</v>
      </c>
    </row>
    <row r="27" spans="2:10" ht="13.5" thickBot="1" x14ac:dyDescent="0.25">
      <c r="B27" s="21" t="s">
        <v>18</v>
      </c>
      <c r="C27" s="20">
        <v>1</v>
      </c>
      <c r="D27" s="15">
        <v>2</v>
      </c>
      <c r="E27" s="15">
        <v>3</v>
      </c>
      <c r="F27" s="15">
        <v>4</v>
      </c>
      <c r="G27" s="15">
        <v>5</v>
      </c>
      <c r="H27" s="16">
        <v>6</v>
      </c>
      <c r="I27" s="68" t="s">
        <v>34</v>
      </c>
      <c r="J27" s="123" t="s">
        <v>34</v>
      </c>
    </row>
    <row r="28" spans="2:10" x14ac:dyDescent="0.2">
      <c r="B28" s="22">
        <v>1</v>
      </c>
      <c r="C28" s="93">
        <f t="array" aca="1" ref="C28:H33" ca="1">MMULT(TRANSPOSE(T),MMULT(k_e,T))</f>
        <v>876.81240867131862</v>
      </c>
      <c r="D28" s="94">
        <f ca="1"/>
        <v>-537.40115370177602</v>
      </c>
      <c r="E28" s="94">
        <f ca="1"/>
        <v>-84.852813742385678</v>
      </c>
      <c r="F28" s="94">
        <f ca="1"/>
        <v>-876.81240867131862</v>
      </c>
      <c r="G28" s="94">
        <f ca="1"/>
        <v>537.40115370177602</v>
      </c>
      <c r="H28" s="113">
        <f ca="1"/>
        <v>-84.852813742385678</v>
      </c>
      <c r="I28" s="57">
        <f ca="1">INDIRECT("Knoten!E" &amp; (D3+2))</f>
        <v>0</v>
      </c>
      <c r="J28" s="124">
        <f t="array" aca="1" ref="J28:J33" ca="1">MMULT(TRANSPOSE(T),p)</f>
        <v>0</v>
      </c>
    </row>
    <row r="29" spans="2:10" x14ac:dyDescent="0.2">
      <c r="B29" s="23">
        <v>2</v>
      </c>
      <c r="C29" s="97">
        <f ca="1"/>
        <v>-537.40115370177602</v>
      </c>
      <c r="D29" s="98">
        <f ca="1"/>
        <v>876.81240867131862</v>
      </c>
      <c r="E29" s="99">
        <f ca="1"/>
        <v>-84.852813742385678</v>
      </c>
      <c r="F29" s="99">
        <f ca="1"/>
        <v>537.40115370177602</v>
      </c>
      <c r="G29" s="99">
        <f ca="1"/>
        <v>-876.81240867131862</v>
      </c>
      <c r="H29" s="114">
        <f ca="1"/>
        <v>-84.852813742385678</v>
      </c>
      <c r="I29" s="58">
        <f ca="1">INDIRECT("Knoten!F" &amp; (D3+2))</f>
        <v>0</v>
      </c>
      <c r="J29" s="125">
        <f ca="1"/>
        <v>0</v>
      </c>
    </row>
    <row r="30" spans="2:10" x14ac:dyDescent="0.2">
      <c r="B30" s="23">
        <v>3</v>
      </c>
      <c r="C30" s="97">
        <f ca="1"/>
        <v>-84.852813742385678</v>
      </c>
      <c r="D30" s="101">
        <f ca="1"/>
        <v>-84.852813742385678</v>
      </c>
      <c r="E30" s="98">
        <f ca="1"/>
        <v>56.568542494923797</v>
      </c>
      <c r="F30" s="99">
        <f ca="1"/>
        <v>84.852813742385678</v>
      </c>
      <c r="G30" s="99">
        <f ca="1"/>
        <v>84.852813742385678</v>
      </c>
      <c r="H30" s="114">
        <f ca="1"/>
        <v>28.284271247461898</v>
      </c>
      <c r="I30" s="58">
        <f ca="1">INDIRECT("Knoten!G" &amp; (D3+2))</f>
        <v>1</v>
      </c>
      <c r="J30" s="125">
        <f ca="1"/>
        <v>0</v>
      </c>
    </row>
    <row r="31" spans="2:10" x14ac:dyDescent="0.2">
      <c r="B31" s="23">
        <v>4</v>
      </c>
      <c r="C31" s="97">
        <f ca="1"/>
        <v>-876.81240867131862</v>
      </c>
      <c r="D31" s="101">
        <f ca="1"/>
        <v>537.40115370177602</v>
      </c>
      <c r="E31" s="101">
        <f ca="1"/>
        <v>84.852813742385678</v>
      </c>
      <c r="F31" s="98">
        <f ca="1"/>
        <v>876.81240867131862</v>
      </c>
      <c r="G31" s="99">
        <f ca="1"/>
        <v>-537.40115370177602</v>
      </c>
      <c r="H31" s="114">
        <f ca="1"/>
        <v>84.852813742385678</v>
      </c>
      <c r="I31" s="58">
        <f ca="1">INDIRECT("Knoten!E" &amp; (D4+2))</f>
        <v>2</v>
      </c>
      <c r="J31" s="125">
        <f ca="1"/>
        <v>0</v>
      </c>
    </row>
    <row r="32" spans="2:10" x14ac:dyDescent="0.2">
      <c r="B32" s="23">
        <v>5</v>
      </c>
      <c r="C32" s="97">
        <f ca="1"/>
        <v>537.40115370177602</v>
      </c>
      <c r="D32" s="101">
        <f ca="1"/>
        <v>-876.81240867131862</v>
      </c>
      <c r="E32" s="101">
        <f ca="1"/>
        <v>84.852813742385678</v>
      </c>
      <c r="F32" s="101">
        <f ca="1"/>
        <v>-537.40115370177602</v>
      </c>
      <c r="G32" s="98">
        <f ca="1"/>
        <v>876.81240867131862</v>
      </c>
      <c r="H32" s="114">
        <f ca="1"/>
        <v>84.852813742385678</v>
      </c>
      <c r="I32" s="58">
        <f ca="1">INDIRECT("Knoten!F" &amp; (D4+2))</f>
        <v>3</v>
      </c>
      <c r="J32" s="125">
        <f ca="1"/>
        <v>0</v>
      </c>
    </row>
    <row r="33" spans="2:11" ht="13.5" thickBot="1" x14ac:dyDescent="0.25">
      <c r="B33" s="24">
        <v>6</v>
      </c>
      <c r="C33" s="102">
        <f ca="1"/>
        <v>-84.852813742385678</v>
      </c>
      <c r="D33" s="103">
        <f ca="1"/>
        <v>-84.852813742385678</v>
      </c>
      <c r="E33" s="103">
        <f ca="1"/>
        <v>28.284271247461898</v>
      </c>
      <c r="F33" s="103">
        <f ca="1"/>
        <v>84.852813742385678</v>
      </c>
      <c r="G33" s="103">
        <f ca="1"/>
        <v>84.852813742385678</v>
      </c>
      <c r="H33" s="115">
        <f ca="1"/>
        <v>56.568542494923797</v>
      </c>
      <c r="I33" s="59">
        <f ca="1">INDIRECT("Knoten!G" &amp; (D4+2))</f>
        <v>4</v>
      </c>
      <c r="J33" s="126">
        <f ca="1"/>
        <v>0</v>
      </c>
    </row>
    <row r="34" spans="2:11" ht="13.5" thickBot="1" x14ac:dyDescent="0.25"/>
    <row r="35" spans="2:11" x14ac:dyDescent="0.2">
      <c r="B35" s="162" t="s">
        <v>30</v>
      </c>
      <c r="C35" s="159" t="s">
        <v>30</v>
      </c>
      <c r="D35" s="154" t="s">
        <v>67</v>
      </c>
      <c r="E35" s="154" t="s">
        <v>55</v>
      </c>
      <c r="I35" s="76" t="s">
        <v>31</v>
      </c>
      <c r="J35" s="67" t="s">
        <v>55</v>
      </c>
    </row>
    <row r="36" spans="2:11" ht="13.5" thickBot="1" x14ac:dyDescent="0.25">
      <c r="B36" s="163" t="s">
        <v>35</v>
      </c>
      <c r="C36" s="160" t="s">
        <v>34</v>
      </c>
      <c r="D36" s="155" t="s">
        <v>68</v>
      </c>
      <c r="E36" s="155" t="s">
        <v>34</v>
      </c>
      <c r="J36" s="68" t="s">
        <v>34</v>
      </c>
    </row>
    <row r="37" spans="2:11" x14ac:dyDescent="0.2">
      <c r="B37" s="161">
        <v>1</v>
      </c>
      <c r="C37" s="17">
        <f t="shared" ref="C37:C42" ca="1" si="0">I28</f>
        <v>0</v>
      </c>
      <c r="D37" s="156">
        <f ca="1">J3</f>
        <v>0</v>
      </c>
      <c r="E37" s="156">
        <f t="array" aca="1" ref="E37:E42" ca="1">-MMULT(k_Global,D37:D42)</f>
        <v>0</v>
      </c>
      <c r="J37" s="124">
        <f t="shared" ref="J37:J42" ca="1" si="1">J28+E37</f>
        <v>0</v>
      </c>
    </row>
    <row r="38" spans="2:11" x14ac:dyDescent="0.2">
      <c r="B38" s="23">
        <v>2</v>
      </c>
      <c r="C38" s="164">
        <f t="shared" ca="1" si="0"/>
        <v>0</v>
      </c>
      <c r="D38" s="157">
        <f ca="1">K3</f>
        <v>0</v>
      </c>
      <c r="E38" s="157">
        <f ca="1"/>
        <v>0</v>
      </c>
      <c r="J38" s="125">
        <f t="shared" ca="1" si="1"/>
        <v>0</v>
      </c>
      <c r="K38" s="153"/>
    </row>
    <row r="39" spans="2:11" x14ac:dyDescent="0.2">
      <c r="B39" s="23">
        <v>3</v>
      </c>
      <c r="C39" s="164">
        <f t="shared" ca="1" si="0"/>
        <v>1</v>
      </c>
      <c r="D39" s="157">
        <f ca="1">L3</f>
        <v>0</v>
      </c>
      <c r="E39" s="157">
        <f ca="1"/>
        <v>0</v>
      </c>
      <c r="J39" s="125">
        <f t="shared" ca="1" si="1"/>
        <v>0</v>
      </c>
      <c r="K39" s="153"/>
    </row>
    <row r="40" spans="2:11" x14ac:dyDescent="0.2">
      <c r="B40" s="23">
        <v>4</v>
      </c>
      <c r="C40" s="164">
        <f t="shared" ca="1" si="0"/>
        <v>2</v>
      </c>
      <c r="D40" s="157">
        <f ca="1">J4</f>
        <v>0</v>
      </c>
      <c r="E40" s="157">
        <f ca="1"/>
        <v>0</v>
      </c>
      <c r="J40" s="125">
        <f t="shared" ca="1" si="1"/>
        <v>0</v>
      </c>
      <c r="K40" s="92"/>
    </row>
    <row r="41" spans="2:11" x14ac:dyDescent="0.2">
      <c r="B41" s="23">
        <v>5</v>
      </c>
      <c r="C41" s="164">
        <f t="shared" ca="1" si="0"/>
        <v>3</v>
      </c>
      <c r="D41" s="157">
        <f ca="1">K4</f>
        <v>0</v>
      </c>
      <c r="E41" s="157">
        <f ca="1"/>
        <v>0</v>
      </c>
      <c r="J41" s="125">
        <f t="shared" ca="1" si="1"/>
        <v>0</v>
      </c>
      <c r="K41" s="92"/>
    </row>
    <row r="42" spans="2:11" ht="13.5" thickBot="1" x14ac:dyDescent="0.25">
      <c r="B42" s="24">
        <v>6</v>
      </c>
      <c r="C42" s="165">
        <f t="shared" ca="1" si="0"/>
        <v>4</v>
      </c>
      <c r="D42" s="158">
        <f ca="1">L4</f>
        <v>0</v>
      </c>
      <c r="E42" s="158">
        <f ca="1"/>
        <v>0</v>
      </c>
      <c r="J42" s="126">
        <f t="shared" ca="1" si="1"/>
        <v>0</v>
      </c>
      <c r="K42" s="92"/>
    </row>
    <row r="43" spans="2:11" ht="13.5" thickBot="1" x14ac:dyDescent="0.25"/>
    <row r="44" spans="2:11" ht="13.5" thickBot="1" x14ac:dyDescent="0.25">
      <c r="D44" s="455" t="s">
        <v>33</v>
      </c>
      <c r="E44" s="479"/>
      <c r="F44" s="456"/>
      <c r="G44" s="464" t="s">
        <v>48</v>
      </c>
      <c r="H44" s="465"/>
      <c r="I44" s="466"/>
    </row>
    <row r="45" spans="2:11" ht="13.5" thickBot="1" x14ac:dyDescent="0.25">
      <c r="B45" s="38" t="s">
        <v>18</v>
      </c>
      <c r="C45" s="171" t="s">
        <v>17</v>
      </c>
      <c r="D45" s="44" t="s">
        <v>50</v>
      </c>
      <c r="E45" s="85" t="s">
        <v>34</v>
      </c>
      <c r="F45" s="44" t="s">
        <v>35</v>
      </c>
      <c r="G45" s="45" t="s">
        <v>50</v>
      </c>
      <c r="H45" s="170" t="s">
        <v>35</v>
      </c>
      <c r="I45" s="45" t="s">
        <v>56</v>
      </c>
    </row>
    <row r="46" spans="2:11" ht="15.75" x14ac:dyDescent="0.3">
      <c r="B46" s="35">
        <v>1</v>
      </c>
      <c r="C46" s="33">
        <f ca="1">INDIRECT("Knoten!E" &amp; ($D$3+2))</f>
        <v>0</v>
      </c>
      <c r="D46" s="78" t="s">
        <v>36</v>
      </c>
      <c r="E46" s="127">
        <f ca="1">IF(ABS(C46)&gt;0,INDIRECT("Ksys!B" &amp; (ABS(C46)+1))*SIGN(C46),0)+J3</f>
        <v>0</v>
      </c>
      <c r="F46" s="128">
        <f t="array" aca="1" ref="F46:F51" ca="1">MMULT(C55:H60,E46:E51)</f>
        <v>0</v>
      </c>
      <c r="G46" s="63" t="s">
        <v>42</v>
      </c>
      <c r="H46" s="132">
        <f t="array" aca="1" ref="H46:H51" ca="1">MMULT(C18:H23,F46:F51)+I46:I51</f>
        <v>1.2609681847853713</v>
      </c>
      <c r="I46" s="133">
        <f ca="1">-D9*D11/2</f>
        <v>0</v>
      </c>
    </row>
    <row r="47" spans="2:11" ht="15.75" x14ac:dyDescent="0.3">
      <c r="B47" s="35">
        <v>2</v>
      </c>
      <c r="C47" s="33">
        <f ca="1">INDIRECT("Knoten!F" &amp; ($D$3+2))</f>
        <v>0</v>
      </c>
      <c r="D47" s="79" t="s">
        <v>37</v>
      </c>
      <c r="E47" s="129">
        <f ca="1">IF(ABS(C47)&gt;0,INDIRECT("Ksys!B"&amp; (ABS(C47)+1))*SIGN(C47),0)+K3</f>
        <v>0</v>
      </c>
      <c r="F47" s="130">
        <f ca="1"/>
        <v>0</v>
      </c>
      <c r="G47" s="64" t="s">
        <v>43</v>
      </c>
      <c r="H47" s="134">
        <f ca="1"/>
        <v>-0.16893292272699931</v>
      </c>
      <c r="I47" s="135">
        <f ca="1">IF(D6=1,-D10*D11/2,IF(D6="2a",-D10*3/8*D11,-D10*5/8*D11))</f>
        <v>0</v>
      </c>
    </row>
    <row r="48" spans="2:11" ht="16.5" thickBot="1" x14ac:dyDescent="0.35">
      <c r="B48" s="41">
        <v>3</v>
      </c>
      <c r="C48" s="42">
        <f ca="1">INDIRECT("Knoten!G" &amp; ($D$3+2))</f>
        <v>1</v>
      </c>
      <c r="D48" s="80" t="s">
        <v>38</v>
      </c>
      <c r="E48" s="95">
        <f ca="1">IF(ABS(C48)&gt;0,INDIRECT("Ksys!B" &amp; (ABS(C48)+1))*SIGN(C48),0)+L3</f>
        <v>-3.440928079939998E-3</v>
      </c>
      <c r="F48" s="131">
        <f ca="1"/>
        <v>-3.440928079939998E-3</v>
      </c>
      <c r="G48" s="65" t="s">
        <v>44</v>
      </c>
      <c r="H48" s="136">
        <f ca="1"/>
        <v>1.1796119636642288E-16</v>
      </c>
      <c r="I48" s="137">
        <f ca="1">IF(D6=1,D10*D11^2/12,IF(D6="2a",0,D11*D12^2/8))</f>
        <v>0</v>
      </c>
    </row>
    <row r="49" spans="2:9" ht="16.5" thickTop="1" x14ac:dyDescent="0.3">
      <c r="B49" s="39">
        <v>4</v>
      </c>
      <c r="C49" s="40">
        <f ca="1">INDIRECT("Knoten!E" &amp; ($D$4+2))</f>
        <v>2</v>
      </c>
      <c r="D49" s="78" t="s">
        <v>39</v>
      </c>
      <c r="E49" s="88">
        <f ca="1">IF(ABS(C49)&gt;0,INDIRECT("Ksys!B" &amp; (ABS(C49)+1))*SIGN(C49),0)+J4</f>
        <v>3.8609276954815165E-4</v>
      </c>
      <c r="F49" s="83">
        <f ca="1"/>
        <v>-8.9163915432222769E-4</v>
      </c>
      <c r="G49" s="63" t="s">
        <v>45</v>
      </c>
      <c r="H49" s="132">
        <f ca="1"/>
        <v>-1.2609681847853713</v>
      </c>
      <c r="I49" s="138">
        <f ca="1">-D9*D11/2</f>
        <v>0</v>
      </c>
    </row>
    <row r="50" spans="2:9" ht="15.75" x14ac:dyDescent="0.3">
      <c r="B50" s="35">
        <v>5</v>
      </c>
      <c r="C50" s="33">
        <f ca="1">INDIRECT("Knoten!F" &amp; ($D$4+2))</f>
        <v>3</v>
      </c>
      <c r="D50" s="79" t="s">
        <v>40</v>
      </c>
      <c r="E50" s="86">
        <f ca="1">IF(ABS(C50)&gt;0,INDIRECT("Ksys!B"&amp; (ABS(C50)+1))*SIGN(C50),0)+K4</f>
        <v>1.6470609543335233E-3</v>
      </c>
      <c r="F50" s="82">
        <f ca="1"/>
        <v>1.4376567853514135E-3</v>
      </c>
      <c r="G50" s="64" t="s">
        <v>46</v>
      </c>
      <c r="H50" s="134">
        <f ca="1"/>
        <v>0.16893292272699931</v>
      </c>
      <c r="I50" s="135">
        <f ca="1">IF(D6=1,-D10*D11/2,IF(D6="2a",-D10*5/8*D11,-D10*3/8*D11))</f>
        <v>0</v>
      </c>
    </row>
    <row r="51" spans="2:9" ht="16.5" thickBot="1" x14ac:dyDescent="0.35">
      <c r="B51" s="36">
        <v>6</v>
      </c>
      <c r="C51" s="34">
        <f ca="1">INDIRECT("Knoten!G" &amp; ($D$4+2))</f>
        <v>4</v>
      </c>
      <c r="D51" s="81" t="s">
        <v>41</v>
      </c>
      <c r="E51" s="87">
        <f ca="1">IF(ABS(C51)&gt;0,INDIRECT("Ksys!B" &amp; (ABS(C51)+1))*SIGN(C51),0)+L4</f>
        <v>7.8239498823497731E-4</v>
      </c>
      <c r="F51" s="84">
        <f ca="1"/>
        <v>7.8239498823497731E-4</v>
      </c>
      <c r="G51" s="66" t="s">
        <v>47</v>
      </c>
      <c r="H51" s="139">
        <f ca="1"/>
        <v>0.11945361522592414</v>
      </c>
      <c r="I51" s="140">
        <f ca="1">IF(D6=1,-D10*D11^2/12,IF(D6="2a",-D10*D11^2/8,0))</f>
        <v>0</v>
      </c>
    </row>
    <row r="52" spans="2:9" ht="13.5" thickBot="1" x14ac:dyDescent="0.25"/>
    <row r="53" spans="2:9" ht="13.5" thickBot="1" x14ac:dyDescent="0.25">
      <c r="C53" s="472" t="s">
        <v>16</v>
      </c>
      <c r="D53" s="473"/>
      <c r="E53" s="473"/>
      <c r="F53" s="473"/>
      <c r="G53" s="473"/>
      <c r="H53" s="474"/>
    </row>
    <row r="54" spans="2:9" ht="13.5" thickBot="1" x14ac:dyDescent="0.25">
      <c r="C54" s="73">
        <v>1</v>
      </c>
      <c r="D54" s="74">
        <v>2</v>
      </c>
      <c r="E54" s="74">
        <v>3</v>
      </c>
      <c r="F54" s="74">
        <v>4</v>
      </c>
      <c r="G54" s="74">
        <v>5</v>
      </c>
      <c r="H54" s="75">
        <v>6</v>
      </c>
    </row>
    <row r="55" spans="2:9" x14ac:dyDescent="0.2">
      <c r="B55" s="60">
        <v>1</v>
      </c>
      <c r="C55" s="106">
        <f ca="1">cos</f>
        <v>0.70710678118654746</v>
      </c>
      <c r="D55" s="94">
        <f ca="1">-sin</f>
        <v>-0.70710678118654746</v>
      </c>
      <c r="E55" s="94">
        <v>0</v>
      </c>
      <c r="F55" s="107">
        <v>0</v>
      </c>
      <c r="G55" s="107">
        <v>0</v>
      </c>
      <c r="H55" s="108">
        <v>0</v>
      </c>
    </row>
    <row r="56" spans="2:9" x14ac:dyDescent="0.2">
      <c r="B56" s="61">
        <v>2</v>
      </c>
      <c r="C56" s="109">
        <f ca="1">sin</f>
        <v>0.70710678118654746</v>
      </c>
      <c r="D56" s="99">
        <f ca="1">cos</f>
        <v>0.70710678118654746</v>
      </c>
      <c r="E56" s="99">
        <v>0</v>
      </c>
      <c r="F56" s="101">
        <v>0</v>
      </c>
      <c r="G56" s="101">
        <v>0</v>
      </c>
      <c r="H56" s="110">
        <v>0</v>
      </c>
    </row>
    <row r="57" spans="2:9" x14ac:dyDescent="0.2">
      <c r="B57" s="61">
        <v>3</v>
      </c>
      <c r="C57" s="109">
        <v>0</v>
      </c>
      <c r="D57" s="99">
        <v>0</v>
      </c>
      <c r="E57" s="99">
        <v>1</v>
      </c>
      <c r="F57" s="101">
        <v>0</v>
      </c>
      <c r="G57" s="101">
        <v>0</v>
      </c>
      <c r="H57" s="110">
        <v>0</v>
      </c>
    </row>
    <row r="58" spans="2:9" x14ac:dyDescent="0.2">
      <c r="B58" s="61">
        <v>4</v>
      </c>
      <c r="C58" s="97">
        <v>0</v>
      </c>
      <c r="D58" s="101">
        <v>0</v>
      </c>
      <c r="E58" s="101">
        <v>0</v>
      </c>
      <c r="F58" s="99">
        <f ca="1">cos</f>
        <v>0.70710678118654746</v>
      </c>
      <c r="G58" s="99">
        <f ca="1">-sin</f>
        <v>-0.70710678118654746</v>
      </c>
      <c r="H58" s="100">
        <v>0</v>
      </c>
    </row>
    <row r="59" spans="2:9" x14ac:dyDescent="0.2">
      <c r="B59" s="61">
        <v>5</v>
      </c>
      <c r="C59" s="97">
        <v>0</v>
      </c>
      <c r="D59" s="101">
        <v>0</v>
      </c>
      <c r="E59" s="101">
        <v>0</v>
      </c>
      <c r="F59" s="99">
        <f ca="1">sin</f>
        <v>0.70710678118654746</v>
      </c>
      <c r="G59" s="99">
        <f ca="1">cos</f>
        <v>0.70710678118654746</v>
      </c>
      <c r="H59" s="100">
        <v>0</v>
      </c>
    </row>
    <row r="60" spans="2:9" ht="13.5" thickBot="1" x14ac:dyDescent="0.25">
      <c r="B60" s="62">
        <v>6</v>
      </c>
      <c r="C60" s="102">
        <v>0</v>
      </c>
      <c r="D60" s="103">
        <v>0</v>
      </c>
      <c r="E60" s="103">
        <v>0</v>
      </c>
      <c r="F60" s="111">
        <v>0</v>
      </c>
      <c r="G60" s="111">
        <v>0</v>
      </c>
      <c r="H60" s="112">
        <v>1</v>
      </c>
    </row>
  </sheetData>
  <sheetProtection password="C690" sheet="1" objects="1" scenarios="1" formatCells="0"/>
  <mergeCells count="5">
    <mergeCell ref="C53:H53"/>
    <mergeCell ref="C16:H16"/>
    <mergeCell ref="C25:H25"/>
    <mergeCell ref="D44:F44"/>
    <mergeCell ref="G44:I44"/>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D3:D4 D6:D10" unlockedFormula="1"/>
  </ignoredErrors>
  <drawing r:id="rId2"/>
  <legacyDrawing r:id="rId3"/>
  <oleObjects>
    <mc:AlternateContent xmlns:mc="http://schemas.openxmlformats.org/markup-compatibility/2006">
      <mc:Choice Requires="x14">
        <oleObject progId="Word.Picture.8" shapeId="1192" r:id="rId4">
          <objectPr defaultSize="0" r:id="rId5">
            <anchor moveWithCells="1">
              <from>
                <xdr:col>4</xdr:col>
                <xdr:colOff>285750</xdr:colOff>
                <xdr:row>5</xdr:row>
                <xdr:rowOff>9525</xdr:rowOff>
              </from>
              <to>
                <xdr:col>5</xdr:col>
                <xdr:colOff>609600</xdr:colOff>
                <xdr:row>10</xdr:row>
                <xdr:rowOff>171450</xdr:rowOff>
              </to>
            </anchor>
          </objectPr>
        </oleObject>
      </mc:Choice>
      <mc:Fallback>
        <oleObject progId="Word.Picture.8" shapeId="1192"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F86"/>
  <sheetViews>
    <sheetView zoomScale="80" zoomScaleNormal="80" workbookViewId="0">
      <selection activeCell="D2" sqref="D2:F4"/>
    </sheetView>
  </sheetViews>
  <sheetFormatPr baseColWidth="10" defaultRowHeight="12.75" x14ac:dyDescent="0.2"/>
  <cols>
    <col min="1" max="1" width="4.42578125" customWidth="1"/>
    <col min="2" max="43" width="9.7109375" customWidth="1"/>
    <col min="44" max="44" width="9.42578125" customWidth="1"/>
    <col min="45" max="84" width="3.7109375" customWidth="1"/>
  </cols>
  <sheetData>
    <row r="1" spans="1:84" x14ac:dyDescent="0.2">
      <c r="A1" s="277" t="s">
        <v>30</v>
      </c>
      <c r="B1" s="278" t="s">
        <v>84</v>
      </c>
      <c r="C1" s="279" t="s">
        <v>83</v>
      </c>
      <c r="D1" s="207">
        <v>1</v>
      </c>
      <c r="E1" s="207">
        <v>2</v>
      </c>
      <c r="F1" s="207">
        <v>3</v>
      </c>
      <c r="G1" s="207">
        <v>4</v>
      </c>
      <c r="H1" s="207">
        <v>5</v>
      </c>
      <c r="I1" s="207">
        <v>6</v>
      </c>
      <c r="J1" s="207">
        <v>7</v>
      </c>
      <c r="K1" s="207">
        <v>8</v>
      </c>
      <c r="L1" s="207">
        <v>9</v>
      </c>
      <c r="M1" s="207">
        <v>10</v>
      </c>
      <c r="N1" s="207">
        <v>11</v>
      </c>
      <c r="O1" s="207">
        <v>12</v>
      </c>
      <c r="P1" s="207">
        <v>13</v>
      </c>
      <c r="Q1" s="207">
        <v>14</v>
      </c>
      <c r="R1" s="207">
        <v>15</v>
      </c>
      <c r="S1" s="207">
        <v>16</v>
      </c>
      <c r="T1" s="207">
        <v>17</v>
      </c>
      <c r="U1" s="207">
        <v>18</v>
      </c>
      <c r="V1" s="207">
        <v>19</v>
      </c>
      <c r="W1" s="207">
        <v>20</v>
      </c>
      <c r="X1" s="207">
        <v>21</v>
      </c>
      <c r="Y1" s="207">
        <v>22</v>
      </c>
      <c r="Z1" s="207">
        <v>23</v>
      </c>
      <c r="AA1" s="207">
        <v>24</v>
      </c>
      <c r="AB1" s="207">
        <v>25</v>
      </c>
      <c r="AC1" s="207">
        <v>26</v>
      </c>
      <c r="AD1" s="207">
        <v>27</v>
      </c>
      <c r="AE1" s="207">
        <v>28</v>
      </c>
      <c r="AF1" s="207">
        <v>29</v>
      </c>
      <c r="AG1" s="207">
        <v>30</v>
      </c>
      <c r="AH1" s="207">
        <v>31</v>
      </c>
      <c r="AI1" s="207">
        <v>32</v>
      </c>
      <c r="AJ1" s="207">
        <v>33</v>
      </c>
      <c r="AK1" s="207">
        <v>34</v>
      </c>
      <c r="AL1" s="207">
        <v>35</v>
      </c>
      <c r="AM1" s="207">
        <v>36</v>
      </c>
      <c r="AN1" s="207">
        <v>37</v>
      </c>
      <c r="AO1" s="207">
        <v>38</v>
      </c>
      <c r="AP1" s="207">
        <v>39</v>
      </c>
      <c r="AQ1" s="207">
        <v>40</v>
      </c>
      <c r="AS1" s="454">
        <v>1</v>
      </c>
      <c r="AT1" s="454">
        <v>2</v>
      </c>
      <c r="AU1" s="454">
        <v>3</v>
      </c>
      <c r="AV1" s="454">
        <v>4</v>
      </c>
      <c r="AW1" s="454">
        <v>5</v>
      </c>
      <c r="AX1" s="454">
        <v>6</v>
      </c>
      <c r="AY1" s="454">
        <v>7</v>
      </c>
      <c r="AZ1" s="454">
        <v>8</v>
      </c>
      <c r="BA1" s="454">
        <v>9</v>
      </c>
      <c r="BB1" s="454">
        <v>10</v>
      </c>
      <c r="BC1" s="454">
        <v>11</v>
      </c>
      <c r="BD1" s="454">
        <v>12</v>
      </c>
      <c r="BE1" s="454">
        <v>13</v>
      </c>
      <c r="BF1" s="454">
        <v>14</v>
      </c>
      <c r="BG1" s="454">
        <v>15</v>
      </c>
      <c r="BH1" s="454">
        <v>16</v>
      </c>
      <c r="BI1" s="454">
        <v>17</v>
      </c>
      <c r="BJ1" s="454">
        <v>18</v>
      </c>
      <c r="BK1" s="454">
        <v>19</v>
      </c>
      <c r="BL1" s="454">
        <v>20</v>
      </c>
      <c r="BM1" s="454">
        <v>21</v>
      </c>
      <c r="BN1" s="454">
        <v>22</v>
      </c>
      <c r="BO1" s="454">
        <v>23</v>
      </c>
      <c r="BP1" s="454">
        <v>24</v>
      </c>
      <c r="BQ1" s="454">
        <v>25</v>
      </c>
      <c r="BR1" s="454">
        <v>26</v>
      </c>
      <c r="BS1" s="454">
        <v>27</v>
      </c>
      <c r="BT1" s="454">
        <v>28</v>
      </c>
      <c r="BU1" s="454">
        <v>29</v>
      </c>
      <c r="BV1" s="454">
        <v>30</v>
      </c>
      <c r="BW1" s="454">
        <v>31</v>
      </c>
      <c r="BX1" s="454">
        <v>32</v>
      </c>
      <c r="BY1" s="454">
        <v>33</v>
      </c>
      <c r="BZ1" s="454">
        <v>34</v>
      </c>
      <c r="CA1" s="454">
        <v>35</v>
      </c>
      <c r="CB1" s="454">
        <v>36</v>
      </c>
      <c r="CC1" s="454">
        <v>37</v>
      </c>
      <c r="CD1" s="454">
        <v>38</v>
      </c>
      <c r="CE1" s="454">
        <v>39</v>
      </c>
      <c r="CF1" s="454">
        <v>40</v>
      </c>
    </row>
    <row r="2" spans="1:84" x14ac:dyDescent="0.2">
      <c r="A2" s="205">
        <v>1</v>
      </c>
      <c r="B2" s="206">
        <f t="array" aca="1" ref="B2:B41" ca="1">MMULT(MINVERSE(INDIRECT(E54)+INDIRECT(E55)),INDIRECT(E53))</f>
        <v>-3.440928079939998E-3</v>
      </c>
      <c r="C2" s="258">
        <f t="array" aca="1" ref="C2:C41" ca="1">INDIRECT(E56) + IF(ISNUMBER(A51),MMULT(TRANSPOSE(INDIRECT(D51)),INDIRECT(B51)),0) + IF(ISNUMBER(A52),MMULT(TRANSPOSE(INDIRECT(D52)),INDIRECT(B52)),0) + IF(ISNUMBER(A53),MMULT(TRANSPOSE(INDIRECT(D53)),INDIRECT(B53)),0) + IF(ISNUMBER(A54),MMULT(TRANSPOSE(INDIRECT(D54)),INDIRECT(B54)),0) + IF(ISNUMBER(A55),MMULT(TRANSPOSE(INDIRECT(D55)),INDIRECT(B55)),0) + IF(ISNUMBER(A56),MMULT(TRANSPOSE(INDIRECT(D56)),INDIRECT(B56)),0) + IF(ISNUMBER(A57),MMULT(TRANSPOSE(INDIRECT(D57)),INDIRECT(B57)),0) + IF(ISNUMBER(A58),MMULT(TRANSPOSE(INDIRECT(D58)),INDIRECT(B58)),0) + IF(ISNUMBER(A59),MMULT(TRANSPOSE(INDIRECT(D59)),INDIRECT(B59)),0)  + IF(ISNUMBER(A60),MMULT(TRANSPOSE(INDIRECT(D60)),INDIRECT(B60)),0)  + IF(ISNUMBER(A61),MMULT(TRANSPOSE(INDIRECT(D61)),INDIRECT(B61)),0)  + IF(ISNUMBER(A62),MMULT(TRANSPOSE(INDIRECT(D62)),INDIRECT(B62)),0)  + IF(ISNUMBER(A63),MMULT(TRANSPOSE(INDIRECT(D63)),INDIRECT(B63)),0)  + IF(ISNUMBER(A64),MMULT(TRANSPOSE(INDIRECT(D64)),INDIRECT(B64)),0)  + IF(ISNUMBER(A65),MMULT(TRANSPOSE(INDIRECT(D65)),INDIRECT(B65)),0)  + IF(ISNUMBER(A66),MMULT(TRANSPOSE(INDIRECT(D66)),INDIRECT(B66)),0)  + IF(ISNUMBER(A67),MMULT(TRANSPOSE(INDIRECT(D67)),INDIRECT(B67)),0)  + IF(ISNUMBER(A68),MMULT(TRANSPOSE(INDIRECT(D68)),INDIRECT(B68)),0)  + IF(ISNUMBER(A69),MMULT(TRANSPOSE(INDIRECT(D69)),INDIRECT(B69)),0)  + IF(ISNUMBER(A70),MMULT(TRANSPOSE(INDIRECT(D70)),INDIRECT(B70)),0)</f>
        <v>0</v>
      </c>
      <c r="D2" s="207">
        <f t="array" aca="1" ref="D2:AQ41" ca="1">IF(ISNUMBER(A51),MMULT(TRANSPOSE(INDIRECT(D51)),MMULT(INDIRECT(C51),INDIRECT(D51))),0) + IF(ISNUMBER(A52),MMULT(TRANSPOSE(INDIRECT(D52)),MMULT(INDIRECT(C52),INDIRECT(D52))),0) + IF(ISNUMBER(A53),MMULT(TRANSPOSE(INDIRECT(D53)),MMULT(INDIRECT(C53),INDIRECT(D53))),0) + IF(ISNUMBER(A54),MMULT(TRANSPOSE(INDIRECT(D54)),MMULT(INDIRECT(C54),INDIRECT(D54))),0) + IF(ISNUMBER(A55),MMULT(TRANSPOSE(INDIRECT(D55)),MMULT(INDIRECT(C55),INDIRECT(D55))),0) + IF(ISNUMBER(A56),MMULT(TRANSPOSE(INDIRECT(D56)),MMULT(INDIRECT(C56),INDIRECT(D56))),0)  + IF(ISNUMBER(A57),MMULT(TRANSPOSE(INDIRECT(D57)),MMULT(INDIRECT(C57),INDIRECT(D57))),0) + IF(ISNUMBER(A58),MMULT(TRANSPOSE(INDIRECT(D58)),MMULT(INDIRECT(C58),INDIRECT(D58))),0)  + IF(ISNUMBER(A59),MMULT(TRANSPOSE(INDIRECT(D59)),MMULT(INDIRECT(C59),INDIRECT(D59))),0) + IF(ISNUMBER(A60),MMULT(TRANSPOSE(INDIRECT(D60)),MMULT(INDIRECT(C60),INDIRECT(D60))),0) + IF(ISNUMBER(A61),MMULT(TRANSPOSE(INDIRECT(D61)),MMULT(INDIRECT(C61),INDIRECT(D61))),0)  + IF(ISNUMBER(A62),MMULT(TRANSPOSE(INDIRECT(D62)),MMULT(INDIRECT(C62),INDIRECT(D62))),0) + IF(ISNUMBER(A63),MMULT(TRANSPOSE(INDIRECT(D63)),MMULT(INDIRECT(C63),INDIRECT(D63))),0) + IF(ISNUMBER(A64),MMULT(TRANSPOSE(INDIRECT(D64)),MMULT(INDIRECT(C64),INDIRECT(D64))),0) + IF(ISNUMBER(A65),MMULT(TRANSPOSE(INDIRECT(D65)),MMULT(INDIRECT(C65),INDIRECT(D65))),0) + IF(ISNUMBER(A66),MMULT(TRANSPOSE(INDIRECT(D66)),MMULT(INDIRECT(C66),INDIRECT(D66))),0)  + IF(ISNUMBER(A67),MMULT(TRANSPOSE(INDIRECT(D67)),MMULT(INDIRECT(C67),INDIRECT(D67))),0) + IF(ISNUMBER(A68),MMULT(TRANSPOSE(INDIRECT(D68)),MMULT(INDIRECT(C68),INDIRECT(D68))),0)  + IF(ISNUMBER(A69),MMULT(TRANSPOSE(INDIRECT(D69)),MMULT(INDIRECT(C69),INDIRECT(D69))),0) + IF(ISNUMBER(A70),MMULT(TRANSPOSE(INDIRECT(D70)),MMULT(INDIRECT(C70),INDIRECT(D70))),0)</f>
        <v>56.568542494923797</v>
      </c>
      <c r="E2" s="207">
        <f ca="1"/>
        <v>84.852813742385678</v>
      </c>
      <c r="F2" s="207">
        <f ca="1"/>
        <v>84.852813742385678</v>
      </c>
      <c r="G2" s="207">
        <f ca="1"/>
        <v>28.284271247461898</v>
      </c>
      <c r="H2" s="207">
        <f ca="1"/>
        <v>0</v>
      </c>
      <c r="I2" s="207" t="e">
        <f ca="1"/>
        <v>#N/A</v>
      </c>
      <c r="J2" s="207" t="e">
        <f ca="1"/>
        <v>#N/A</v>
      </c>
      <c r="K2" s="207" t="e">
        <f ca="1"/>
        <v>#N/A</v>
      </c>
      <c r="L2" s="207" t="e">
        <f ca="1"/>
        <v>#N/A</v>
      </c>
      <c r="M2" s="207" t="e">
        <f ca="1"/>
        <v>#N/A</v>
      </c>
      <c r="N2" s="207" t="e">
        <f ca="1"/>
        <v>#N/A</v>
      </c>
      <c r="O2" s="207" t="e">
        <f ca="1"/>
        <v>#N/A</v>
      </c>
      <c r="P2" s="207" t="e">
        <f ca="1"/>
        <v>#N/A</v>
      </c>
      <c r="Q2" s="207" t="e">
        <f ca="1"/>
        <v>#N/A</v>
      </c>
      <c r="R2" s="207" t="e">
        <f ca="1"/>
        <v>#N/A</v>
      </c>
      <c r="S2" s="207" t="e">
        <f ca="1"/>
        <v>#N/A</v>
      </c>
      <c r="T2" s="207" t="e">
        <f ca="1"/>
        <v>#N/A</v>
      </c>
      <c r="U2" s="207" t="e">
        <f ca="1"/>
        <v>#N/A</v>
      </c>
      <c r="V2" s="207" t="e">
        <f ca="1"/>
        <v>#N/A</v>
      </c>
      <c r="W2" s="207" t="e">
        <f ca="1"/>
        <v>#N/A</v>
      </c>
      <c r="X2" s="207" t="e">
        <f ca="1"/>
        <v>#N/A</v>
      </c>
      <c r="Y2" s="207" t="e">
        <f ca="1"/>
        <v>#N/A</v>
      </c>
      <c r="Z2" s="207" t="e">
        <f ca="1"/>
        <v>#N/A</v>
      </c>
      <c r="AA2" s="207" t="e">
        <f ca="1"/>
        <v>#N/A</v>
      </c>
      <c r="AB2" s="207" t="e">
        <f ca="1"/>
        <v>#N/A</v>
      </c>
      <c r="AC2" s="207" t="e">
        <f ca="1"/>
        <v>#N/A</v>
      </c>
      <c r="AD2" s="207" t="e">
        <f ca="1"/>
        <v>#N/A</v>
      </c>
      <c r="AE2" s="207" t="e">
        <f ca="1"/>
        <v>#N/A</v>
      </c>
      <c r="AF2" s="207" t="e">
        <f ca="1"/>
        <v>#N/A</v>
      </c>
      <c r="AG2" s="207" t="e">
        <f ca="1"/>
        <v>#N/A</v>
      </c>
      <c r="AH2" s="207" t="e">
        <f ca="1"/>
        <v>#N/A</v>
      </c>
      <c r="AI2" s="207" t="e">
        <f ca="1"/>
        <v>#N/A</v>
      </c>
      <c r="AJ2" s="207" t="e">
        <f ca="1"/>
        <v>#N/A</v>
      </c>
      <c r="AK2" s="207" t="e">
        <f ca="1"/>
        <v>#N/A</v>
      </c>
      <c r="AL2" s="207" t="e">
        <f ca="1"/>
        <v>#N/A</v>
      </c>
      <c r="AM2" s="207" t="e">
        <f ca="1"/>
        <v>#N/A</v>
      </c>
      <c r="AN2" s="207" t="e">
        <f ca="1"/>
        <v>#N/A</v>
      </c>
      <c r="AO2" s="207" t="e">
        <f ca="1"/>
        <v>#N/A</v>
      </c>
      <c r="AP2" s="207" t="e">
        <f ca="1"/>
        <v>#N/A</v>
      </c>
      <c r="AQ2" s="207" t="e">
        <f ca="1"/>
        <v>#N/A</v>
      </c>
      <c r="AR2" s="453">
        <v>1</v>
      </c>
      <c r="AS2" s="206">
        <f ca="1">IF(OR(AS$1&gt;$E$51,$A2&gt;$E$51),0,IF(INDIRECT(ADDRESS(ROW($A$1)+$A2,COLUMN($C$1)+AS$1))=0,1,0))</f>
        <v>0</v>
      </c>
      <c r="AT2" s="207">
        <v>0</v>
      </c>
      <c r="AU2" s="207">
        <v>0</v>
      </c>
      <c r="AV2" s="207">
        <v>0</v>
      </c>
      <c r="AW2" s="207">
        <v>0</v>
      </c>
      <c r="AX2" s="207">
        <v>0</v>
      </c>
      <c r="AY2" s="207">
        <v>0</v>
      </c>
      <c r="AZ2" s="207">
        <v>0</v>
      </c>
      <c r="BA2" s="207">
        <v>0</v>
      </c>
      <c r="BB2" s="207">
        <v>0</v>
      </c>
      <c r="BC2" s="207">
        <v>0</v>
      </c>
      <c r="BD2" s="207">
        <v>0</v>
      </c>
      <c r="BE2" s="207">
        <v>0</v>
      </c>
      <c r="BF2" s="207">
        <v>0</v>
      </c>
      <c r="BG2" s="207">
        <v>0</v>
      </c>
      <c r="BH2" s="207">
        <v>0</v>
      </c>
      <c r="BI2" s="207">
        <v>0</v>
      </c>
      <c r="BJ2" s="207">
        <v>0</v>
      </c>
      <c r="BK2" s="207">
        <v>0</v>
      </c>
      <c r="BL2" s="207">
        <v>0</v>
      </c>
      <c r="BM2" s="207">
        <v>0</v>
      </c>
      <c r="BN2" s="207">
        <v>0</v>
      </c>
      <c r="BO2" s="207">
        <v>0</v>
      </c>
      <c r="BP2" s="207">
        <v>0</v>
      </c>
      <c r="BQ2" s="207">
        <v>0</v>
      </c>
      <c r="BR2" s="207">
        <v>0</v>
      </c>
      <c r="BS2" s="207">
        <v>0</v>
      </c>
      <c r="BT2" s="207">
        <v>0</v>
      </c>
      <c r="BU2" s="207">
        <v>0</v>
      </c>
      <c r="BV2" s="207">
        <v>0</v>
      </c>
      <c r="BW2" s="207">
        <v>0</v>
      </c>
      <c r="BX2" s="207">
        <v>0</v>
      </c>
      <c r="BY2" s="207">
        <v>0</v>
      </c>
      <c r="BZ2" s="207">
        <v>0</v>
      </c>
      <c r="CA2" s="207">
        <v>0</v>
      </c>
      <c r="CB2" s="207">
        <v>0</v>
      </c>
      <c r="CC2" s="207">
        <v>0</v>
      </c>
      <c r="CD2" s="207">
        <v>0</v>
      </c>
      <c r="CE2" s="207">
        <v>0</v>
      </c>
      <c r="CF2" s="207">
        <v>0</v>
      </c>
    </row>
    <row r="3" spans="1:84" x14ac:dyDescent="0.2">
      <c r="A3" s="205">
        <v>2</v>
      </c>
      <c r="B3" s="206">
        <f ca="1"/>
        <v>3.8609276954815165E-4</v>
      </c>
      <c r="C3" s="258">
        <f ca="1"/>
        <v>0</v>
      </c>
      <c r="D3" s="207">
        <f ca="1"/>
        <v>84.852813742385678</v>
      </c>
      <c r="E3" s="207">
        <f ca="1"/>
        <v>2876.8124086713187</v>
      </c>
      <c r="F3" s="207">
        <f ca="1"/>
        <v>-537.40115370177602</v>
      </c>
      <c r="G3" s="207">
        <f ca="1"/>
        <v>84.852813742385678</v>
      </c>
      <c r="H3" s="207">
        <f ca="1"/>
        <v>0</v>
      </c>
      <c r="I3" s="207" t="e">
        <f ca="1"/>
        <v>#N/A</v>
      </c>
      <c r="J3" s="207" t="e">
        <f ca="1"/>
        <v>#N/A</v>
      </c>
      <c r="K3" s="207" t="e">
        <f ca="1"/>
        <v>#N/A</v>
      </c>
      <c r="L3" s="207" t="e">
        <f ca="1"/>
        <v>#N/A</v>
      </c>
      <c r="M3" s="207" t="e">
        <f ca="1"/>
        <v>#N/A</v>
      </c>
      <c r="N3" s="207" t="e">
        <f ca="1"/>
        <v>#N/A</v>
      </c>
      <c r="O3" s="207" t="e">
        <f ca="1"/>
        <v>#N/A</v>
      </c>
      <c r="P3" s="207" t="e">
        <f ca="1"/>
        <v>#N/A</v>
      </c>
      <c r="Q3" s="207" t="e">
        <f ca="1"/>
        <v>#N/A</v>
      </c>
      <c r="R3" s="207" t="e">
        <f ca="1"/>
        <v>#N/A</v>
      </c>
      <c r="S3" s="207" t="e">
        <f ca="1"/>
        <v>#N/A</v>
      </c>
      <c r="T3" s="207" t="e">
        <f ca="1"/>
        <v>#N/A</v>
      </c>
      <c r="U3" s="207" t="e">
        <f ca="1"/>
        <v>#N/A</v>
      </c>
      <c r="V3" s="207" t="e">
        <f ca="1"/>
        <v>#N/A</v>
      </c>
      <c r="W3" s="207" t="e">
        <f ca="1"/>
        <v>#N/A</v>
      </c>
      <c r="X3" s="207" t="e">
        <f ca="1"/>
        <v>#N/A</v>
      </c>
      <c r="Y3" s="207" t="e">
        <f ca="1"/>
        <v>#N/A</v>
      </c>
      <c r="Z3" s="207" t="e">
        <f ca="1"/>
        <v>#N/A</v>
      </c>
      <c r="AA3" s="207" t="e">
        <f ca="1"/>
        <v>#N/A</v>
      </c>
      <c r="AB3" s="207" t="e">
        <f ca="1"/>
        <v>#N/A</v>
      </c>
      <c r="AC3" s="207" t="e">
        <f ca="1"/>
        <v>#N/A</v>
      </c>
      <c r="AD3" s="207" t="e">
        <f ca="1"/>
        <v>#N/A</v>
      </c>
      <c r="AE3" s="207" t="e">
        <f ca="1"/>
        <v>#N/A</v>
      </c>
      <c r="AF3" s="207" t="e">
        <f ca="1"/>
        <v>#N/A</v>
      </c>
      <c r="AG3" s="207" t="e">
        <f ca="1"/>
        <v>#N/A</v>
      </c>
      <c r="AH3" s="207" t="e">
        <f ca="1"/>
        <v>#N/A</v>
      </c>
      <c r="AI3" s="207" t="e">
        <f ca="1"/>
        <v>#N/A</v>
      </c>
      <c r="AJ3" s="207" t="e">
        <f ca="1"/>
        <v>#N/A</v>
      </c>
      <c r="AK3" s="207" t="e">
        <f ca="1"/>
        <v>#N/A</v>
      </c>
      <c r="AL3" s="207" t="e">
        <f ca="1"/>
        <v>#N/A</v>
      </c>
      <c r="AM3" s="207" t="e">
        <f ca="1"/>
        <v>#N/A</v>
      </c>
      <c r="AN3" s="207" t="e">
        <f ca="1"/>
        <v>#N/A</v>
      </c>
      <c r="AO3" s="207" t="e">
        <f ca="1"/>
        <v>#N/A</v>
      </c>
      <c r="AP3" s="207" t="e">
        <f ca="1"/>
        <v>#N/A</v>
      </c>
      <c r="AQ3" s="207" t="e">
        <f ca="1"/>
        <v>#N/A</v>
      </c>
      <c r="AR3" s="453">
        <v>2</v>
      </c>
      <c r="AS3" s="207">
        <v>0</v>
      </c>
      <c r="AT3" s="206">
        <f t="shared" ref="AT3:AY8" ca="1" si="0">IF(OR(AT$1&gt;$E$51,$A3&gt;$E$51),0,IF(INDIRECT(ADDRESS(ROW($A$1)+$A3,COLUMN($C$1)+AT$1))=0,1,0))</f>
        <v>0</v>
      </c>
      <c r="AU3" s="207">
        <v>0</v>
      </c>
      <c r="AV3" s="207">
        <v>0</v>
      </c>
      <c r="AW3" s="207">
        <v>0</v>
      </c>
      <c r="AX3" s="207">
        <v>0</v>
      </c>
      <c r="AY3" s="207">
        <v>0</v>
      </c>
      <c r="AZ3" s="207">
        <v>0</v>
      </c>
      <c r="BA3" s="207">
        <v>0</v>
      </c>
      <c r="BB3" s="207">
        <v>0</v>
      </c>
      <c r="BC3" s="207">
        <v>0</v>
      </c>
      <c r="BD3" s="207">
        <v>0</v>
      </c>
      <c r="BE3" s="207">
        <v>0</v>
      </c>
      <c r="BF3" s="207">
        <v>0</v>
      </c>
      <c r="BG3" s="207">
        <v>0</v>
      </c>
      <c r="BH3" s="207">
        <v>0</v>
      </c>
      <c r="BI3" s="207">
        <v>0</v>
      </c>
      <c r="BJ3" s="207">
        <v>0</v>
      </c>
      <c r="BK3" s="207">
        <v>0</v>
      </c>
      <c r="BL3" s="207">
        <v>0</v>
      </c>
      <c r="BM3" s="207">
        <v>0</v>
      </c>
      <c r="BN3" s="207">
        <v>0</v>
      </c>
      <c r="BO3" s="207">
        <v>0</v>
      </c>
      <c r="BP3" s="207">
        <v>0</v>
      </c>
      <c r="BQ3" s="207">
        <v>0</v>
      </c>
      <c r="BR3" s="207">
        <v>0</v>
      </c>
      <c r="BS3" s="207">
        <v>0</v>
      </c>
      <c r="BT3" s="207">
        <v>0</v>
      </c>
      <c r="BU3" s="207">
        <v>0</v>
      </c>
      <c r="BV3" s="207">
        <v>0</v>
      </c>
      <c r="BW3" s="207">
        <v>0</v>
      </c>
      <c r="BX3" s="207">
        <v>0</v>
      </c>
      <c r="BY3" s="207">
        <v>0</v>
      </c>
      <c r="BZ3" s="207">
        <v>0</v>
      </c>
      <c r="CA3" s="207">
        <v>0</v>
      </c>
      <c r="CB3" s="207">
        <v>0</v>
      </c>
      <c r="CC3" s="207">
        <v>0</v>
      </c>
      <c r="CD3" s="207">
        <v>0</v>
      </c>
      <c r="CE3" s="207">
        <v>0</v>
      </c>
      <c r="CF3" s="207">
        <v>0</v>
      </c>
    </row>
    <row r="4" spans="1:84" x14ac:dyDescent="0.2">
      <c r="A4" s="205">
        <v>3</v>
      </c>
      <c r="B4" s="206">
        <f ca="1"/>
        <v>1.6470609543335233E-3</v>
      </c>
      <c r="C4" s="258">
        <f ca="1"/>
        <v>1.25</v>
      </c>
      <c r="D4" s="207">
        <f ca="1"/>
        <v>84.852813742385678</v>
      </c>
      <c r="E4" s="207">
        <f ca="1"/>
        <v>-537.40115370177602</v>
      </c>
      <c r="F4" s="207">
        <f ca="1"/>
        <v>1836.8124086713187</v>
      </c>
      <c r="G4" s="207">
        <f ca="1"/>
        <v>-155.14718625761432</v>
      </c>
      <c r="H4" s="207">
        <f ca="1"/>
        <v>-240</v>
      </c>
      <c r="I4" s="207" t="e">
        <f ca="1"/>
        <v>#N/A</v>
      </c>
      <c r="J4" s="207" t="e">
        <f ca="1"/>
        <v>#N/A</v>
      </c>
      <c r="K4" s="207" t="e">
        <f ca="1"/>
        <v>#N/A</v>
      </c>
      <c r="L4" s="207" t="e">
        <f ca="1"/>
        <v>#N/A</v>
      </c>
      <c r="M4" s="207" t="e">
        <f ca="1"/>
        <v>#N/A</v>
      </c>
      <c r="N4" s="207" t="e">
        <f ca="1"/>
        <v>#N/A</v>
      </c>
      <c r="O4" s="207" t="e">
        <f ca="1"/>
        <v>#N/A</v>
      </c>
      <c r="P4" s="207" t="e">
        <f ca="1"/>
        <v>#N/A</v>
      </c>
      <c r="Q4" s="207" t="e">
        <f ca="1"/>
        <v>#N/A</v>
      </c>
      <c r="R4" s="207" t="e">
        <f ca="1"/>
        <v>#N/A</v>
      </c>
      <c r="S4" s="207" t="e">
        <f ca="1"/>
        <v>#N/A</v>
      </c>
      <c r="T4" s="207" t="e">
        <f ca="1"/>
        <v>#N/A</v>
      </c>
      <c r="U4" s="207" t="e">
        <f ca="1"/>
        <v>#N/A</v>
      </c>
      <c r="V4" s="207" t="e">
        <f ca="1"/>
        <v>#N/A</v>
      </c>
      <c r="W4" s="207" t="e">
        <f ca="1"/>
        <v>#N/A</v>
      </c>
      <c r="X4" s="207" t="e">
        <f ca="1"/>
        <v>#N/A</v>
      </c>
      <c r="Y4" s="207" t="e">
        <f ca="1"/>
        <v>#N/A</v>
      </c>
      <c r="Z4" s="207" t="e">
        <f ca="1"/>
        <v>#N/A</v>
      </c>
      <c r="AA4" s="207" t="e">
        <f ca="1"/>
        <v>#N/A</v>
      </c>
      <c r="AB4" s="207" t="e">
        <f ca="1"/>
        <v>#N/A</v>
      </c>
      <c r="AC4" s="207" t="e">
        <f ca="1"/>
        <v>#N/A</v>
      </c>
      <c r="AD4" s="207" t="e">
        <f ca="1"/>
        <v>#N/A</v>
      </c>
      <c r="AE4" s="207" t="e">
        <f ca="1"/>
        <v>#N/A</v>
      </c>
      <c r="AF4" s="207" t="e">
        <f ca="1"/>
        <v>#N/A</v>
      </c>
      <c r="AG4" s="207" t="e">
        <f ca="1"/>
        <v>#N/A</v>
      </c>
      <c r="AH4" s="207" t="e">
        <f ca="1"/>
        <v>#N/A</v>
      </c>
      <c r="AI4" s="207" t="e">
        <f ca="1"/>
        <v>#N/A</v>
      </c>
      <c r="AJ4" s="207" t="e">
        <f ca="1"/>
        <v>#N/A</v>
      </c>
      <c r="AK4" s="207" t="e">
        <f ca="1"/>
        <v>#N/A</v>
      </c>
      <c r="AL4" s="207" t="e">
        <f ca="1"/>
        <v>#N/A</v>
      </c>
      <c r="AM4" s="207" t="e">
        <f ca="1"/>
        <v>#N/A</v>
      </c>
      <c r="AN4" s="207" t="e">
        <f ca="1"/>
        <v>#N/A</v>
      </c>
      <c r="AO4" s="207" t="e">
        <f ca="1"/>
        <v>#N/A</v>
      </c>
      <c r="AP4" s="207" t="e">
        <f ca="1"/>
        <v>#N/A</v>
      </c>
      <c r="AQ4" s="207" t="e">
        <f ca="1"/>
        <v>#N/A</v>
      </c>
      <c r="AR4" s="453">
        <v>3</v>
      </c>
      <c r="AS4" s="207">
        <v>0</v>
      </c>
      <c r="AT4" s="207">
        <v>0</v>
      </c>
      <c r="AU4" s="206">
        <f t="shared" ca="1" si="0"/>
        <v>0</v>
      </c>
      <c r="AV4" s="207">
        <v>0</v>
      </c>
      <c r="AW4" s="207">
        <v>0</v>
      </c>
      <c r="AX4" s="207">
        <v>0</v>
      </c>
      <c r="AY4" s="207">
        <v>0</v>
      </c>
      <c r="AZ4" s="207">
        <v>0</v>
      </c>
      <c r="BA4" s="207">
        <v>0</v>
      </c>
      <c r="BB4" s="207">
        <v>0</v>
      </c>
      <c r="BC4" s="207">
        <v>0</v>
      </c>
      <c r="BD4" s="207">
        <v>0</v>
      </c>
      <c r="BE4" s="207">
        <v>0</v>
      </c>
      <c r="BF4" s="207">
        <v>0</v>
      </c>
      <c r="BG4" s="207">
        <v>0</v>
      </c>
      <c r="BH4" s="207">
        <v>0</v>
      </c>
      <c r="BI4" s="207">
        <v>0</v>
      </c>
      <c r="BJ4" s="207">
        <v>0</v>
      </c>
      <c r="BK4" s="207">
        <v>0</v>
      </c>
      <c r="BL4" s="207">
        <v>0</v>
      </c>
      <c r="BM4" s="207">
        <v>0</v>
      </c>
      <c r="BN4" s="207">
        <v>0</v>
      </c>
      <c r="BO4" s="207">
        <v>0</v>
      </c>
      <c r="BP4" s="207">
        <v>0</v>
      </c>
      <c r="BQ4" s="207">
        <v>0</v>
      </c>
      <c r="BR4" s="207">
        <v>0</v>
      </c>
      <c r="BS4" s="207">
        <v>0</v>
      </c>
      <c r="BT4" s="207">
        <v>0</v>
      </c>
      <c r="BU4" s="207">
        <v>0</v>
      </c>
      <c r="BV4" s="207">
        <v>0</v>
      </c>
      <c r="BW4" s="207">
        <v>0</v>
      </c>
      <c r="BX4" s="207">
        <v>0</v>
      </c>
      <c r="BY4" s="207">
        <v>0</v>
      </c>
      <c r="BZ4" s="207">
        <v>0</v>
      </c>
      <c r="CA4" s="207">
        <v>0</v>
      </c>
      <c r="CB4" s="207">
        <v>0</v>
      </c>
      <c r="CC4" s="207">
        <v>0</v>
      </c>
      <c r="CD4" s="207">
        <v>0</v>
      </c>
      <c r="CE4" s="207">
        <v>0</v>
      </c>
      <c r="CF4" s="207">
        <v>0</v>
      </c>
    </row>
    <row r="5" spans="1:84" x14ac:dyDescent="0.2">
      <c r="A5" s="205">
        <v>4</v>
      </c>
      <c r="B5" s="206">
        <f ca="1"/>
        <v>7.8239498823497731E-4</v>
      </c>
      <c r="C5" s="258">
        <f ca="1"/>
        <v>-2.0833333333333332E-2</v>
      </c>
      <c r="D5" s="207">
        <f ca="1"/>
        <v>28.284271247461898</v>
      </c>
      <c r="E5" s="207">
        <f ca="1"/>
        <v>84.852813742385678</v>
      </c>
      <c r="F5" s="207">
        <f ca="1"/>
        <v>-155.14718625761432</v>
      </c>
      <c r="G5" s="207">
        <f ca="1"/>
        <v>136.5685424949238</v>
      </c>
      <c r="H5" s="207">
        <f ca="1"/>
        <v>40</v>
      </c>
      <c r="I5" s="207" t="e">
        <f ca="1"/>
        <v>#N/A</v>
      </c>
      <c r="J5" s="207" t="e">
        <f ca="1"/>
        <v>#N/A</v>
      </c>
      <c r="K5" s="207" t="e">
        <f ca="1"/>
        <v>#N/A</v>
      </c>
      <c r="L5" s="207" t="e">
        <f ca="1"/>
        <v>#N/A</v>
      </c>
      <c r="M5" s="207" t="e">
        <f ca="1"/>
        <v>#N/A</v>
      </c>
      <c r="N5" s="207" t="e">
        <f ca="1"/>
        <v>#N/A</v>
      </c>
      <c r="O5" s="207" t="e">
        <f ca="1"/>
        <v>#N/A</v>
      </c>
      <c r="P5" s="207" t="e">
        <f ca="1"/>
        <v>#N/A</v>
      </c>
      <c r="Q5" s="207" t="e">
        <f ca="1"/>
        <v>#N/A</v>
      </c>
      <c r="R5" s="207" t="e">
        <f ca="1"/>
        <v>#N/A</v>
      </c>
      <c r="S5" s="207" t="e">
        <f ca="1"/>
        <v>#N/A</v>
      </c>
      <c r="T5" s="207" t="e">
        <f ca="1"/>
        <v>#N/A</v>
      </c>
      <c r="U5" s="207" t="e">
        <f ca="1"/>
        <v>#N/A</v>
      </c>
      <c r="V5" s="207" t="e">
        <f ca="1"/>
        <v>#N/A</v>
      </c>
      <c r="W5" s="207" t="e">
        <f ca="1"/>
        <v>#N/A</v>
      </c>
      <c r="X5" s="207" t="e">
        <f ca="1"/>
        <v>#N/A</v>
      </c>
      <c r="Y5" s="207" t="e">
        <f ca="1"/>
        <v>#N/A</v>
      </c>
      <c r="Z5" s="207" t="e">
        <f ca="1"/>
        <v>#N/A</v>
      </c>
      <c r="AA5" s="207" t="e">
        <f ca="1"/>
        <v>#N/A</v>
      </c>
      <c r="AB5" s="207" t="e">
        <f ca="1"/>
        <v>#N/A</v>
      </c>
      <c r="AC5" s="207" t="e">
        <f ca="1"/>
        <v>#N/A</v>
      </c>
      <c r="AD5" s="207" t="e">
        <f ca="1"/>
        <v>#N/A</v>
      </c>
      <c r="AE5" s="207" t="e">
        <f ca="1"/>
        <v>#N/A</v>
      </c>
      <c r="AF5" s="207" t="e">
        <f ca="1"/>
        <v>#N/A</v>
      </c>
      <c r="AG5" s="207" t="e">
        <f ca="1"/>
        <v>#N/A</v>
      </c>
      <c r="AH5" s="207" t="e">
        <f ca="1"/>
        <v>#N/A</v>
      </c>
      <c r="AI5" s="207" t="e">
        <f ca="1"/>
        <v>#N/A</v>
      </c>
      <c r="AJ5" s="207" t="e">
        <f ca="1"/>
        <v>#N/A</v>
      </c>
      <c r="AK5" s="207" t="e">
        <f ca="1"/>
        <v>#N/A</v>
      </c>
      <c r="AL5" s="207" t="e">
        <f ca="1"/>
        <v>#N/A</v>
      </c>
      <c r="AM5" s="207" t="e">
        <f ca="1"/>
        <v>#N/A</v>
      </c>
      <c r="AN5" s="207" t="e">
        <f ca="1"/>
        <v>#N/A</v>
      </c>
      <c r="AO5" s="207" t="e">
        <f ca="1"/>
        <v>#N/A</v>
      </c>
      <c r="AP5" s="207" t="e">
        <f ca="1"/>
        <v>#N/A</v>
      </c>
      <c r="AQ5" s="207" t="e">
        <f ca="1"/>
        <v>#N/A</v>
      </c>
      <c r="AR5" s="453">
        <v>4</v>
      </c>
      <c r="AS5" s="207">
        <v>0</v>
      </c>
      <c r="AT5" s="207">
        <v>0</v>
      </c>
      <c r="AU5" s="207">
        <v>0</v>
      </c>
      <c r="AV5" s="206">
        <f t="shared" ca="1" si="0"/>
        <v>0</v>
      </c>
      <c r="AW5" s="207">
        <v>0</v>
      </c>
      <c r="AX5" s="207">
        <v>0</v>
      </c>
      <c r="AY5" s="207">
        <v>0</v>
      </c>
      <c r="AZ5" s="207">
        <v>0</v>
      </c>
      <c r="BA5" s="207">
        <v>0</v>
      </c>
      <c r="BB5" s="207">
        <v>0</v>
      </c>
      <c r="BC5" s="207">
        <v>0</v>
      </c>
      <c r="BD5" s="207">
        <v>0</v>
      </c>
      <c r="BE5" s="207">
        <v>0</v>
      </c>
      <c r="BF5" s="207">
        <v>0</v>
      </c>
      <c r="BG5" s="207">
        <v>0</v>
      </c>
      <c r="BH5" s="207">
        <v>0</v>
      </c>
      <c r="BI5" s="207">
        <v>0</v>
      </c>
      <c r="BJ5" s="207">
        <v>0</v>
      </c>
      <c r="BK5" s="207">
        <v>0</v>
      </c>
      <c r="BL5" s="207">
        <v>0</v>
      </c>
      <c r="BM5" s="207">
        <v>0</v>
      </c>
      <c r="BN5" s="207">
        <v>0</v>
      </c>
      <c r="BO5" s="207">
        <v>0</v>
      </c>
      <c r="BP5" s="207">
        <v>0</v>
      </c>
      <c r="BQ5" s="207">
        <v>0</v>
      </c>
      <c r="BR5" s="207">
        <v>0</v>
      </c>
      <c r="BS5" s="207">
        <v>0</v>
      </c>
      <c r="BT5" s="207">
        <v>0</v>
      </c>
      <c r="BU5" s="207">
        <v>0</v>
      </c>
      <c r="BV5" s="207">
        <v>0</v>
      </c>
      <c r="BW5" s="207">
        <v>0</v>
      </c>
      <c r="BX5" s="207">
        <v>0</v>
      </c>
      <c r="BY5" s="207">
        <v>0</v>
      </c>
      <c r="BZ5" s="207">
        <v>0</v>
      </c>
      <c r="CA5" s="207">
        <v>0</v>
      </c>
      <c r="CB5" s="207">
        <v>0</v>
      </c>
      <c r="CC5" s="207">
        <v>0</v>
      </c>
      <c r="CD5" s="207">
        <v>0</v>
      </c>
      <c r="CE5" s="207">
        <v>0</v>
      </c>
      <c r="CF5" s="207">
        <v>0</v>
      </c>
    </row>
    <row r="6" spans="1:84" x14ac:dyDescent="0.2">
      <c r="A6" s="205">
        <v>5</v>
      </c>
      <c r="B6" s="206">
        <f ca="1"/>
        <v>4.8104020355497473E-3</v>
      </c>
      <c r="C6" s="258">
        <f ca="1"/>
        <v>2.0833333333333332E-2</v>
      </c>
      <c r="D6" s="207">
        <f ca="1"/>
        <v>0</v>
      </c>
      <c r="E6" s="207">
        <f ca="1"/>
        <v>0</v>
      </c>
      <c r="F6" s="207">
        <f ca="1"/>
        <v>-240</v>
      </c>
      <c r="G6" s="207">
        <f ca="1"/>
        <v>40</v>
      </c>
      <c r="H6" s="207">
        <f ca="1"/>
        <v>80</v>
      </c>
      <c r="I6" s="207" t="e">
        <f ca="1"/>
        <v>#N/A</v>
      </c>
      <c r="J6" s="207" t="e">
        <f ca="1"/>
        <v>#N/A</v>
      </c>
      <c r="K6" s="207" t="e">
        <f ca="1"/>
        <v>#N/A</v>
      </c>
      <c r="L6" s="207" t="e">
        <f ca="1"/>
        <v>#N/A</v>
      </c>
      <c r="M6" s="207" t="e">
        <f ca="1"/>
        <v>#N/A</v>
      </c>
      <c r="N6" s="207" t="e">
        <f ca="1"/>
        <v>#N/A</v>
      </c>
      <c r="O6" s="207" t="e">
        <f ca="1"/>
        <v>#N/A</v>
      </c>
      <c r="P6" s="207" t="e">
        <f ca="1"/>
        <v>#N/A</v>
      </c>
      <c r="Q6" s="207" t="e">
        <f ca="1"/>
        <v>#N/A</v>
      </c>
      <c r="R6" s="207" t="e">
        <f ca="1"/>
        <v>#N/A</v>
      </c>
      <c r="S6" s="207" t="e">
        <f ca="1"/>
        <v>#N/A</v>
      </c>
      <c r="T6" s="207" t="e">
        <f ca="1"/>
        <v>#N/A</v>
      </c>
      <c r="U6" s="207" t="e">
        <f ca="1"/>
        <v>#N/A</v>
      </c>
      <c r="V6" s="207" t="e">
        <f ca="1"/>
        <v>#N/A</v>
      </c>
      <c r="W6" s="207" t="e">
        <f ca="1"/>
        <v>#N/A</v>
      </c>
      <c r="X6" s="207" t="e">
        <f ca="1"/>
        <v>#N/A</v>
      </c>
      <c r="Y6" s="207" t="e">
        <f ca="1"/>
        <v>#N/A</v>
      </c>
      <c r="Z6" s="207" t="e">
        <f ca="1"/>
        <v>#N/A</v>
      </c>
      <c r="AA6" s="207" t="e">
        <f ca="1"/>
        <v>#N/A</v>
      </c>
      <c r="AB6" s="207" t="e">
        <f ca="1"/>
        <v>#N/A</v>
      </c>
      <c r="AC6" s="207" t="e">
        <f ca="1"/>
        <v>#N/A</v>
      </c>
      <c r="AD6" s="207" t="e">
        <f ca="1"/>
        <v>#N/A</v>
      </c>
      <c r="AE6" s="207" t="e">
        <f ca="1"/>
        <v>#N/A</v>
      </c>
      <c r="AF6" s="207" t="e">
        <f ca="1"/>
        <v>#N/A</v>
      </c>
      <c r="AG6" s="207" t="e">
        <f ca="1"/>
        <v>#N/A</v>
      </c>
      <c r="AH6" s="207" t="e">
        <f ca="1"/>
        <v>#N/A</v>
      </c>
      <c r="AI6" s="207" t="e">
        <f ca="1"/>
        <v>#N/A</v>
      </c>
      <c r="AJ6" s="207" t="e">
        <f ca="1"/>
        <v>#N/A</v>
      </c>
      <c r="AK6" s="207" t="e">
        <f ca="1"/>
        <v>#N/A</v>
      </c>
      <c r="AL6" s="207" t="e">
        <f ca="1"/>
        <v>#N/A</v>
      </c>
      <c r="AM6" s="207" t="e">
        <f ca="1"/>
        <v>#N/A</v>
      </c>
      <c r="AN6" s="207" t="e">
        <f ca="1"/>
        <v>#N/A</v>
      </c>
      <c r="AO6" s="207" t="e">
        <f ca="1"/>
        <v>#N/A</v>
      </c>
      <c r="AP6" s="207" t="e">
        <f ca="1"/>
        <v>#N/A</v>
      </c>
      <c r="AQ6" s="207" t="e">
        <f ca="1"/>
        <v>#N/A</v>
      </c>
      <c r="AR6" s="453">
        <v>5</v>
      </c>
      <c r="AS6" s="207">
        <v>0</v>
      </c>
      <c r="AT6" s="207">
        <v>0</v>
      </c>
      <c r="AU6" s="207">
        <v>0</v>
      </c>
      <c r="AV6" s="207">
        <v>0</v>
      </c>
      <c r="AW6" s="206">
        <f t="shared" ca="1" si="0"/>
        <v>0</v>
      </c>
      <c r="AX6" s="207">
        <v>0</v>
      </c>
      <c r="AY6" s="207">
        <v>0</v>
      </c>
      <c r="AZ6" s="207">
        <v>0</v>
      </c>
      <c r="BA6" s="207">
        <v>0</v>
      </c>
      <c r="BB6" s="207">
        <v>0</v>
      </c>
      <c r="BC6" s="207">
        <v>0</v>
      </c>
      <c r="BD6" s="207">
        <v>0</v>
      </c>
      <c r="BE6" s="207">
        <v>0</v>
      </c>
      <c r="BF6" s="207">
        <v>0</v>
      </c>
      <c r="BG6" s="207">
        <v>0</v>
      </c>
      <c r="BH6" s="207">
        <v>0</v>
      </c>
      <c r="BI6" s="207">
        <v>0</v>
      </c>
      <c r="BJ6" s="207">
        <v>0</v>
      </c>
      <c r="BK6" s="207">
        <v>0</v>
      </c>
      <c r="BL6" s="207">
        <v>0</v>
      </c>
      <c r="BM6" s="207">
        <v>0</v>
      </c>
      <c r="BN6" s="207">
        <v>0</v>
      </c>
      <c r="BO6" s="207">
        <v>0</v>
      </c>
      <c r="BP6" s="207">
        <v>0</v>
      </c>
      <c r="BQ6" s="207">
        <v>0</v>
      </c>
      <c r="BR6" s="207">
        <v>0</v>
      </c>
      <c r="BS6" s="207">
        <v>0</v>
      </c>
      <c r="BT6" s="207">
        <v>0</v>
      </c>
      <c r="BU6" s="207">
        <v>0</v>
      </c>
      <c r="BV6" s="207">
        <v>0</v>
      </c>
      <c r="BW6" s="207">
        <v>0</v>
      </c>
      <c r="BX6" s="207">
        <v>0</v>
      </c>
      <c r="BY6" s="207">
        <v>0</v>
      </c>
      <c r="BZ6" s="207">
        <v>0</v>
      </c>
      <c r="CA6" s="207">
        <v>0</v>
      </c>
      <c r="CB6" s="207">
        <v>0</v>
      </c>
      <c r="CC6" s="207">
        <v>0</v>
      </c>
      <c r="CD6" s="207">
        <v>0</v>
      </c>
      <c r="CE6" s="207">
        <v>0</v>
      </c>
      <c r="CF6" s="207">
        <v>0</v>
      </c>
    </row>
    <row r="7" spans="1:84" x14ac:dyDescent="0.2">
      <c r="A7" s="205">
        <v>6</v>
      </c>
      <c r="B7" s="206" t="e">
        <f ca="1"/>
        <v>#N/A</v>
      </c>
      <c r="C7" s="258" t="e">
        <f ca="1"/>
        <v>#N/A</v>
      </c>
      <c r="D7" s="207" t="e">
        <f ca="1"/>
        <v>#N/A</v>
      </c>
      <c r="E7" s="207" t="e">
        <f ca="1"/>
        <v>#N/A</v>
      </c>
      <c r="F7" s="207" t="e">
        <f ca="1"/>
        <v>#N/A</v>
      </c>
      <c r="G7" s="207" t="e">
        <f ca="1"/>
        <v>#N/A</v>
      </c>
      <c r="H7" s="207" t="e">
        <f ca="1"/>
        <v>#N/A</v>
      </c>
      <c r="I7" s="207" t="e">
        <f ca="1"/>
        <v>#N/A</v>
      </c>
      <c r="J7" s="207" t="e">
        <f ca="1"/>
        <v>#N/A</v>
      </c>
      <c r="K7" s="207" t="e">
        <f ca="1"/>
        <v>#N/A</v>
      </c>
      <c r="L7" s="207" t="e">
        <f ca="1"/>
        <v>#N/A</v>
      </c>
      <c r="M7" s="207" t="e">
        <f ca="1"/>
        <v>#N/A</v>
      </c>
      <c r="N7" s="207" t="e">
        <f ca="1"/>
        <v>#N/A</v>
      </c>
      <c r="O7" s="207" t="e">
        <f ca="1"/>
        <v>#N/A</v>
      </c>
      <c r="P7" s="207" t="e">
        <f ca="1"/>
        <v>#N/A</v>
      </c>
      <c r="Q7" s="207" t="e">
        <f ca="1"/>
        <v>#N/A</v>
      </c>
      <c r="R7" s="207" t="e">
        <f ca="1"/>
        <v>#N/A</v>
      </c>
      <c r="S7" s="207" t="e">
        <f ca="1"/>
        <v>#N/A</v>
      </c>
      <c r="T7" s="207" t="e">
        <f ca="1"/>
        <v>#N/A</v>
      </c>
      <c r="U7" s="207" t="e">
        <f ca="1"/>
        <v>#N/A</v>
      </c>
      <c r="V7" s="207" t="e">
        <f ca="1"/>
        <v>#N/A</v>
      </c>
      <c r="W7" s="207" t="e">
        <f ca="1"/>
        <v>#N/A</v>
      </c>
      <c r="X7" s="207" t="e">
        <f ca="1"/>
        <v>#N/A</v>
      </c>
      <c r="Y7" s="207" t="e">
        <f ca="1"/>
        <v>#N/A</v>
      </c>
      <c r="Z7" s="207" t="e">
        <f ca="1"/>
        <v>#N/A</v>
      </c>
      <c r="AA7" s="207" t="e">
        <f ca="1"/>
        <v>#N/A</v>
      </c>
      <c r="AB7" s="207" t="e">
        <f ca="1"/>
        <v>#N/A</v>
      </c>
      <c r="AC7" s="207" t="e">
        <f ca="1"/>
        <v>#N/A</v>
      </c>
      <c r="AD7" s="207" t="e">
        <f ca="1"/>
        <v>#N/A</v>
      </c>
      <c r="AE7" s="207" t="e">
        <f ca="1"/>
        <v>#N/A</v>
      </c>
      <c r="AF7" s="207" t="e">
        <f ca="1"/>
        <v>#N/A</v>
      </c>
      <c r="AG7" s="207" t="e">
        <f ca="1"/>
        <v>#N/A</v>
      </c>
      <c r="AH7" s="207" t="e">
        <f ca="1"/>
        <v>#N/A</v>
      </c>
      <c r="AI7" s="207" t="e">
        <f ca="1"/>
        <v>#N/A</v>
      </c>
      <c r="AJ7" s="207" t="e">
        <f ca="1"/>
        <v>#N/A</v>
      </c>
      <c r="AK7" s="207" t="e">
        <f ca="1"/>
        <v>#N/A</v>
      </c>
      <c r="AL7" s="207" t="e">
        <f ca="1"/>
        <v>#N/A</v>
      </c>
      <c r="AM7" s="207" t="e">
        <f ca="1"/>
        <v>#N/A</v>
      </c>
      <c r="AN7" s="207" t="e">
        <f ca="1"/>
        <v>#N/A</v>
      </c>
      <c r="AO7" s="207" t="e">
        <f ca="1"/>
        <v>#N/A</v>
      </c>
      <c r="AP7" s="207" t="e">
        <f ca="1"/>
        <v>#N/A</v>
      </c>
      <c r="AQ7" s="207" t="e">
        <f ca="1"/>
        <v>#N/A</v>
      </c>
      <c r="AR7" s="453">
        <v>6</v>
      </c>
      <c r="AS7" s="207">
        <v>0</v>
      </c>
      <c r="AT7" s="207">
        <v>0</v>
      </c>
      <c r="AU7" s="207">
        <v>0</v>
      </c>
      <c r="AV7" s="207">
        <v>0</v>
      </c>
      <c r="AW7" s="207">
        <v>0</v>
      </c>
      <c r="AX7" s="206">
        <f t="shared" ca="1" si="0"/>
        <v>0</v>
      </c>
      <c r="AY7" s="207">
        <v>0</v>
      </c>
      <c r="AZ7" s="207">
        <v>0</v>
      </c>
      <c r="BA7" s="207">
        <v>0</v>
      </c>
      <c r="BB7" s="207">
        <v>0</v>
      </c>
      <c r="BC7" s="207">
        <v>0</v>
      </c>
      <c r="BD7" s="207">
        <v>0</v>
      </c>
      <c r="BE7" s="207">
        <v>0</v>
      </c>
      <c r="BF7" s="207">
        <v>0</v>
      </c>
      <c r="BG7" s="207">
        <v>0</v>
      </c>
      <c r="BH7" s="207">
        <v>0</v>
      </c>
      <c r="BI7" s="207">
        <v>0</v>
      </c>
      <c r="BJ7" s="207">
        <v>0</v>
      </c>
      <c r="BK7" s="207">
        <v>0</v>
      </c>
      <c r="BL7" s="207">
        <v>0</v>
      </c>
      <c r="BM7" s="207">
        <v>0</v>
      </c>
      <c r="BN7" s="207">
        <v>0</v>
      </c>
      <c r="BO7" s="207">
        <v>0</v>
      </c>
      <c r="BP7" s="207">
        <v>0</v>
      </c>
      <c r="BQ7" s="207">
        <v>0</v>
      </c>
      <c r="BR7" s="207">
        <v>0</v>
      </c>
      <c r="BS7" s="207">
        <v>0</v>
      </c>
      <c r="BT7" s="207">
        <v>0</v>
      </c>
      <c r="BU7" s="207">
        <v>0</v>
      </c>
      <c r="BV7" s="207">
        <v>0</v>
      </c>
      <c r="BW7" s="207">
        <v>0</v>
      </c>
      <c r="BX7" s="207">
        <v>0</v>
      </c>
      <c r="BY7" s="207">
        <v>0</v>
      </c>
      <c r="BZ7" s="207">
        <v>0</v>
      </c>
      <c r="CA7" s="207">
        <v>0</v>
      </c>
      <c r="CB7" s="207">
        <v>0</v>
      </c>
      <c r="CC7" s="207">
        <v>0</v>
      </c>
      <c r="CD7" s="207">
        <v>0</v>
      </c>
      <c r="CE7" s="207">
        <v>0</v>
      </c>
      <c r="CF7" s="207">
        <v>0</v>
      </c>
    </row>
    <row r="8" spans="1:84" x14ac:dyDescent="0.2">
      <c r="A8" s="205">
        <v>7</v>
      </c>
      <c r="B8" s="206" t="e">
        <f ca="1"/>
        <v>#N/A</v>
      </c>
      <c r="C8" s="258" t="e">
        <f ca="1"/>
        <v>#N/A</v>
      </c>
      <c r="D8" s="207" t="e">
        <f ca="1"/>
        <v>#N/A</v>
      </c>
      <c r="E8" s="207" t="e">
        <f ca="1"/>
        <v>#N/A</v>
      </c>
      <c r="F8" s="207" t="e">
        <f ca="1"/>
        <v>#N/A</v>
      </c>
      <c r="G8" s="207" t="e">
        <f ca="1"/>
        <v>#N/A</v>
      </c>
      <c r="H8" s="207" t="e">
        <f ca="1"/>
        <v>#N/A</v>
      </c>
      <c r="I8" s="207" t="e">
        <f ca="1"/>
        <v>#N/A</v>
      </c>
      <c r="J8" s="207" t="e">
        <f ca="1"/>
        <v>#N/A</v>
      </c>
      <c r="K8" s="207" t="e">
        <f ca="1"/>
        <v>#N/A</v>
      </c>
      <c r="L8" s="207" t="e">
        <f ca="1"/>
        <v>#N/A</v>
      </c>
      <c r="M8" s="207" t="e">
        <f ca="1"/>
        <v>#N/A</v>
      </c>
      <c r="N8" s="207" t="e">
        <f ca="1"/>
        <v>#N/A</v>
      </c>
      <c r="O8" s="207" t="e">
        <f ca="1"/>
        <v>#N/A</v>
      </c>
      <c r="P8" s="207" t="e">
        <f ca="1"/>
        <v>#N/A</v>
      </c>
      <c r="Q8" s="207" t="e">
        <f ca="1"/>
        <v>#N/A</v>
      </c>
      <c r="R8" s="207" t="e">
        <f ca="1"/>
        <v>#N/A</v>
      </c>
      <c r="S8" s="207" t="e">
        <f ca="1"/>
        <v>#N/A</v>
      </c>
      <c r="T8" s="207" t="e">
        <f ca="1"/>
        <v>#N/A</v>
      </c>
      <c r="U8" s="207" t="e">
        <f ca="1"/>
        <v>#N/A</v>
      </c>
      <c r="V8" s="207" t="e">
        <f ca="1"/>
        <v>#N/A</v>
      </c>
      <c r="W8" s="207" t="e">
        <f ca="1"/>
        <v>#N/A</v>
      </c>
      <c r="X8" s="207" t="e">
        <f ca="1"/>
        <v>#N/A</v>
      </c>
      <c r="Y8" s="207" t="e">
        <f ca="1"/>
        <v>#N/A</v>
      </c>
      <c r="Z8" s="207" t="e">
        <f ca="1"/>
        <v>#N/A</v>
      </c>
      <c r="AA8" s="207" t="e">
        <f ca="1"/>
        <v>#N/A</v>
      </c>
      <c r="AB8" s="207" t="e">
        <f ca="1"/>
        <v>#N/A</v>
      </c>
      <c r="AC8" s="207" t="e">
        <f ca="1"/>
        <v>#N/A</v>
      </c>
      <c r="AD8" s="207" t="e">
        <f ca="1"/>
        <v>#N/A</v>
      </c>
      <c r="AE8" s="207" t="e">
        <f ca="1"/>
        <v>#N/A</v>
      </c>
      <c r="AF8" s="207" t="e">
        <f ca="1"/>
        <v>#N/A</v>
      </c>
      <c r="AG8" s="207" t="e">
        <f ca="1"/>
        <v>#N/A</v>
      </c>
      <c r="AH8" s="207" t="e">
        <f ca="1"/>
        <v>#N/A</v>
      </c>
      <c r="AI8" s="207" t="e">
        <f ca="1"/>
        <v>#N/A</v>
      </c>
      <c r="AJ8" s="207" t="e">
        <f ca="1"/>
        <v>#N/A</v>
      </c>
      <c r="AK8" s="207" t="e">
        <f ca="1"/>
        <v>#N/A</v>
      </c>
      <c r="AL8" s="207" t="e">
        <f ca="1"/>
        <v>#N/A</v>
      </c>
      <c r="AM8" s="207" t="e">
        <f ca="1"/>
        <v>#N/A</v>
      </c>
      <c r="AN8" s="207" t="e">
        <f ca="1"/>
        <v>#N/A</v>
      </c>
      <c r="AO8" s="207" t="e">
        <f ca="1"/>
        <v>#N/A</v>
      </c>
      <c r="AP8" s="207" t="e">
        <f ca="1"/>
        <v>#N/A</v>
      </c>
      <c r="AQ8" s="207" t="e">
        <f ca="1"/>
        <v>#N/A</v>
      </c>
      <c r="AR8" s="453">
        <v>7</v>
      </c>
      <c r="AS8" s="207">
        <v>0</v>
      </c>
      <c r="AT8" s="207">
        <v>0</v>
      </c>
      <c r="AU8" s="207">
        <v>0</v>
      </c>
      <c r="AV8" s="207">
        <v>0</v>
      </c>
      <c r="AW8" s="207">
        <v>0</v>
      </c>
      <c r="AX8" s="207">
        <v>0</v>
      </c>
      <c r="AY8" s="206">
        <f t="shared" ca="1" si="0"/>
        <v>0</v>
      </c>
      <c r="AZ8" s="207">
        <v>0</v>
      </c>
      <c r="BA8" s="207">
        <v>0</v>
      </c>
      <c r="BB8" s="207">
        <v>0</v>
      </c>
      <c r="BC8" s="207">
        <v>0</v>
      </c>
      <c r="BD8" s="207">
        <v>0</v>
      </c>
      <c r="BE8" s="207">
        <v>0</v>
      </c>
      <c r="BF8" s="207">
        <v>0</v>
      </c>
      <c r="BG8" s="207">
        <v>0</v>
      </c>
      <c r="BH8" s="207">
        <v>0</v>
      </c>
      <c r="BI8" s="207">
        <v>0</v>
      </c>
      <c r="BJ8" s="207">
        <v>0</v>
      </c>
      <c r="BK8" s="207">
        <v>0</v>
      </c>
      <c r="BL8" s="207">
        <v>0</v>
      </c>
      <c r="BM8" s="207">
        <v>0</v>
      </c>
      <c r="BN8" s="207">
        <v>0</v>
      </c>
      <c r="BO8" s="207">
        <v>0</v>
      </c>
      <c r="BP8" s="207">
        <v>0</v>
      </c>
      <c r="BQ8" s="207">
        <v>0</v>
      </c>
      <c r="BR8" s="207">
        <v>0</v>
      </c>
      <c r="BS8" s="207">
        <v>0</v>
      </c>
      <c r="BT8" s="207">
        <v>0</v>
      </c>
      <c r="BU8" s="207">
        <v>0</v>
      </c>
      <c r="BV8" s="207">
        <v>0</v>
      </c>
      <c r="BW8" s="207">
        <v>0</v>
      </c>
      <c r="BX8" s="207">
        <v>0</v>
      </c>
      <c r="BY8" s="207">
        <v>0</v>
      </c>
      <c r="BZ8" s="207">
        <v>0</v>
      </c>
      <c r="CA8" s="207">
        <v>0</v>
      </c>
      <c r="CB8" s="207">
        <v>0</v>
      </c>
      <c r="CC8" s="207">
        <v>0</v>
      </c>
      <c r="CD8" s="207">
        <v>0</v>
      </c>
      <c r="CE8" s="207">
        <v>0</v>
      </c>
      <c r="CF8" s="207">
        <v>0</v>
      </c>
    </row>
    <row r="9" spans="1:84" x14ac:dyDescent="0.2">
      <c r="A9" s="205">
        <v>8</v>
      </c>
      <c r="B9" s="206" t="e">
        <f ca="1"/>
        <v>#N/A</v>
      </c>
      <c r="C9" s="258" t="e">
        <f ca="1"/>
        <v>#N/A</v>
      </c>
      <c r="D9" s="207" t="e">
        <f ca="1"/>
        <v>#N/A</v>
      </c>
      <c r="E9" s="207" t="e">
        <f ca="1"/>
        <v>#N/A</v>
      </c>
      <c r="F9" s="207" t="e">
        <f ca="1"/>
        <v>#N/A</v>
      </c>
      <c r="G9" s="207" t="e">
        <f ca="1"/>
        <v>#N/A</v>
      </c>
      <c r="H9" s="207" t="e">
        <f ca="1"/>
        <v>#N/A</v>
      </c>
      <c r="I9" s="207" t="e">
        <f ca="1"/>
        <v>#N/A</v>
      </c>
      <c r="J9" s="207" t="e">
        <f ca="1"/>
        <v>#N/A</v>
      </c>
      <c r="K9" s="207" t="e">
        <f ca="1"/>
        <v>#N/A</v>
      </c>
      <c r="L9" s="207" t="e">
        <f ca="1"/>
        <v>#N/A</v>
      </c>
      <c r="M9" s="207" t="e">
        <f ca="1"/>
        <v>#N/A</v>
      </c>
      <c r="N9" s="207" t="e">
        <f ca="1"/>
        <v>#N/A</v>
      </c>
      <c r="O9" s="207" t="e">
        <f ca="1"/>
        <v>#N/A</v>
      </c>
      <c r="P9" s="207" t="e">
        <f ca="1"/>
        <v>#N/A</v>
      </c>
      <c r="Q9" s="207" t="e">
        <f ca="1"/>
        <v>#N/A</v>
      </c>
      <c r="R9" s="207" t="e">
        <f ca="1"/>
        <v>#N/A</v>
      </c>
      <c r="S9" s="207" t="e">
        <f ca="1"/>
        <v>#N/A</v>
      </c>
      <c r="T9" s="207" t="e">
        <f ca="1"/>
        <v>#N/A</v>
      </c>
      <c r="U9" s="207" t="e">
        <f ca="1"/>
        <v>#N/A</v>
      </c>
      <c r="V9" s="207" t="e">
        <f ca="1"/>
        <v>#N/A</v>
      </c>
      <c r="W9" s="207" t="e">
        <f ca="1"/>
        <v>#N/A</v>
      </c>
      <c r="X9" s="207" t="e">
        <f ca="1"/>
        <v>#N/A</v>
      </c>
      <c r="Y9" s="207" t="e">
        <f ca="1"/>
        <v>#N/A</v>
      </c>
      <c r="Z9" s="207" t="e">
        <f ca="1"/>
        <v>#N/A</v>
      </c>
      <c r="AA9" s="207" t="e">
        <f ca="1"/>
        <v>#N/A</v>
      </c>
      <c r="AB9" s="207" t="e">
        <f ca="1"/>
        <v>#N/A</v>
      </c>
      <c r="AC9" s="207" t="e">
        <f ca="1"/>
        <v>#N/A</v>
      </c>
      <c r="AD9" s="207" t="e">
        <f ca="1"/>
        <v>#N/A</v>
      </c>
      <c r="AE9" s="207" t="e">
        <f ca="1"/>
        <v>#N/A</v>
      </c>
      <c r="AF9" s="207" t="e">
        <f ca="1"/>
        <v>#N/A</v>
      </c>
      <c r="AG9" s="207" t="e">
        <f ca="1"/>
        <v>#N/A</v>
      </c>
      <c r="AH9" s="207" t="e">
        <f ca="1"/>
        <v>#N/A</v>
      </c>
      <c r="AI9" s="207" t="e">
        <f ca="1"/>
        <v>#N/A</v>
      </c>
      <c r="AJ9" s="207" t="e">
        <f ca="1"/>
        <v>#N/A</v>
      </c>
      <c r="AK9" s="207" t="e">
        <f ca="1"/>
        <v>#N/A</v>
      </c>
      <c r="AL9" s="207" t="e">
        <f ca="1"/>
        <v>#N/A</v>
      </c>
      <c r="AM9" s="207" t="e">
        <f ca="1"/>
        <v>#N/A</v>
      </c>
      <c r="AN9" s="207" t="e">
        <f ca="1"/>
        <v>#N/A</v>
      </c>
      <c r="AO9" s="207" t="e">
        <f ca="1"/>
        <v>#N/A</v>
      </c>
      <c r="AP9" s="207" t="e">
        <f ca="1"/>
        <v>#N/A</v>
      </c>
      <c r="AQ9" s="207" t="e">
        <f ca="1"/>
        <v>#N/A</v>
      </c>
      <c r="AR9" s="453">
        <v>8</v>
      </c>
      <c r="AS9" s="207">
        <v>0</v>
      </c>
      <c r="AT9" s="207">
        <v>0</v>
      </c>
      <c r="AU9" s="207">
        <v>0</v>
      </c>
      <c r="AV9" s="207">
        <v>0</v>
      </c>
      <c r="AW9" s="207">
        <v>0</v>
      </c>
      <c r="AX9" s="207">
        <v>0</v>
      </c>
      <c r="AY9" s="207">
        <v>0</v>
      </c>
      <c r="AZ9" s="206">
        <f t="shared" ref="AZ9:BH17" ca="1" si="1">IF(OR(AZ$1&gt;$E$51,$A9&gt;$E$51),0,IF(INDIRECT(ADDRESS(ROW($A$1)+$A9,COLUMN($C$1)+AZ$1))=0,1,0))</f>
        <v>0</v>
      </c>
      <c r="BA9" s="207">
        <v>0</v>
      </c>
      <c r="BB9" s="207">
        <v>0</v>
      </c>
      <c r="BC9" s="207">
        <v>0</v>
      </c>
      <c r="BD9" s="207">
        <v>0</v>
      </c>
      <c r="BE9" s="207">
        <v>0</v>
      </c>
      <c r="BF9" s="207">
        <v>0</v>
      </c>
      <c r="BG9" s="207">
        <v>0</v>
      </c>
      <c r="BH9" s="207">
        <v>0</v>
      </c>
      <c r="BI9" s="207">
        <v>0</v>
      </c>
      <c r="BJ9" s="207">
        <v>0</v>
      </c>
      <c r="BK9" s="207">
        <v>0</v>
      </c>
      <c r="BL9" s="207">
        <v>0</v>
      </c>
      <c r="BM9" s="207">
        <v>0</v>
      </c>
      <c r="BN9" s="207">
        <v>0</v>
      </c>
      <c r="BO9" s="207">
        <v>0</v>
      </c>
      <c r="BP9" s="207">
        <v>0</v>
      </c>
      <c r="BQ9" s="207">
        <v>0</v>
      </c>
      <c r="BR9" s="207">
        <v>0</v>
      </c>
      <c r="BS9" s="207">
        <v>0</v>
      </c>
      <c r="BT9" s="207">
        <v>0</v>
      </c>
      <c r="BU9" s="207">
        <v>0</v>
      </c>
      <c r="BV9" s="207">
        <v>0</v>
      </c>
      <c r="BW9" s="207">
        <v>0</v>
      </c>
      <c r="BX9" s="207">
        <v>0</v>
      </c>
      <c r="BY9" s="207">
        <v>0</v>
      </c>
      <c r="BZ9" s="207">
        <v>0</v>
      </c>
      <c r="CA9" s="207">
        <v>0</v>
      </c>
      <c r="CB9" s="207">
        <v>0</v>
      </c>
      <c r="CC9" s="207">
        <v>0</v>
      </c>
      <c r="CD9" s="207">
        <v>0</v>
      </c>
      <c r="CE9" s="207">
        <v>0</v>
      </c>
      <c r="CF9" s="207">
        <v>0</v>
      </c>
    </row>
    <row r="10" spans="1:84" x14ac:dyDescent="0.2">
      <c r="A10" s="205">
        <v>9</v>
      </c>
      <c r="B10" s="206" t="e">
        <f ca="1"/>
        <v>#N/A</v>
      </c>
      <c r="C10" s="258" t="e">
        <f ca="1"/>
        <v>#N/A</v>
      </c>
      <c r="D10" s="207" t="e">
        <f ca="1"/>
        <v>#N/A</v>
      </c>
      <c r="E10" s="207" t="e">
        <f ca="1"/>
        <v>#N/A</v>
      </c>
      <c r="F10" s="207" t="e">
        <f ca="1"/>
        <v>#N/A</v>
      </c>
      <c r="G10" s="207" t="e">
        <f ca="1"/>
        <v>#N/A</v>
      </c>
      <c r="H10" s="207" t="e">
        <f ca="1"/>
        <v>#N/A</v>
      </c>
      <c r="I10" s="207" t="e">
        <f ca="1"/>
        <v>#N/A</v>
      </c>
      <c r="J10" s="207" t="e">
        <f ca="1"/>
        <v>#N/A</v>
      </c>
      <c r="K10" s="207" t="e">
        <f ca="1"/>
        <v>#N/A</v>
      </c>
      <c r="L10" s="207" t="e">
        <f ca="1"/>
        <v>#N/A</v>
      </c>
      <c r="M10" s="207" t="e">
        <f ca="1"/>
        <v>#N/A</v>
      </c>
      <c r="N10" s="207" t="e">
        <f ca="1"/>
        <v>#N/A</v>
      </c>
      <c r="O10" s="207" t="e">
        <f ca="1"/>
        <v>#N/A</v>
      </c>
      <c r="P10" s="207" t="e">
        <f ca="1"/>
        <v>#N/A</v>
      </c>
      <c r="Q10" s="207" t="e">
        <f ca="1"/>
        <v>#N/A</v>
      </c>
      <c r="R10" s="207" t="e">
        <f ca="1"/>
        <v>#N/A</v>
      </c>
      <c r="S10" s="207" t="e">
        <f ca="1"/>
        <v>#N/A</v>
      </c>
      <c r="T10" s="207" t="e">
        <f ca="1"/>
        <v>#N/A</v>
      </c>
      <c r="U10" s="207" t="e">
        <f ca="1"/>
        <v>#N/A</v>
      </c>
      <c r="V10" s="207" t="e">
        <f ca="1"/>
        <v>#N/A</v>
      </c>
      <c r="W10" s="207" t="e">
        <f ca="1"/>
        <v>#N/A</v>
      </c>
      <c r="X10" s="207" t="e">
        <f ca="1"/>
        <v>#N/A</v>
      </c>
      <c r="Y10" s="207" t="e">
        <f ca="1"/>
        <v>#N/A</v>
      </c>
      <c r="Z10" s="207" t="e">
        <f ca="1"/>
        <v>#N/A</v>
      </c>
      <c r="AA10" s="207" t="e">
        <f ca="1"/>
        <v>#N/A</v>
      </c>
      <c r="AB10" s="207" t="e">
        <f ca="1"/>
        <v>#N/A</v>
      </c>
      <c r="AC10" s="207" t="e">
        <f ca="1"/>
        <v>#N/A</v>
      </c>
      <c r="AD10" s="207" t="e">
        <f ca="1"/>
        <v>#N/A</v>
      </c>
      <c r="AE10" s="207" t="e">
        <f ca="1"/>
        <v>#N/A</v>
      </c>
      <c r="AF10" s="207" t="e">
        <f ca="1"/>
        <v>#N/A</v>
      </c>
      <c r="AG10" s="207" t="e">
        <f ca="1"/>
        <v>#N/A</v>
      </c>
      <c r="AH10" s="207" t="e">
        <f ca="1"/>
        <v>#N/A</v>
      </c>
      <c r="AI10" s="207" t="e">
        <f ca="1"/>
        <v>#N/A</v>
      </c>
      <c r="AJ10" s="207" t="e">
        <f ca="1"/>
        <v>#N/A</v>
      </c>
      <c r="AK10" s="207" t="e">
        <f ca="1"/>
        <v>#N/A</v>
      </c>
      <c r="AL10" s="207" t="e">
        <f ca="1"/>
        <v>#N/A</v>
      </c>
      <c r="AM10" s="207" t="e">
        <f ca="1"/>
        <v>#N/A</v>
      </c>
      <c r="AN10" s="207" t="e">
        <f ca="1"/>
        <v>#N/A</v>
      </c>
      <c r="AO10" s="207" t="e">
        <f ca="1"/>
        <v>#N/A</v>
      </c>
      <c r="AP10" s="207" t="e">
        <f ca="1"/>
        <v>#N/A</v>
      </c>
      <c r="AQ10" s="207" t="e">
        <f ca="1"/>
        <v>#N/A</v>
      </c>
      <c r="AR10" s="453">
        <v>9</v>
      </c>
      <c r="AS10" s="207">
        <v>0</v>
      </c>
      <c r="AT10" s="207">
        <v>0</v>
      </c>
      <c r="AU10" s="207">
        <v>0</v>
      </c>
      <c r="AV10" s="207">
        <v>0</v>
      </c>
      <c r="AW10" s="207">
        <v>0</v>
      </c>
      <c r="AX10" s="207">
        <v>0</v>
      </c>
      <c r="AY10" s="207">
        <v>0</v>
      </c>
      <c r="AZ10" s="207">
        <v>0</v>
      </c>
      <c r="BA10" s="206">
        <f t="shared" ca="1" si="1"/>
        <v>0</v>
      </c>
      <c r="BB10" s="207">
        <v>0</v>
      </c>
      <c r="BC10" s="207">
        <v>0</v>
      </c>
      <c r="BD10" s="207">
        <v>0</v>
      </c>
      <c r="BE10" s="207">
        <v>0</v>
      </c>
      <c r="BF10" s="207">
        <v>0</v>
      </c>
      <c r="BG10" s="207">
        <v>0</v>
      </c>
      <c r="BH10" s="207">
        <v>0</v>
      </c>
      <c r="BI10" s="207">
        <v>0</v>
      </c>
      <c r="BJ10" s="207">
        <v>0</v>
      </c>
      <c r="BK10" s="207">
        <v>0</v>
      </c>
      <c r="BL10" s="207">
        <v>0</v>
      </c>
      <c r="BM10" s="207">
        <v>0</v>
      </c>
      <c r="BN10" s="207">
        <v>0</v>
      </c>
      <c r="BO10" s="207">
        <v>0</v>
      </c>
      <c r="BP10" s="207">
        <v>0</v>
      </c>
      <c r="BQ10" s="207">
        <v>0</v>
      </c>
      <c r="BR10" s="207">
        <v>0</v>
      </c>
      <c r="BS10" s="207">
        <v>0</v>
      </c>
      <c r="BT10" s="207">
        <v>0</v>
      </c>
      <c r="BU10" s="207">
        <v>0</v>
      </c>
      <c r="BV10" s="207">
        <v>0</v>
      </c>
      <c r="BW10" s="207">
        <v>0</v>
      </c>
      <c r="BX10" s="207">
        <v>0</v>
      </c>
      <c r="BY10" s="207">
        <v>0</v>
      </c>
      <c r="BZ10" s="207">
        <v>0</v>
      </c>
      <c r="CA10" s="207">
        <v>0</v>
      </c>
      <c r="CB10" s="207">
        <v>0</v>
      </c>
      <c r="CC10" s="207">
        <v>0</v>
      </c>
      <c r="CD10" s="207">
        <v>0</v>
      </c>
      <c r="CE10" s="207">
        <v>0</v>
      </c>
      <c r="CF10" s="207">
        <v>0</v>
      </c>
    </row>
    <row r="11" spans="1:84" x14ac:dyDescent="0.2">
      <c r="A11" s="205">
        <v>10</v>
      </c>
      <c r="B11" s="206" t="e">
        <f ca="1"/>
        <v>#N/A</v>
      </c>
      <c r="C11" s="258" t="e">
        <f ca="1"/>
        <v>#N/A</v>
      </c>
      <c r="D11" s="207" t="e">
        <f ca="1"/>
        <v>#N/A</v>
      </c>
      <c r="E11" s="207" t="e">
        <f ca="1"/>
        <v>#N/A</v>
      </c>
      <c r="F11" s="207" t="e">
        <f ca="1"/>
        <v>#N/A</v>
      </c>
      <c r="G11" s="207" t="e">
        <f ca="1"/>
        <v>#N/A</v>
      </c>
      <c r="H11" s="207" t="e">
        <f ca="1"/>
        <v>#N/A</v>
      </c>
      <c r="I11" s="207" t="e">
        <f ca="1"/>
        <v>#N/A</v>
      </c>
      <c r="J11" s="207" t="e">
        <f ca="1"/>
        <v>#N/A</v>
      </c>
      <c r="K11" s="207" t="e">
        <f ca="1"/>
        <v>#N/A</v>
      </c>
      <c r="L11" s="207" t="e">
        <f ca="1"/>
        <v>#N/A</v>
      </c>
      <c r="M11" s="207" t="e">
        <f ca="1"/>
        <v>#N/A</v>
      </c>
      <c r="N11" s="207" t="e">
        <f ca="1"/>
        <v>#N/A</v>
      </c>
      <c r="O11" s="207" t="e">
        <f ca="1"/>
        <v>#N/A</v>
      </c>
      <c r="P11" s="207" t="e">
        <f ca="1"/>
        <v>#N/A</v>
      </c>
      <c r="Q11" s="207" t="e">
        <f ca="1"/>
        <v>#N/A</v>
      </c>
      <c r="R11" s="207" t="e">
        <f ca="1"/>
        <v>#N/A</v>
      </c>
      <c r="S11" s="207" t="e">
        <f ca="1"/>
        <v>#N/A</v>
      </c>
      <c r="T11" s="207" t="e">
        <f ca="1"/>
        <v>#N/A</v>
      </c>
      <c r="U11" s="207" t="e">
        <f ca="1"/>
        <v>#N/A</v>
      </c>
      <c r="V11" s="207" t="e">
        <f ca="1"/>
        <v>#N/A</v>
      </c>
      <c r="W11" s="207" t="e">
        <f ca="1"/>
        <v>#N/A</v>
      </c>
      <c r="X11" s="207" t="e">
        <f ca="1"/>
        <v>#N/A</v>
      </c>
      <c r="Y11" s="207" t="e">
        <f ca="1"/>
        <v>#N/A</v>
      </c>
      <c r="Z11" s="207" t="e">
        <f ca="1"/>
        <v>#N/A</v>
      </c>
      <c r="AA11" s="207" t="e">
        <f ca="1"/>
        <v>#N/A</v>
      </c>
      <c r="AB11" s="207" t="e">
        <f ca="1"/>
        <v>#N/A</v>
      </c>
      <c r="AC11" s="207" t="e">
        <f ca="1"/>
        <v>#N/A</v>
      </c>
      <c r="AD11" s="207" t="e">
        <f ca="1"/>
        <v>#N/A</v>
      </c>
      <c r="AE11" s="207" t="e">
        <f ca="1"/>
        <v>#N/A</v>
      </c>
      <c r="AF11" s="207" t="e">
        <f ca="1"/>
        <v>#N/A</v>
      </c>
      <c r="AG11" s="207" t="e">
        <f ca="1"/>
        <v>#N/A</v>
      </c>
      <c r="AH11" s="207" t="e">
        <f ca="1"/>
        <v>#N/A</v>
      </c>
      <c r="AI11" s="207" t="e">
        <f ca="1"/>
        <v>#N/A</v>
      </c>
      <c r="AJ11" s="207" t="e">
        <f ca="1"/>
        <v>#N/A</v>
      </c>
      <c r="AK11" s="207" t="e">
        <f ca="1"/>
        <v>#N/A</v>
      </c>
      <c r="AL11" s="207" t="e">
        <f ca="1"/>
        <v>#N/A</v>
      </c>
      <c r="AM11" s="207" t="e">
        <f ca="1"/>
        <v>#N/A</v>
      </c>
      <c r="AN11" s="207" t="e">
        <f ca="1"/>
        <v>#N/A</v>
      </c>
      <c r="AO11" s="207" t="e">
        <f ca="1"/>
        <v>#N/A</v>
      </c>
      <c r="AP11" s="207" t="e">
        <f ca="1"/>
        <v>#N/A</v>
      </c>
      <c r="AQ11" s="207" t="e">
        <f ca="1"/>
        <v>#N/A</v>
      </c>
      <c r="AR11" s="453">
        <v>10</v>
      </c>
      <c r="AS11" s="207">
        <v>0</v>
      </c>
      <c r="AT11" s="207">
        <v>0</v>
      </c>
      <c r="AU11" s="207">
        <v>0</v>
      </c>
      <c r="AV11" s="207">
        <v>0</v>
      </c>
      <c r="AW11" s="207">
        <v>0</v>
      </c>
      <c r="AX11" s="207">
        <v>0</v>
      </c>
      <c r="AY11" s="207">
        <v>0</v>
      </c>
      <c r="AZ11" s="207">
        <v>0</v>
      </c>
      <c r="BA11" s="207">
        <v>0</v>
      </c>
      <c r="BB11" s="206">
        <f t="shared" ca="1" si="1"/>
        <v>0</v>
      </c>
      <c r="BC11" s="207">
        <v>0</v>
      </c>
      <c r="BD11" s="207">
        <v>0</v>
      </c>
      <c r="BE11" s="207">
        <v>0</v>
      </c>
      <c r="BF11" s="207">
        <v>0</v>
      </c>
      <c r="BG11" s="207">
        <v>0</v>
      </c>
      <c r="BH11" s="207">
        <v>0</v>
      </c>
      <c r="BI11" s="207">
        <v>0</v>
      </c>
      <c r="BJ11" s="207">
        <v>0</v>
      </c>
      <c r="BK11" s="207">
        <v>0</v>
      </c>
      <c r="BL11" s="207">
        <v>0</v>
      </c>
      <c r="BM11" s="207">
        <v>0</v>
      </c>
      <c r="BN11" s="207">
        <v>0</v>
      </c>
      <c r="BO11" s="207">
        <v>0</v>
      </c>
      <c r="BP11" s="207">
        <v>0</v>
      </c>
      <c r="BQ11" s="207">
        <v>0</v>
      </c>
      <c r="BR11" s="207">
        <v>0</v>
      </c>
      <c r="BS11" s="207">
        <v>0</v>
      </c>
      <c r="BT11" s="207">
        <v>0</v>
      </c>
      <c r="BU11" s="207">
        <v>0</v>
      </c>
      <c r="BV11" s="207">
        <v>0</v>
      </c>
      <c r="BW11" s="207">
        <v>0</v>
      </c>
      <c r="BX11" s="207">
        <v>0</v>
      </c>
      <c r="BY11" s="207">
        <v>0</v>
      </c>
      <c r="BZ11" s="207">
        <v>0</v>
      </c>
      <c r="CA11" s="207">
        <v>0</v>
      </c>
      <c r="CB11" s="207">
        <v>0</v>
      </c>
      <c r="CC11" s="207">
        <v>0</v>
      </c>
      <c r="CD11" s="207">
        <v>0</v>
      </c>
      <c r="CE11" s="207">
        <v>0</v>
      </c>
      <c r="CF11" s="207">
        <v>0</v>
      </c>
    </row>
    <row r="12" spans="1:84" x14ac:dyDescent="0.2">
      <c r="A12" s="205">
        <v>11</v>
      </c>
      <c r="B12" s="206" t="e">
        <f ca="1"/>
        <v>#N/A</v>
      </c>
      <c r="C12" s="258" t="e">
        <f ca="1"/>
        <v>#N/A</v>
      </c>
      <c r="D12" s="207" t="e">
        <f ca="1"/>
        <v>#N/A</v>
      </c>
      <c r="E12" s="207" t="e">
        <f ca="1"/>
        <v>#N/A</v>
      </c>
      <c r="F12" s="207" t="e">
        <f ca="1"/>
        <v>#N/A</v>
      </c>
      <c r="G12" s="207" t="e">
        <f ca="1"/>
        <v>#N/A</v>
      </c>
      <c r="H12" s="207" t="e">
        <f ca="1"/>
        <v>#N/A</v>
      </c>
      <c r="I12" s="207" t="e">
        <f ca="1"/>
        <v>#N/A</v>
      </c>
      <c r="J12" s="207" t="e">
        <f ca="1"/>
        <v>#N/A</v>
      </c>
      <c r="K12" s="207" t="e">
        <f ca="1"/>
        <v>#N/A</v>
      </c>
      <c r="L12" s="207" t="e">
        <f ca="1"/>
        <v>#N/A</v>
      </c>
      <c r="M12" s="207" t="e">
        <f ca="1"/>
        <v>#N/A</v>
      </c>
      <c r="N12" s="207" t="e">
        <f ca="1"/>
        <v>#N/A</v>
      </c>
      <c r="O12" s="207" t="e">
        <f ca="1"/>
        <v>#N/A</v>
      </c>
      <c r="P12" s="207" t="e">
        <f ca="1"/>
        <v>#N/A</v>
      </c>
      <c r="Q12" s="207" t="e">
        <f ca="1"/>
        <v>#N/A</v>
      </c>
      <c r="R12" s="207" t="e">
        <f ca="1"/>
        <v>#N/A</v>
      </c>
      <c r="S12" s="207" t="e">
        <f ca="1"/>
        <v>#N/A</v>
      </c>
      <c r="T12" s="207" t="e">
        <f ca="1"/>
        <v>#N/A</v>
      </c>
      <c r="U12" s="207" t="e">
        <f ca="1"/>
        <v>#N/A</v>
      </c>
      <c r="V12" s="207" t="e">
        <f ca="1"/>
        <v>#N/A</v>
      </c>
      <c r="W12" s="207" t="e">
        <f ca="1"/>
        <v>#N/A</v>
      </c>
      <c r="X12" s="207" t="e">
        <f ca="1"/>
        <v>#N/A</v>
      </c>
      <c r="Y12" s="207" t="e">
        <f ca="1"/>
        <v>#N/A</v>
      </c>
      <c r="Z12" s="207" t="e">
        <f ca="1"/>
        <v>#N/A</v>
      </c>
      <c r="AA12" s="207" t="e">
        <f ca="1"/>
        <v>#N/A</v>
      </c>
      <c r="AB12" s="207" t="e">
        <f ca="1"/>
        <v>#N/A</v>
      </c>
      <c r="AC12" s="207" t="e">
        <f ca="1"/>
        <v>#N/A</v>
      </c>
      <c r="AD12" s="207" t="e">
        <f ca="1"/>
        <v>#N/A</v>
      </c>
      <c r="AE12" s="207" t="e">
        <f ca="1"/>
        <v>#N/A</v>
      </c>
      <c r="AF12" s="207" t="e">
        <f ca="1"/>
        <v>#N/A</v>
      </c>
      <c r="AG12" s="207" t="e">
        <f ca="1"/>
        <v>#N/A</v>
      </c>
      <c r="AH12" s="207" t="e">
        <f ca="1"/>
        <v>#N/A</v>
      </c>
      <c r="AI12" s="207" t="e">
        <f ca="1"/>
        <v>#N/A</v>
      </c>
      <c r="AJ12" s="207" t="e">
        <f ca="1"/>
        <v>#N/A</v>
      </c>
      <c r="AK12" s="207" t="e">
        <f ca="1"/>
        <v>#N/A</v>
      </c>
      <c r="AL12" s="207" t="e">
        <f ca="1"/>
        <v>#N/A</v>
      </c>
      <c r="AM12" s="207" t="e">
        <f ca="1"/>
        <v>#N/A</v>
      </c>
      <c r="AN12" s="207" t="e">
        <f ca="1"/>
        <v>#N/A</v>
      </c>
      <c r="AO12" s="207" t="e">
        <f ca="1"/>
        <v>#N/A</v>
      </c>
      <c r="AP12" s="207" t="e">
        <f ca="1"/>
        <v>#N/A</v>
      </c>
      <c r="AQ12" s="207" t="e">
        <f ca="1"/>
        <v>#N/A</v>
      </c>
      <c r="AR12" s="453">
        <v>11</v>
      </c>
      <c r="AS12" s="207">
        <v>0</v>
      </c>
      <c r="AT12" s="207">
        <v>0</v>
      </c>
      <c r="AU12" s="207">
        <v>0</v>
      </c>
      <c r="AV12" s="207">
        <v>0</v>
      </c>
      <c r="AW12" s="207">
        <v>0</v>
      </c>
      <c r="AX12" s="207">
        <v>0</v>
      </c>
      <c r="AY12" s="207">
        <v>0</v>
      </c>
      <c r="AZ12" s="207">
        <v>0</v>
      </c>
      <c r="BA12" s="207">
        <v>0</v>
      </c>
      <c r="BB12" s="207">
        <v>0</v>
      </c>
      <c r="BC12" s="206">
        <f t="shared" ca="1" si="1"/>
        <v>0</v>
      </c>
      <c r="BD12" s="207">
        <v>0</v>
      </c>
      <c r="BE12" s="207">
        <v>0</v>
      </c>
      <c r="BF12" s="207">
        <v>0</v>
      </c>
      <c r="BG12" s="207">
        <v>0</v>
      </c>
      <c r="BH12" s="207">
        <v>0</v>
      </c>
      <c r="BI12" s="207">
        <v>0</v>
      </c>
      <c r="BJ12" s="207">
        <v>0</v>
      </c>
      <c r="BK12" s="207">
        <v>0</v>
      </c>
      <c r="BL12" s="207">
        <v>0</v>
      </c>
      <c r="BM12" s="207">
        <v>0</v>
      </c>
      <c r="BN12" s="207">
        <v>0</v>
      </c>
      <c r="BO12" s="207">
        <v>0</v>
      </c>
      <c r="BP12" s="207">
        <v>0</v>
      </c>
      <c r="BQ12" s="207">
        <v>0</v>
      </c>
      <c r="BR12" s="207">
        <v>0</v>
      </c>
      <c r="BS12" s="207">
        <v>0</v>
      </c>
      <c r="BT12" s="207">
        <v>0</v>
      </c>
      <c r="BU12" s="207">
        <v>0</v>
      </c>
      <c r="BV12" s="207">
        <v>0</v>
      </c>
      <c r="BW12" s="207">
        <v>0</v>
      </c>
      <c r="BX12" s="207">
        <v>0</v>
      </c>
      <c r="BY12" s="207">
        <v>0</v>
      </c>
      <c r="BZ12" s="207">
        <v>0</v>
      </c>
      <c r="CA12" s="207">
        <v>0</v>
      </c>
      <c r="CB12" s="207">
        <v>0</v>
      </c>
      <c r="CC12" s="207">
        <v>0</v>
      </c>
      <c r="CD12" s="207">
        <v>0</v>
      </c>
      <c r="CE12" s="207">
        <v>0</v>
      </c>
      <c r="CF12" s="207">
        <v>0</v>
      </c>
    </row>
    <row r="13" spans="1:84" x14ac:dyDescent="0.2">
      <c r="A13" s="205">
        <v>12</v>
      </c>
      <c r="B13" s="206" t="e">
        <f ca="1"/>
        <v>#N/A</v>
      </c>
      <c r="C13" s="258" t="e">
        <f ca="1"/>
        <v>#N/A</v>
      </c>
      <c r="D13" s="207" t="e">
        <f ca="1"/>
        <v>#N/A</v>
      </c>
      <c r="E13" s="207" t="e">
        <f ca="1"/>
        <v>#N/A</v>
      </c>
      <c r="F13" s="207" t="e">
        <f ca="1"/>
        <v>#N/A</v>
      </c>
      <c r="G13" s="207" t="e">
        <f ca="1"/>
        <v>#N/A</v>
      </c>
      <c r="H13" s="207" t="e">
        <f ca="1"/>
        <v>#N/A</v>
      </c>
      <c r="I13" s="207" t="e">
        <f ca="1"/>
        <v>#N/A</v>
      </c>
      <c r="J13" s="207" t="e">
        <f ca="1"/>
        <v>#N/A</v>
      </c>
      <c r="K13" s="207" t="e">
        <f ca="1"/>
        <v>#N/A</v>
      </c>
      <c r="L13" s="207" t="e">
        <f ca="1"/>
        <v>#N/A</v>
      </c>
      <c r="M13" s="207" t="e">
        <f ca="1"/>
        <v>#N/A</v>
      </c>
      <c r="N13" s="207" t="e">
        <f ca="1"/>
        <v>#N/A</v>
      </c>
      <c r="O13" s="207" t="e">
        <f ca="1"/>
        <v>#N/A</v>
      </c>
      <c r="P13" s="207" t="e">
        <f ca="1"/>
        <v>#N/A</v>
      </c>
      <c r="Q13" s="207" t="e">
        <f ca="1"/>
        <v>#N/A</v>
      </c>
      <c r="R13" s="207" t="e">
        <f ca="1"/>
        <v>#N/A</v>
      </c>
      <c r="S13" s="207" t="e">
        <f ca="1"/>
        <v>#N/A</v>
      </c>
      <c r="T13" s="207" t="e">
        <f ca="1"/>
        <v>#N/A</v>
      </c>
      <c r="U13" s="207" t="e">
        <f ca="1"/>
        <v>#N/A</v>
      </c>
      <c r="V13" s="207" t="e">
        <f ca="1"/>
        <v>#N/A</v>
      </c>
      <c r="W13" s="207" t="e">
        <f ca="1"/>
        <v>#N/A</v>
      </c>
      <c r="X13" s="207" t="e">
        <f ca="1"/>
        <v>#N/A</v>
      </c>
      <c r="Y13" s="207" t="e">
        <f ca="1"/>
        <v>#N/A</v>
      </c>
      <c r="Z13" s="207" t="e">
        <f ca="1"/>
        <v>#N/A</v>
      </c>
      <c r="AA13" s="207" t="e">
        <f ca="1"/>
        <v>#N/A</v>
      </c>
      <c r="AB13" s="207" t="e">
        <f ca="1"/>
        <v>#N/A</v>
      </c>
      <c r="AC13" s="207" t="e">
        <f ca="1"/>
        <v>#N/A</v>
      </c>
      <c r="AD13" s="207" t="e">
        <f ca="1"/>
        <v>#N/A</v>
      </c>
      <c r="AE13" s="207" t="e">
        <f ca="1"/>
        <v>#N/A</v>
      </c>
      <c r="AF13" s="207" t="e">
        <f ca="1"/>
        <v>#N/A</v>
      </c>
      <c r="AG13" s="207" t="e">
        <f ca="1"/>
        <v>#N/A</v>
      </c>
      <c r="AH13" s="207" t="e">
        <f ca="1"/>
        <v>#N/A</v>
      </c>
      <c r="AI13" s="207" t="e">
        <f ca="1"/>
        <v>#N/A</v>
      </c>
      <c r="AJ13" s="207" t="e">
        <f ca="1"/>
        <v>#N/A</v>
      </c>
      <c r="AK13" s="207" t="e">
        <f ca="1"/>
        <v>#N/A</v>
      </c>
      <c r="AL13" s="207" t="e">
        <f ca="1"/>
        <v>#N/A</v>
      </c>
      <c r="AM13" s="207" t="e">
        <f ca="1"/>
        <v>#N/A</v>
      </c>
      <c r="AN13" s="207" t="e">
        <f ca="1"/>
        <v>#N/A</v>
      </c>
      <c r="AO13" s="207" t="e">
        <f ca="1"/>
        <v>#N/A</v>
      </c>
      <c r="AP13" s="207" t="e">
        <f ca="1"/>
        <v>#N/A</v>
      </c>
      <c r="AQ13" s="207" t="e">
        <f ca="1"/>
        <v>#N/A</v>
      </c>
      <c r="AR13" s="453">
        <v>12</v>
      </c>
      <c r="AS13" s="207">
        <v>0</v>
      </c>
      <c r="AT13" s="207">
        <v>0</v>
      </c>
      <c r="AU13" s="207">
        <v>0</v>
      </c>
      <c r="AV13" s="207">
        <v>0</v>
      </c>
      <c r="AW13" s="207">
        <v>0</v>
      </c>
      <c r="AX13" s="207">
        <v>0</v>
      </c>
      <c r="AY13" s="207">
        <v>0</v>
      </c>
      <c r="AZ13" s="207">
        <v>0</v>
      </c>
      <c r="BA13" s="207">
        <v>0</v>
      </c>
      <c r="BB13" s="207">
        <v>0</v>
      </c>
      <c r="BC13" s="207">
        <v>0</v>
      </c>
      <c r="BD13" s="206">
        <f t="shared" ca="1" si="1"/>
        <v>0</v>
      </c>
      <c r="BE13" s="207">
        <v>0</v>
      </c>
      <c r="BF13" s="207">
        <v>0</v>
      </c>
      <c r="BG13" s="207">
        <v>0</v>
      </c>
      <c r="BH13" s="207">
        <v>0</v>
      </c>
      <c r="BI13" s="207">
        <v>0</v>
      </c>
      <c r="BJ13" s="207">
        <v>0</v>
      </c>
      <c r="BK13" s="207">
        <v>0</v>
      </c>
      <c r="BL13" s="207">
        <v>0</v>
      </c>
      <c r="BM13" s="207">
        <v>0</v>
      </c>
      <c r="BN13" s="207">
        <v>0</v>
      </c>
      <c r="BO13" s="207">
        <v>0</v>
      </c>
      <c r="BP13" s="207">
        <v>0</v>
      </c>
      <c r="BQ13" s="207">
        <v>0</v>
      </c>
      <c r="BR13" s="207">
        <v>0</v>
      </c>
      <c r="BS13" s="207">
        <v>0</v>
      </c>
      <c r="BT13" s="207">
        <v>0</v>
      </c>
      <c r="BU13" s="207">
        <v>0</v>
      </c>
      <c r="BV13" s="207">
        <v>0</v>
      </c>
      <c r="BW13" s="207">
        <v>0</v>
      </c>
      <c r="BX13" s="207">
        <v>0</v>
      </c>
      <c r="BY13" s="207">
        <v>0</v>
      </c>
      <c r="BZ13" s="207">
        <v>0</v>
      </c>
      <c r="CA13" s="207">
        <v>0</v>
      </c>
      <c r="CB13" s="207">
        <v>0</v>
      </c>
      <c r="CC13" s="207">
        <v>0</v>
      </c>
      <c r="CD13" s="207">
        <v>0</v>
      </c>
      <c r="CE13" s="207">
        <v>0</v>
      </c>
      <c r="CF13" s="207">
        <v>0</v>
      </c>
    </row>
    <row r="14" spans="1:84" x14ac:dyDescent="0.2">
      <c r="A14" s="205">
        <v>13</v>
      </c>
      <c r="B14" s="206" t="e">
        <f ca="1"/>
        <v>#N/A</v>
      </c>
      <c r="C14" s="258" t="e">
        <f ca="1"/>
        <v>#N/A</v>
      </c>
      <c r="D14" s="207" t="e">
        <f ca="1"/>
        <v>#N/A</v>
      </c>
      <c r="E14" s="207" t="e">
        <f ca="1"/>
        <v>#N/A</v>
      </c>
      <c r="F14" s="207" t="e">
        <f ca="1"/>
        <v>#N/A</v>
      </c>
      <c r="G14" s="207" t="e">
        <f ca="1"/>
        <v>#N/A</v>
      </c>
      <c r="H14" s="207" t="e">
        <f ca="1"/>
        <v>#N/A</v>
      </c>
      <c r="I14" s="207" t="e">
        <f ca="1"/>
        <v>#N/A</v>
      </c>
      <c r="J14" s="207" t="e">
        <f ca="1"/>
        <v>#N/A</v>
      </c>
      <c r="K14" s="207" t="e">
        <f ca="1"/>
        <v>#N/A</v>
      </c>
      <c r="L14" s="207" t="e">
        <f ca="1"/>
        <v>#N/A</v>
      </c>
      <c r="M14" s="207" t="e">
        <f ca="1"/>
        <v>#N/A</v>
      </c>
      <c r="N14" s="207" t="e">
        <f ca="1"/>
        <v>#N/A</v>
      </c>
      <c r="O14" s="207" t="e">
        <f ca="1"/>
        <v>#N/A</v>
      </c>
      <c r="P14" s="207" t="e">
        <f ca="1"/>
        <v>#N/A</v>
      </c>
      <c r="Q14" s="207" t="e">
        <f ca="1"/>
        <v>#N/A</v>
      </c>
      <c r="R14" s="207" t="e">
        <f ca="1"/>
        <v>#N/A</v>
      </c>
      <c r="S14" s="207" t="e">
        <f ca="1"/>
        <v>#N/A</v>
      </c>
      <c r="T14" s="207" t="e">
        <f ca="1"/>
        <v>#N/A</v>
      </c>
      <c r="U14" s="207" t="e">
        <f ca="1"/>
        <v>#N/A</v>
      </c>
      <c r="V14" s="207" t="e">
        <f ca="1"/>
        <v>#N/A</v>
      </c>
      <c r="W14" s="207" t="e">
        <f ca="1"/>
        <v>#N/A</v>
      </c>
      <c r="X14" s="207" t="e">
        <f ca="1"/>
        <v>#N/A</v>
      </c>
      <c r="Y14" s="207" t="e">
        <f ca="1"/>
        <v>#N/A</v>
      </c>
      <c r="Z14" s="207" t="e">
        <f ca="1"/>
        <v>#N/A</v>
      </c>
      <c r="AA14" s="207" t="e">
        <f ca="1"/>
        <v>#N/A</v>
      </c>
      <c r="AB14" s="207" t="e">
        <f ca="1"/>
        <v>#N/A</v>
      </c>
      <c r="AC14" s="207" t="e">
        <f ca="1"/>
        <v>#N/A</v>
      </c>
      <c r="AD14" s="207" t="e">
        <f ca="1"/>
        <v>#N/A</v>
      </c>
      <c r="AE14" s="207" t="e">
        <f ca="1"/>
        <v>#N/A</v>
      </c>
      <c r="AF14" s="207" t="e">
        <f ca="1"/>
        <v>#N/A</v>
      </c>
      <c r="AG14" s="207" t="e">
        <f ca="1"/>
        <v>#N/A</v>
      </c>
      <c r="AH14" s="207" t="e">
        <f ca="1"/>
        <v>#N/A</v>
      </c>
      <c r="AI14" s="207" t="e">
        <f ca="1"/>
        <v>#N/A</v>
      </c>
      <c r="AJ14" s="207" t="e">
        <f ca="1"/>
        <v>#N/A</v>
      </c>
      <c r="AK14" s="207" t="e">
        <f ca="1"/>
        <v>#N/A</v>
      </c>
      <c r="AL14" s="207" t="e">
        <f ca="1"/>
        <v>#N/A</v>
      </c>
      <c r="AM14" s="207" t="e">
        <f ca="1"/>
        <v>#N/A</v>
      </c>
      <c r="AN14" s="207" t="e">
        <f ca="1"/>
        <v>#N/A</v>
      </c>
      <c r="AO14" s="207" t="e">
        <f ca="1"/>
        <v>#N/A</v>
      </c>
      <c r="AP14" s="207" t="e">
        <f ca="1"/>
        <v>#N/A</v>
      </c>
      <c r="AQ14" s="207" t="e">
        <f ca="1"/>
        <v>#N/A</v>
      </c>
      <c r="AR14" s="453">
        <v>13</v>
      </c>
      <c r="AS14" s="207">
        <v>0</v>
      </c>
      <c r="AT14" s="207">
        <v>0</v>
      </c>
      <c r="AU14" s="207">
        <v>0</v>
      </c>
      <c r="AV14" s="207">
        <v>0</v>
      </c>
      <c r="AW14" s="207">
        <v>0</v>
      </c>
      <c r="AX14" s="207">
        <v>0</v>
      </c>
      <c r="AY14" s="207">
        <v>0</v>
      </c>
      <c r="AZ14" s="207">
        <v>0</v>
      </c>
      <c r="BA14" s="207">
        <v>0</v>
      </c>
      <c r="BB14" s="207">
        <v>0</v>
      </c>
      <c r="BC14" s="207">
        <v>0</v>
      </c>
      <c r="BD14" s="207">
        <v>0</v>
      </c>
      <c r="BE14" s="206">
        <f t="shared" ca="1" si="1"/>
        <v>0</v>
      </c>
      <c r="BF14" s="207">
        <v>0</v>
      </c>
      <c r="BG14" s="207">
        <v>0</v>
      </c>
      <c r="BH14" s="207">
        <v>0</v>
      </c>
      <c r="BI14" s="207">
        <v>0</v>
      </c>
      <c r="BJ14" s="207">
        <v>0</v>
      </c>
      <c r="BK14" s="207">
        <v>0</v>
      </c>
      <c r="BL14" s="207">
        <v>0</v>
      </c>
      <c r="BM14" s="207">
        <v>0</v>
      </c>
      <c r="BN14" s="207">
        <v>0</v>
      </c>
      <c r="BO14" s="207">
        <v>0</v>
      </c>
      <c r="BP14" s="207">
        <v>0</v>
      </c>
      <c r="BQ14" s="207">
        <v>0</v>
      </c>
      <c r="BR14" s="207">
        <v>0</v>
      </c>
      <c r="BS14" s="207">
        <v>0</v>
      </c>
      <c r="BT14" s="207">
        <v>0</v>
      </c>
      <c r="BU14" s="207">
        <v>0</v>
      </c>
      <c r="BV14" s="207">
        <v>0</v>
      </c>
      <c r="BW14" s="207">
        <v>0</v>
      </c>
      <c r="BX14" s="207">
        <v>0</v>
      </c>
      <c r="BY14" s="207">
        <v>0</v>
      </c>
      <c r="BZ14" s="207">
        <v>0</v>
      </c>
      <c r="CA14" s="207">
        <v>0</v>
      </c>
      <c r="CB14" s="207">
        <v>0</v>
      </c>
      <c r="CC14" s="207">
        <v>0</v>
      </c>
      <c r="CD14" s="207">
        <v>0</v>
      </c>
      <c r="CE14" s="207">
        <v>0</v>
      </c>
      <c r="CF14" s="207">
        <v>0</v>
      </c>
    </row>
    <row r="15" spans="1:84" x14ac:dyDescent="0.2">
      <c r="A15" s="205">
        <v>14</v>
      </c>
      <c r="B15" s="206" t="e">
        <f ca="1"/>
        <v>#N/A</v>
      </c>
      <c r="C15" s="258" t="e">
        <f ca="1"/>
        <v>#N/A</v>
      </c>
      <c r="D15" s="207" t="e">
        <f ca="1"/>
        <v>#N/A</v>
      </c>
      <c r="E15" s="207" t="e">
        <f ca="1"/>
        <v>#N/A</v>
      </c>
      <c r="F15" s="207" t="e">
        <f ca="1"/>
        <v>#N/A</v>
      </c>
      <c r="G15" s="207" t="e">
        <f ca="1"/>
        <v>#N/A</v>
      </c>
      <c r="H15" s="207" t="e">
        <f ca="1"/>
        <v>#N/A</v>
      </c>
      <c r="I15" s="207" t="e">
        <f ca="1"/>
        <v>#N/A</v>
      </c>
      <c r="J15" s="207" t="e">
        <f ca="1"/>
        <v>#N/A</v>
      </c>
      <c r="K15" s="207" t="e">
        <f ca="1"/>
        <v>#N/A</v>
      </c>
      <c r="L15" s="207" t="e">
        <f ca="1"/>
        <v>#N/A</v>
      </c>
      <c r="M15" s="207" t="e">
        <f ca="1"/>
        <v>#N/A</v>
      </c>
      <c r="N15" s="207" t="e">
        <f ca="1"/>
        <v>#N/A</v>
      </c>
      <c r="O15" s="207" t="e">
        <f ca="1"/>
        <v>#N/A</v>
      </c>
      <c r="P15" s="207" t="e">
        <f ca="1"/>
        <v>#N/A</v>
      </c>
      <c r="Q15" s="207" t="e">
        <f ca="1"/>
        <v>#N/A</v>
      </c>
      <c r="R15" s="207" t="e">
        <f ca="1"/>
        <v>#N/A</v>
      </c>
      <c r="S15" s="207" t="e">
        <f ca="1"/>
        <v>#N/A</v>
      </c>
      <c r="T15" s="207" t="e">
        <f ca="1"/>
        <v>#N/A</v>
      </c>
      <c r="U15" s="207" t="e">
        <f ca="1"/>
        <v>#N/A</v>
      </c>
      <c r="V15" s="207" t="e">
        <f ca="1"/>
        <v>#N/A</v>
      </c>
      <c r="W15" s="207" t="e">
        <f ca="1"/>
        <v>#N/A</v>
      </c>
      <c r="X15" s="207" t="e">
        <f ca="1"/>
        <v>#N/A</v>
      </c>
      <c r="Y15" s="207" t="e">
        <f ca="1"/>
        <v>#N/A</v>
      </c>
      <c r="Z15" s="207" t="e">
        <f ca="1"/>
        <v>#N/A</v>
      </c>
      <c r="AA15" s="207" t="e">
        <f ca="1"/>
        <v>#N/A</v>
      </c>
      <c r="AB15" s="207" t="e">
        <f ca="1"/>
        <v>#N/A</v>
      </c>
      <c r="AC15" s="207" t="e">
        <f ca="1"/>
        <v>#N/A</v>
      </c>
      <c r="AD15" s="207" t="e">
        <f ca="1"/>
        <v>#N/A</v>
      </c>
      <c r="AE15" s="207" t="e">
        <f ca="1"/>
        <v>#N/A</v>
      </c>
      <c r="AF15" s="207" t="e">
        <f ca="1"/>
        <v>#N/A</v>
      </c>
      <c r="AG15" s="207" t="e">
        <f ca="1"/>
        <v>#N/A</v>
      </c>
      <c r="AH15" s="207" t="e">
        <f ca="1"/>
        <v>#N/A</v>
      </c>
      <c r="AI15" s="207" t="e">
        <f ca="1"/>
        <v>#N/A</v>
      </c>
      <c r="AJ15" s="207" t="e">
        <f ca="1"/>
        <v>#N/A</v>
      </c>
      <c r="AK15" s="207" t="e">
        <f ca="1"/>
        <v>#N/A</v>
      </c>
      <c r="AL15" s="207" t="e">
        <f ca="1"/>
        <v>#N/A</v>
      </c>
      <c r="AM15" s="207" t="e">
        <f ca="1"/>
        <v>#N/A</v>
      </c>
      <c r="AN15" s="207" t="e">
        <f ca="1"/>
        <v>#N/A</v>
      </c>
      <c r="AO15" s="207" t="e">
        <f ca="1"/>
        <v>#N/A</v>
      </c>
      <c r="AP15" s="207" t="e">
        <f ca="1"/>
        <v>#N/A</v>
      </c>
      <c r="AQ15" s="207" t="e">
        <f ca="1"/>
        <v>#N/A</v>
      </c>
      <c r="AR15" s="453">
        <v>14</v>
      </c>
      <c r="AS15" s="207">
        <v>0</v>
      </c>
      <c r="AT15" s="207">
        <v>0</v>
      </c>
      <c r="AU15" s="207">
        <v>0</v>
      </c>
      <c r="AV15" s="207">
        <v>0</v>
      </c>
      <c r="AW15" s="207">
        <v>0</v>
      </c>
      <c r="AX15" s="207">
        <v>0</v>
      </c>
      <c r="AY15" s="207">
        <v>0</v>
      </c>
      <c r="AZ15" s="207">
        <v>0</v>
      </c>
      <c r="BA15" s="207">
        <v>0</v>
      </c>
      <c r="BB15" s="207">
        <v>0</v>
      </c>
      <c r="BC15" s="207">
        <v>0</v>
      </c>
      <c r="BD15" s="207">
        <v>0</v>
      </c>
      <c r="BE15" s="207">
        <v>0</v>
      </c>
      <c r="BF15" s="206">
        <f t="shared" ca="1" si="1"/>
        <v>0</v>
      </c>
      <c r="BG15" s="207">
        <v>0</v>
      </c>
      <c r="BH15" s="207">
        <v>0</v>
      </c>
      <c r="BI15" s="207">
        <v>0</v>
      </c>
      <c r="BJ15" s="207">
        <v>0</v>
      </c>
      <c r="BK15" s="207">
        <v>0</v>
      </c>
      <c r="BL15" s="207">
        <v>0</v>
      </c>
      <c r="BM15" s="207">
        <v>0</v>
      </c>
      <c r="BN15" s="207">
        <v>0</v>
      </c>
      <c r="BO15" s="207">
        <v>0</v>
      </c>
      <c r="BP15" s="207">
        <v>0</v>
      </c>
      <c r="BQ15" s="207">
        <v>0</v>
      </c>
      <c r="BR15" s="207">
        <v>0</v>
      </c>
      <c r="BS15" s="207">
        <v>0</v>
      </c>
      <c r="BT15" s="207">
        <v>0</v>
      </c>
      <c r="BU15" s="207">
        <v>0</v>
      </c>
      <c r="BV15" s="207">
        <v>0</v>
      </c>
      <c r="BW15" s="207">
        <v>0</v>
      </c>
      <c r="BX15" s="207">
        <v>0</v>
      </c>
      <c r="BY15" s="207">
        <v>0</v>
      </c>
      <c r="BZ15" s="207">
        <v>0</v>
      </c>
      <c r="CA15" s="207">
        <v>0</v>
      </c>
      <c r="CB15" s="207">
        <v>0</v>
      </c>
      <c r="CC15" s="207">
        <v>0</v>
      </c>
      <c r="CD15" s="207">
        <v>0</v>
      </c>
      <c r="CE15" s="207">
        <v>0</v>
      </c>
      <c r="CF15" s="207">
        <v>0</v>
      </c>
    </row>
    <row r="16" spans="1:84" x14ac:dyDescent="0.2">
      <c r="A16" s="205">
        <v>15</v>
      </c>
      <c r="B16" s="206" t="e">
        <f ca="1"/>
        <v>#N/A</v>
      </c>
      <c r="C16" s="258" t="e">
        <f ca="1"/>
        <v>#N/A</v>
      </c>
      <c r="D16" s="207" t="e">
        <f ca="1"/>
        <v>#N/A</v>
      </c>
      <c r="E16" s="207" t="e">
        <f ca="1"/>
        <v>#N/A</v>
      </c>
      <c r="F16" s="207" t="e">
        <f ca="1"/>
        <v>#N/A</v>
      </c>
      <c r="G16" s="207" t="e">
        <f ca="1"/>
        <v>#N/A</v>
      </c>
      <c r="H16" s="207" t="e">
        <f ca="1"/>
        <v>#N/A</v>
      </c>
      <c r="I16" s="207" t="e">
        <f ca="1"/>
        <v>#N/A</v>
      </c>
      <c r="J16" s="207" t="e">
        <f ca="1"/>
        <v>#N/A</v>
      </c>
      <c r="K16" s="207" t="e">
        <f ca="1"/>
        <v>#N/A</v>
      </c>
      <c r="L16" s="207" t="e">
        <f ca="1"/>
        <v>#N/A</v>
      </c>
      <c r="M16" s="207" t="e">
        <f ca="1"/>
        <v>#N/A</v>
      </c>
      <c r="N16" s="207" t="e">
        <f ca="1"/>
        <v>#N/A</v>
      </c>
      <c r="O16" s="207" t="e">
        <f ca="1"/>
        <v>#N/A</v>
      </c>
      <c r="P16" s="207" t="e">
        <f ca="1"/>
        <v>#N/A</v>
      </c>
      <c r="Q16" s="207" t="e">
        <f ca="1"/>
        <v>#N/A</v>
      </c>
      <c r="R16" s="207" t="e">
        <f ca="1"/>
        <v>#N/A</v>
      </c>
      <c r="S16" s="207" t="e">
        <f ca="1"/>
        <v>#N/A</v>
      </c>
      <c r="T16" s="207" t="e">
        <f ca="1"/>
        <v>#N/A</v>
      </c>
      <c r="U16" s="207" t="e">
        <f ca="1"/>
        <v>#N/A</v>
      </c>
      <c r="V16" s="207" t="e">
        <f ca="1"/>
        <v>#N/A</v>
      </c>
      <c r="W16" s="207" t="e">
        <f ca="1"/>
        <v>#N/A</v>
      </c>
      <c r="X16" s="207" t="e">
        <f ca="1"/>
        <v>#N/A</v>
      </c>
      <c r="Y16" s="207" t="e">
        <f ca="1"/>
        <v>#N/A</v>
      </c>
      <c r="Z16" s="207" t="e">
        <f ca="1"/>
        <v>#N/A</v>
      </c>
      <c r="AA16" s="207" t="e">
        <f ca="1"/>
        <v>#N/A</v>
      </c>
      <c r="AB16" s="207" t="e">
        <f ca="1"/>
        <v>#N/A</v>
      </c>
      <c r="AC16" s="207" t="e">
        <f ca="1"/>
        <v>#N/A</v>
      </c>
      <c r="AD16" s="207" t="e">
        <f ca="1"/>
        <v>#N/A</v>
      </c>
      <c r="AE16" s="207" t="e">
        <f ca="1"/>
        <v>#N/A</v>
      </c>
      <c r="AF16" s="207" t="e">
        <f ca="1"/>
        <v>#N/A</v>
      </c>
      <c r="AG16" s="207" t="e">
        <f ca="1"/>
        <v>#N/A</v>
      </c>
      <c r="AH16" s="207" t="e">
        <f ca="1"/>
        <v>#N/A</v>
      </c>
      <c r="AI16" s="207" t="e">
        <f ca="1"/>
        <v>#N/A</v>
      </c>
      <c r="AJ16" s="207" t="e">
        <f ca="1"/>
        <v>#N/A</v>
      </c>
      <c r="AK16" s="207" t="e">
        <f ca="1"/>
        <v>#N/A</v>
      </c>
      <c r="AL16" s="207" t="e">
        <f ca="1"/>
        <v>#N/A</v>
      </c>
      <c r="AM16" s="207" t="e">
        <f ca="1"/>
        <v>#N/A</v>
      </c>
      <c r="AN16" s="207" t="e">
        <f ca="1"/>
        <v>#N/A</v>
      </c>
      <c r="AO16" s="207" t="e">
        <f ca="1"/>
        <v>#N/A</v>
      </c>
      <c r="AP16" s="207" t="e">
        <f ca="1"/>
        <v>#N/A</v>
      </c>
      <c r="AQ16" s="207" t="e">
        <f ca="1"/>
        <v>#N/A</v>
      </c>
      <c r="AR16" s="453">
        <v>15</v>
      </c>
      <c r="AS16" s="207">
        <v>0</v>
      </c>
      <c r="AT16" s="207">
        <v>0</v>
      </c>
      <c r="AU16" s="207">
        <v>0</v>
      </c>
      <c r="AV16" s="207">
        <v>0</v>
      </c>
      <c r="AW16" s="207">
        <v>0</v>
      </c>
      <c r="AX16" s="207">
        <v>0</v>
      </c>
      <c r="AY16" s="207">
        <v>0</v>
      </c>
      <c r="AZ16" s="207">
        <v>0</v>
      </c>
      <c r="BA16" s="207">
        <v>0</v>
      </c>
      <c r="BB16" s="207">
        <v>0</v>
      </c>
      <c r="BC16" s="207">
        <v>0</v>
      </c>
      <c r="BD16" s="207">
        <v>0</v>
      </c>
      <c r="BE16" s="207">
        <v>0</v>
      </c>
      <c r="BF16" s="207">
        <v>0</v>
      </c>
      <c r="BG16" s="206">
        <f t="shared" ca="1" si="1"/>
        <v>0</v>
      </c>
      <c r="BH16" s="207">
        <v>0</v>
      </c>
      <c r="BI16" s="207">
        <v>0</v>
      </c>
      <c r="BJ16" s="207">
        <v>0</v>
      </c>
      <c r="BK16" s="207">
        <v>0</v>
      </c>
      <c r="BL16" s="207">
        <v>0</v>
      </c>
      <c r="BM16" s="207">
        <v>0</v>
      </c>
      <c r="BN16" s="207">
        <v>0</v>
      </c>
      <c r="BO16" s="207">
        <v>0</v>
      </c>
      <c r="BP16" s="207">
        <v>0</v>
      </c>
      <c r="BQ16" s="207">
        <v>0</v>
      </c>
      <c r="BR16" s="207">
        <v>0</v>
      </c>
      <c r="BS16" s="207">
        <v>0</v>
      </c>
      <c r="BT16" s="207">
        <v>0</v>
      </c>
      <c r="BU16" s="207">
        <v>0</v>
      </c>
      <c r="BV16" s="207">
        <v>0</v>
      </c>
      <c r="BW16" s="207">
        <v>0</v>
      </c>
      <c r="BX16" s="207">
        <v>0</v>
      </c>
      <c r="BY16" s="207">
        <v>0</v>
      </c>
      <c r="BZ16" s="207">
        <v>0</v>
      </c>
      <c r="CA16" s="207">
        <v>0</v>
      </c>
      <c r="CB16" s="207">
        <v>0</v>
      </c>
      <c r="CC16" s="207">
        <v>0</v>
      </c>
      <c r="CD16" s="207">
        <v>0</v>
      </c>
      <c r="CE16" s="207">
        <v>0</v>
      </c>
      <c r="CF16" s="207">
        <v>0</v>
      </c>
    </row>
    <row r="17" spans="1:84" x14ac:dyDescent="0.2">
      <c r="A17" s="205">
        <v>16</v>
      </c>
      <c r="B17" s="206" t="e">
        <f ca="1"/>
        <v>#N/A</v>
      </c>
      <c r="C17" s="258" t="e">
        <f ca="1"/>
        <v>#N/A</v>
      </c>
      <c r="D17" s="207" t="e">
        <f ca="1"/>
        <v>#N/A</v>
      </c>
      <c r="E17" s="207" t="e">
        <f ca="1"/>
        <v>#N/A</v>
      </c>
      <c r="F17" s="207" t="e">
        <f ca="1"/>
        <v>#N/A</v>
      </c>
      <c r="G17" s="207" t="e">
        <f ca="1"/>
        <v>#N/A</v>
      </c>
      <c r="H17" s="207" t="e">
        <f ca="1"/>
        <v>#N/A</v>
      </c>
      <c r="I17" s="207" t="e">
        <f ca="1"/>
        <v>#N/A</v>
      </c>
      <c r="J17" s="207" t="e">
        <f ca="1"/>
        <v>#N/A</v>
      </c>
      <c r="K17" s="207" t="e">
        <f ca="1"/>
        <v>#N/A</v>
      </c>
      <c r="L17" s="207" t="e">
        <f ca="1"/>
        <v>#N/A</v>
      </c>
      <c r="M17" s="207" t="e">
        <f ca="1"/>
        <v>#N/A</v>
      </c>
      <c r="N17" s="207" t="e">
        <f ca="1"/>
        <v>#N/A</v>
      </c>
      <c r="O17" s="207" t="e">
        <f ca="1"/>
        <v>#N/A</v>
      </c>
      <c r="P17" s="207" t="e">
        <f ca="1"/>
        <v>#N/A</v>
      </c>
      <c r="Q17" s="207" t="e">
        <f ca="1"/>
        <v>#N/A</v>
      </c>
      <c r="R17" s="207" t="e">
        <f ca="1"/>
        <v>#N/A</v>
      </c>
      <c r="S17" s="207" t="e">
        <f ca="1"/>
        <v>#N/A</v>
      </c>
      <c r="T17" s="207" t="e">
        <f ca="1"/>
        <v>#N/A</v>
      </c>
      <c r="U17" s="207" t="e">
        <f ca="1"/>
        <v>#N/A</v>
      </c>
      <c r="V17" s="207" t="e">
        <f ca="1"/>
        <v>#N/A</v>
      </c>
      <c r="W17" s="207" t="e">
        <f ca="1"/>
        <v>#N/A</v>
      </c>
      <c r="X17" s="207" t="e">
        <f ca="1"/>
        <v>#N/A</v>
      </c>
      <c r="Y17" s="207" t="e">
        <f ca="1"/>
        <v>#N/A</v>
      </c>
      <c r="Z17" s="207" t="e">
        <f ca="1"/>
        <v>#N/A</v>
      </c>
      <c r="AA17" s="207" t="e">
        <f ca="1"/>
        <v>#N/A</v>
      </c>
      <c r="AB17" s="207" t="e">
        <f ca="1"/>
        <v>#N/A</v>
      </c>
      <c r="AC17" s="207" t="e">
        <f ca="1"/>
        <v>#N/A</v>
      </c>
      <c r="AD17" s="207" t="e">
        <f ca="1"/>
        <v>#N/A</v>
      </c>
      <c r="AE17" s="207" t="e">
        <f ca="1"/>
        <v>#N/A</v>
      </c>
      <c r="AF17" s="207" t="e">
        <f ca="1"/>
        <v>#N/A</v>
      </c>
      <c r="AG17" s="207" t="e">
        <f ca="1"/>
        <v>#N/A</v>
      </c>
      <c r="AH17" s="207" t="e">
        <f ca="1"/>
        <v>#N/A</v>
      </c>
      <c r="AI17" s="207" t="e">
        <f ca="1"/>
        <v>#N/A</v>
      </c>
      <c r="AJ17" s="207" t="e">
        <f ca="1"/>
        <v>#N/A</v>
      </c>
      <c r="AK17" s="207" t="e">
        <f ca="1"/>
        <v>#N/A</v>
      </c>
      <c r="AL17" s="207" t="e">
        <f ca="1"/>
        <v>#N/A</v>
      </c>
      <c r="AM17" s="207" t="e">
        <f ca="1"/>
        <v>#N/A</v>
      </c>
      <c r="AN17" s="207" t="e">
        <f ca="1"/>
        <v>#N/A</v>
      </c>
      <c r="AO17" s="207" t="e">
        <f ca="1"/>
        <v>#N/A</v>
      </c>
      <c r="AP17" s="207" t="e">
        <f ca="1"/>
        <v>#N/A</v>
      </c>
      <c r="AQ17" s="207" t="e">
        <f ca="1"/>
        <v>#N/A</v>
      </c>
      <c r="AR17" s="453">
        <v>16</v>
      </c>
      <c r="AS17" s="207">
        <v>0</v>
      </c>
      <c r="AT17" s="207">
        <v>0</v>
      </c>
      <c r="AU17" s="207">
        <v>0</v>
      </c>
      <c r="AV17" s="207">
        <v>0</v>
      </c>
      <c r="AW17" s="207">
        <v>0</v>
      </c>
      <c r="AX17" s="207">
        <v>0</v>
      </c>
      <c r="AY17" s="207">
        <v>0</v>
      </c>
      <c r="AZ17" s="207">
        <v>0</v>
      </c>
      <c r="BA17" s="207">
        <v>0</v>
      </c>
      <c r="BB17" s="207">
        <v>0</v>
      </c>
      <c r="BC17" s="207">
        <v>0</v>
      </c>
      <c r="BD17" s="207">
        <v>0</v>
      </c>
      <c r="BE17" s="207">
        <v>0</v>
      </c>
      <c r="BF17" s="207">
        <v>0</v>
      </c>
      <c r="BG17" s="207">
        <v>0</v>
      </c>
      <c r="BH17" s="206">
        <f t="shared" ca="1" si="1"/>
        <v>0</v>
      </c>
      <c r="BI17" s="207">
        <v>0</v>
      </c>
      <c r="BJ17" s="207">
        <v>0</v>
      </c>
      <c r="BK17" s="207">
        <v>0</v>
      </c>
      <c r="BL17" s="207">
        <v>0</v>
      </c>
      <c r="BM17" s="207">
        <v>0</v>
      </c>
      <c r="BN17" s="207">
        <v>0</v>
      </c>
      <c r="BO17" s="207">
        <v>0</v>
      </c>
      <c r="BP17" s="207">
        <v>0</v>
      </c>
      <c r="BQ17" s="207">
        <v>0</v>
      </c>
      <c r="BR17" s="207">
        <v>0</v>
      </c>
      <c r="BS17" s="207">
        <v>0</v>
      </c>
      <c r="BT17" s="207">
        <v>0</v>
      </c>
      <c r="BU17" s="207">
        <v>0</v>
      </c>
      <c r="BV17" s="207">
        <v>0</v>
      </c>
      <c r="BW17" s="207">
        <v>0</v>
      </c>
      <c r="BX17" s="207">
        <v>0</v>
      </c>
      <c r="BY17" s="207">
        <v>0</v>
      </c>
      <c r="BZ17" s="207">
        <v>0</v>
      </c>
      <c r="CA17" s="207">
        <v>0</v>
      </c>
      <c r="CB17" s="207">
        <v>0</v>
      </c>
      <c r="CC17" s="207">
        <v>0</v>
      </c>
      <c r="CD17" s="207">
        <v>0</v>
      </c>
      <c r="CE17" s="207">
        <v>0</v>
      </c>
      <c r="CF17" s="207">
        <v>0</v>
      </c>
    </row>
    <row r="18" spans="1:84" x14ac:dyDescent="0.2">
      <c r="A18" s="205">
        <v>17</v>
      </c>
      <c r="B18" s="206" t="e">
        <f ca="1"/>
        <v>#N/A</v>
      </c>
      <c r="C18" s="258" t="e">
        <f ca="1"/>
        <v>#N/A</v>
      </c>
      <c r="D18" s="207" t="e">
        <f ca="1"/>
        <v>#N/A</v>
      </c>
      <c r="E18" s="207" t="e">
        <f ca="1"/>
        <v>#N/A</v>
      </c>
      <c r="F18" s="207" t="e">
        <f ca="1"/>
        <v>#N/A</v>
      </c>
      <c r="G18" s="207" t="e">
        <f ca="1"/>
        <v>#N/A</v>
      </c>
      <c r="H18" s="207" t="e">
        <f ca="1"/>
        <v>#N/A</v>
      </c>
      <c r="I18" s="207" t="e">
        <f ca="1"/>
        <v>#N/A</v>
      </c>
      <c r="J18" s="207" t="e">
        <f ca="1"/>
        <v>#N/A</v>
      </c>
      <c r="K18" s="207" t="e">
        <f ca="1"/>
        <v>#N/A</v>
      </c>
      <c r="L18" s="207" t="e">
        <f ca="1"/>
        <v>#N/A</v>
      </c>
      <c r="M18" s="207" t="e">
        <f ca="1"/>
        <v>#N/A</v>
      </c>
      <c r="N18" s="207" t="e">
        <f ca="1"/>
        <v>#N/A</v>
      </c>
      <c r="O18" s="207" t="e">
        <f ca="1"/>
        <v>#N/A</v>
      </c>
      <c r="P18" s="207" t="e">
        <f ca="1"/>
        <v>#N/A</v>
      </c>
      <c r="Q18" s="207" t="e">
        <f ca="1"/>
        <v>#N/A</v>
      </c>
      <c r="R18" s="207" t="e">
        <f ca="1"/>
        <v>#N/A</v>
      </c>
      <c r="S18" s="207" t="e">
        <f ca="1"/>
        <v>#N/A</v>
      </c>
      <c r="T18" s="207" t="e">
        <f ca="1"/>
        <v>#N/A</v>
      </c>
      <c r="U18" s="207" t="e">
        <f ca="1"/>
        <v>#N/A</v>
      </c>
      <c r="V18" s="207" t="e">
        <f ca="1"/>
        <v>#N/A</v>
      </c>
      <c r="W18" s="207" t="e">
        <f ca="1"/>
        <v>#N/A</v>
      </c>
      <c r="X18" s="207" t="e">
        <f ca="1"/>
        <v>#N/A</v>
      </c>
      <c r="Y18" s="207" t="e">
        <f ca="1"/>
        <v>#N/A</v>
      </c>
      <c r="Z18" s="207" t="e">
        <f ca="1"/>
        <v>#N/A</v>
      </c>
      <c r="AA18" s="207" t="e">
        <f ca="1"/>
        <v>#N/A</v>
      </c>
      <c r="AB18" s="207" t="e">
        <f ca="1"/>
        <v>#N/A</v>
      </c>
      <c r="AC18" s="207" t="e">
        <f ca="1"/>
        <v>#N/A</v>
      </c>
      <c r="AD18" s="207" t="e">
        <f ca="1"/>
        <v>#N/A</v>
      </c>
      <c r="AE18" s="207" t="e">
        <f ca="1"/>
        <v>#N/A</v>
      </c>
      <c r="AF18" s="207" t="e">
        <f ca="1"/>
        <v>#N/A</v>
      </c>
      <c r="AG18" s="207" t="e">
        <f ca="1"/>
        <v>#N/A</v>
      </c>
      <c r="AH18" s="207" t="e">
        <f ca="1"/>
        <v>#N/A</v>
      </c>
      <c r="AI18" s="207" t="e">
        <f ca="1"/>
        <v>#N/A</v>
      </c>
      <c r="AJ18" s="207" t="e">
        <f ca="1"/>
        <v>#N/A</v>
      </c>
      <c r="AK18" s="207" t="e">
        <f ca="1"/>
        <v>#N/A</v>
      </c>
      <c r="AL18" s="207" t="e">
        <f ca="1"/>
        <v>#N/A</v>
      </c>
      <c r="AM18" s="207" t="e">
        <f ca="1"/>
        <v>#N/A</v>
      </c>
      <c r="AN18" s="207" t="e">
        <f ca="1"/>
        <v>#N/A</v>
      </c>
      <c r="AO18" s="207" t="e">
        <f ca="1"/>
        <v>#N/A</v>
      </c>
      <c r="AP18" s="207" t="e">
        <f ca="1"/>
        <v>#N/A</v>
      </c>
      <c r="AQ18" s="207" t="e">
        <f ca="1"/>
        <v>#N/A</v>
      </c>
      <c r="AR18" s="453">
        <v>17</v>
      </c>
      <c r="AS18" s="207">
        <v>0</v>
      </c>
      <c r="AT18" s="207">
        <v>0</v>
      </c>
      <c r="AU18" s="207">
        <v>0</v>
      </c>
      <c r="AV18" s="207">
        <v>0</v>
      </c>
      <c r="AW18" s="207">
        <v>0</v>
      </c>
      <c r="AX18" s="207">
        <v>0</v>
      </c>
      <c r="AY18" s="207">
        <v>0</v>
      </c>
      <c r="AZ18" s="207">
        <v>0</v>
      </c>
      <c r="BA18" s="207">
        <v>0</v>
      </c>
      <c r="BB18" s="207">
        <v>0</v>
      </c>
      <c r="BC18" s="207">
        <v>0</v>
      </c>
      <c r="BD18" s="207">
        <v>0</v>
      </c>
      <c r="BE18" s="207">
        <v>0</v>
      </c>
      <c r="BF18" s="207">
        <v>0</v>
      </c>
      <c r="BG18" s="207">
        <v>0</v>
      </c>
      <c r="BH18" s="207">
        <v>0</v>
      </c>
      <c r="BI18" s="206">
        <f t="shared" ref="BI18:BN23" ca="1" si="2">IF(OR(BI$1&gt;$E$51,$A18&gt;$E$51),0,IF(INDIRECT(ADDRESS(ROW($A$1)+$A18,COLUMN($C$1)+BI$1))=0,1,0))</f>
        <v>0</v>
      </c>
      <c r="BJ18" s="207">
        <v>0</v>
      </c>
      <c r="BK18" s="207">
        <v>0</v>
      </c>
      <c r="BL18" s="207">
        <v>0</v>
      </c>
      <c r="BM18" s="207">
        <v>0</v>
      </c>
      <c r="BN18" s="207">
        <v>0</v>
      </c>
      <c r="BO18" s="207">
        <v>0</v>
      </c>
      <c r="BP18" s="207">
        <v>0</v>
      </c>
      <c r="BQ18" s="207">
        <v>0</v>
      </c>
      <c r="BR18" s="207">
        <v>0</v>
      </c>
      <c r="BS18" s="207">
        <v>0</v>
      </c>
      <c r="BT18" s="207">
        <v>0</v>
      </c>
      <c r="BU18" s="207">
        <v>0</v>
      </c>
      <c r="BV18" s="207">
        <v>0</v>
      </c>
      <c r="BW18" s="207">
        <v>0</v>
      </c>
      <c r="BX18" s="207">
        <v>0</v>
      </c>
      <c r="BY18" s="207">
        <v>0</v>
      </c>
      <c r="BZ18" s="207">
        <v>0</v>
      </c>
      <c r="CA18" s="207">
        <v>0</v>
      </c>
      <c r="CB18" s="207">
        <v>0</v>
      </c>
      <c r="CC18" s="207">
        <v>0</v>
      </c>
      <c r="CD18" s="207">
        <v>0</v>
      </c>
      <c r="CE18" s="207">
        <v>0</v>
      </c>
      <c r="CF18" s="207">
        <v>0</v>
      </c>
    </row>
    <row r="19" spans="1:84" x14ac:dyDescent="0.2">
      <c r="A19" s="205">
        <v>18</v>
      </c>
      <c r="B19" s="206" t="e">
        <f ca="1"/>
        <v>#N/A</v>
      </c>
      <c r="C19" s="258" t="e">
        <f ca="1"/>
        <v>#N/A</v>
      </c>
      <c r="D19" s="207" t="e">
        <f ca="1"/>
        <v>#N/A</v>
      </c>
      <c r="E19" s="207" t="e">
        <f ca="1"/>
        <v>#N/A</v>
      </c>
      <c r="F19" s="207" t="e">
        <f ca="1"/>
        <v>#N/A</v>
      </c>
      <c r="G19" s="207" t="e">
        <f ca="1"/>
        <v>#N/A</v>
      </c>
      <c r="H19" s="207" t="e">
        <f ca="1"/>
        <v>#N/A</v>
      </c>
      <c r="I19" s="207" t="e">
        <f ca="1"/>
        <v>#N/A</v>
      </c>
      <c r="J19" s="207" t="e">
        <f ca="1"/>
        <v>#N/A</v>
      </c>
      <c r="K19" s="207" t="e">
        <f ca="1"/>
        <v>#N/A</v>
      </c>
      <c r="L19" s="207" t="e">
        <f ca="1"/>
        <v>#N/A</v>
      </c>
      <c r="M19" s="207" t="e">
        <f ca="1"/>
        <v>#N/A</v>
      </c>
      <c r="N19" s="207" t="e">
        <f ca="1"/>
        <v>#N/A</v>
      </c>
      <c r="O19" s="207" t="e">
        <f ca="1"/>
        <v>#N/A</v>
      </c>
      <c r="P19" s="207" t="e">
        <f ca="1"/>
        <v>#N/A</v>
      </c>
      <c r="Q19" s="207" t="e">
        <f ca="1"/>
        <v>#N/A</v>
      </c>
      <c r="R19" s="207" t="e">
        <f ca="1"/>
        <v>#N/A</v>
      </c>
      <c r="S19" s="207" t="e">
        <f ca="1"/>
        <v>#N/A</v>
      </c>
      <c r="T19" s="207" t="e">
        <f ca="1"/>
        <v>#N/A</v>
      </c>
      <c r="U19" s="207" t="e">
        <f ca="1"/>
        <v>#N/A</v>
      </c>
      <c r="V19" s="207" t="e">
        <f ca="1"/>
        <v>#N/A</v>
      </c>
      <c r="W19" s="207" t="e">
        <f ca="1"/>
        <v>#N/A</v>
      </c>
      <c r="X19" s="207" t="e">
        <f ca="1"/>
        <v>#N/A</v>
      </c>
      <c r="Y19" s="207" t="e">
        <f ca="1"/>
        <v>#N/A</v>
      </c>
      <c r="Z19" s="207" t="e">
        <f ca="1"/>
        <v>#N/A</v>
      </c>
      <c r="AA19" s="207" t="e">
        <f ca="1"/>
        <v>#N/A</v>
      </c>
      <c r="AB19" s="207" t="e">
        <f ca="1"/>
        <v>#N/A</v>
      </c>
      <c r="AC19" s="207" t="e">
        <f ca="1"/>
        <v>#N/A</v>
      </c>
      <c r="AD19" s="207" t="e">
        <f ca="1"/>
        <v>#N/A</v>
      </c>
      <c r="AE19" s="207" t="e">
        <f ca="1"/>
        <v>#N/A</v>
      </c>
      <c r="AF19" s="207" t="e">
        <f ca="1"/>
        <v>#N/A</v>
      </c>
      <c r="AG19" s="207" t="e">
        <f ca="1"/>
        <v>#N/A</v>
      </c>
      <c r="AH19" s="207" t="e">
        <f ca="1"/>
        <v>#N/A</v>
      </c>
      <c r="AI19" s="207" t="e">
        <f ca="1"/>
        <v>#N/A</v>
      </c>
      <c r="AJ19" s="207" t="e">
        <f ca="1"/>
        <v>#N/A</v>
      </c>
      <c r="AK19" s="207" t="e">
        <f ca="1"/>
        <v>#N/A</v>
      </c>
      <c r="AL19" s="207" t="e">
        <f ca="1"/>
        <v>#N/A</v>
      </c>
      <c r="AM19" s="207" t="e">
        <f ca="1"/>
        <v>#N/A</v>
      </c>
      <c r="AN19" s="207" t="e">
        <f ca="1"/>
        <v>#N/A</v>
      </c>
      <c r="AO19" s="207" t="e">
        <f ca="1"/>
        <v>#N/A</v>
      </c>
      <c r="AP19" s="207" t="e">
        <f ca="1"/>
        <v>#N/A</v>
      </c>
      <c r="AQ19" s="207" t="e">
        <f ca="1"/>
        <v>#N/A</v>
      </c>
      <c r="AR19" s="453">
        <v>18</v>
      </c>
      <c r="AS19" s="207">
        <v>0</v>
      </c>
      <c r="AT19" s="207">
        <v>0</v>
      </c>
      <c r="AU19" s="207">
        <v>0</v>
      </c>
      <c r="AV19" s="207">
        <v>0</v>
      </c>
      <c r="AW19" s="207">
        <v>0</v>
      </c>
      <c r="AX19" s="207">
        <v>0</v>
      </c>
      <c r="AY19" s="207">
        <v>0</v>
      </c>
      <c r="AZ19" s="207">
        <v>0</v>
      </c>
      <c r="BA19" s="207">
        <v>0</v>
      </c>
      <c r="BB19" s="207">
        <v>0</v>
      </c>
      <c r="BC19" s="207">
        <v>0</v>
      </c>
      <c r="BD19" s="207">
        <v>0</v>
      </c>
      <c r="BE19" s="207">
        <v>0</v>
      </c>
      <c r="BF19" s="207">
        <v>0</v>
      </c>
      <c r="BG19" s="207">
        <v>0</v>
      </c>
      <c r="BH19" s="207">
        <v>0</v>
      </c>
      <c r="BI19" s="207">
        <v>0</v>
      </c>
      <c r="BJ19" s="206">
        <f t="shared" ca="1" si="2"/>
        <v>0</v>
      </c>
      <c r="BK19" s="207">
        <v>0</v>
      </c>
      <c r="BL19" s="207">
        <v>0</v>
      </c>
      <c r="BM19" s="207">
        <v>0</v>
      </c>
      <c r="BN19" s="207">
        <v>0</v>
      </c>
      <c r="BO19" s="207">
        <v>0</v>
      </c>
      <c r="BP19" s="207">
        <v>0</v>
      </c>
      <c r="BQ19" s="207">
        <v>0</v>
      </c>
      <c r="BR19" s="207">
        <v>0</v>
      </c>
      <c r="BS19" s="207">
        <v>0</v>
      </c>
      <c r="BT19" s="207">
        <v>0</v>
      </c>
      <c r="BU19" s="207">
        <v>0</v>
      </c>
      <c r="BV19" s="207">
        <v>0</v>
      </c>
      <c r="BW19" s="207">
        <v>0</v>
      </c>
      <c r="BX19" s="207">
        <v>0</v>
      </c>
      <c r="BY19" s="207">
        <v>0</v>
      </c>
      <c r="BZ19" s="207">
        <v>0</v>
      </c>
      <c r="CA19" s="207">
        <v>0</v>
      </c>
      <c r="CB19" s="207">
        <v>0</v>
      </c>
      <c r="CC19" s="207">
        <v>0</v>
      </c>
      <c r="CD19" s="207">
        <v>0</v>
      </c>
      <c r="CE19" s="207">
        <v>0</v>
      </c>
      <c r="CF19" s="207">
        <v>0</v>
      </c>
    </row>
    <row r="20" spans="1:84" x14ac:dyDescent="0.2">
      <c r="A20" s="205">
        <v>19</v>
      </c>
      <c r="B20" s="206" t="e">
        <f ca="1"/>
        <v>#N/A</v>
      </c>
      <c r="C20" s="258" t="e">
        <f ca="1"/>
        <v>#N/A</v>
      </c>
      <c r="D20" s="207" t="e">
        <f ca="1"/>
        <v>#N/A</v>
      </c>
      <c r="E20" s="207" t="e">
        <f ca="1"/>
        <v>#N/A</v>
      </c>
      <c r="F20" s="207" t="e">
        <f ca="1"/>
        <v>#N/A</v>
      </c>
      <c r="G20" s="207" t="e">
        <f ca="1"/>
        <v>#N/A</v>
      </c>
      <c r="H20" s="207" t="e">
        <f ca="1"/>
        <v>#N/A</v>
      </c>
      <c r="I20" s="207" t="e">
        <f ca="1"/>
        <v>#N/A</v>
      </c>
      <c r="J20" s="207" t="e">
        <f ca="1"/>
        <v>#N/A</v>
      </c>
      <c r="K20" s="207" t="e">
        <f ca="1"/>
        <v>#N/A</v>
      </c>
      <c r="L20" s="207" t="e">
        <f ca="1"/>
        <v>#N/A</v>
      </c>
      <c r="M20" s="207" t="e">
        <f ca="1"/>
        <v>#N/A</v>
      </c>
      <c r="N20" s="207" t="e">
        <f ca="1"/>
        <v>#N/A</v>
      </c>
      <c r="O20" s="207" t="e">
        <f ca="1"/>
        <v>#N/A</v>
      </c>
      <c r="P20" s="207" t="e">
        <f ca="1"/>
        <v>#N/A</v>
      </c>
      <c r="Q20" s="207" t="e">
        <f ca="1"/>
        <v>#N/A</v>
      </c>
      <c r="R20" s="207" t="e">
        <f ca="1"/>
        <v>#N/A</v>
      </c>
      <c r="S20" s="207" t="e">
        <f ca="1"/>
        <v>#N/A</v>
      </c>
      <c r="T20" s="207" t="e">
        <f ca="1"/>
        <v>#N/A</v>
      </c>
      <c r="U20" s="207" t="e">
        <f ca="1"/>
        <v>#N/A</v>
      </c>
      <c r="V20" s="207" t="e">
        <f ca="1"/>
        <v>#N/A</v>
      </c>
      <c r="W20" s="207" t="e">
        <f ca="1"/>
        <v>#N/A</v>
      </c>
      <c r="X20" s="207" t="e">
        <f ca="1"/>
        <v>#N/A</v>
      </c>
      <c r="Y20" s="207" t="e">
        <f ca="1"/>
        <v>#N/A</v>
      </c>
      <c r="Z20" s="207" t="e">
        <f ca="1"/>
        <v>#N/A</v>
      </c>
      <c r="AA20" s="207" t="e">
        <f ca="1"/>
        <v>#N/A</v>
      </c>
      <c r="AB20" s="207" t="e">
        <f ca="1"/>
        <v>#N/A</v>
      </c>
      <c r="AC20" s="207" t="e">
        <f ca="1"/>
        <v>#N/A</v>
      </c>
      <c r="AD20" s="207" t="e">
        <f ca="1"/>
        <v>#N/A</v>
      </c>
      <c r="AE20" s="207" t="e">
        <f ca="1"/>
        <v>#N/A</v>
      </c>
      <c r="AF20" s="207" t="e">
        <f ca="1"/>
        <v>#N/A</v>
      </c>
      <c r="AG20" s="207" t="e">
        <f ca="1"/>
        <v>#N/A</v>
      </c>
      <c r="AH20" s="207" t="e">
        <f ca="1"/>
        <v>#N/A</v>
      </c>
      <c r="AI20" s="207" t="e">
        <f ca="1"/>
        <v>#N/A</v>
      </c>
      <c r="AJ20" s="207" t="e">
        <f ca="1"/>
        <v>#N/A</v>
      </c>
      <c r="AK20" s="207" t="e">
        <f ca="1"/>
        <v>#N/A</v>
      </c>
      <c r="AL20" s="207" t="e">
        <f ca="1"/>
        <v>#N/A</v>
      </c>
      <c r="AM20" s="207" t="e">
        <f ca="1"/>
        <v>#N/A</v>
      </c>
      <c r="AN20" s="207" t="e">
        <f ca="1"/>
        <v>#N/A</v>
      </c>
      <c r="AO20" s="207" t="e">
        <f ca="1"/>
        <v>#N/A</v>
      </c>
      <c r="AP20" s="207" t="e">
        <f ca="1"/>
        <v>#N/A</v>
      </c>
      <c r="AQ20" s="207" t="e">
        <f ca="1"/>
        <v>#N/A</v>
      </c>
      <c r="AR20" s="453">
        <v>19</v>
      </c>
      <c r="AS20" s="207">
        <v>0</v>
      </c>
      <c r="AT20" s="207">
        <v>0</v>
      </c>
      <c r="AU20" s="207">
        <v>0</v>
      </c>
      <c r="AV20" s="207">
        <v>0</v>
      </c>
      <c r="AW20" s="207">
        <v>0</v>
      </c>
      <c r="AX20" s="207">
        <v>0</v>
      </c>
      <c r="AY20" s="207">
        <v>0</v>
      </c>
      <c r="AZ20" s="207">
        <v>0</v>
      </c>
      <c r="BA20" s="207">
        <v>0</v>
      </c>
      <c r="BB20" s="207">
        <v>0</v>
      </c>
      <c r="BC20" s="207">
        <v>0</v>
      </c>
      <c r="BD20" s="207">
        <v>0</v>
      </c>
      <c r="BE20" s="207">
        <v>0</v>
      </c>
      <c r="BF20" s="207">
        <v>0</v>
      </c>
      <c r="BG20" s="207">
        <v>0</v>
      </c>
      <c r="BH20" s="207">
        <v>0</v>
      </c>
      <c r="BI20" s="207">
        <v>0</v>
      </c>
      <c r="BJ20" s="207">
        <v>0</v>
      </c>
      <c r="BK20" s="206">
        <f t="shared" ca="1" si="2"/>
        <v>0</v>
      </c>
      <c r="BL20" s="207">
        <v>0</v>
      </c>
      <c r="BM20" s="207">
        <v>0</v>
      </c>
      <c r="BN20" s="207">
        <v>0</v>
      </c>
      <c r="BO20" s="207">
        <v>0</v>
      </c>
      <c r="BP20" s="207">
        <v>0</v>
      </c>
      <c r="BQ20" s="207">
        <v>0</v>
      </c>
      <c r="BR20" s="207">
        <v>0</v>
      </c>
      <c r="BS20" s="207">
        <v>0</v>
      </c>
      <c r="BT20" s="207">
        <v>0</v>
      </c>
      <c r="BU20" s="207">
        <v>0</v>
      </c>
      <c r="BV20" s="207">
        <v>0</v>
      </c>
      <c r="BW20" s="207">
        <v>0</v>
      </c>
      <c r="BX20" s="207">
        <v>0</v>
      </c>
      <c r="BY20" s="207">
        <v>0</v>
      </c>
      <c r="BZ20" s="207">
        <v>0</v>
      </c>
      <c r="CA20" s="207">
        <v>0</v>
      </c>
      <c r="CB20" s="207">
        <v>0</v>
      </c>
      <c r="CC20" s="207">
        <v>0</v>
      </c>
      <c r="CD20" s="207">
        <v>0</v>
      </c>
      <c r="CE20" s="207">
        <v>0</v>
      </c>
      <c r="CF20" s="207">
        <v>0</v>
      </c>
    </row>
    <row r="21" spans="1:84" x14ac:dyDescent="0.2">
      <c r="A21" s="205">
        <v>20</v>
      </c>
      <c r="B21" s="206" t="e">
        <f ca="1"/>
        <v>#N/A</v>
      </c>
      <c r="C21" s="258" t="e">
        <f ca="1"/>
        <v>#N/A</v>
      </c>
      <c r="D21" s="207" t="e">
        <f ca="1"/>
        <v>#N/A</v>
      </c>
      <c r="E21" s="207" t="e">
        <f ca="1"/>
        <v>#N/A</v>
      </c>
      <c r="F21" s="207" t="e">
        <f ca="1"/>
        <v>#N/A</v>
      </c>
      <c r="G21" s="207" t="e">
        <f ca="1"/>
        <v>#N/A</v>
      </c>
      <c r="H21" s="207" t="e">
        <f ca="1"/>
        <v>#N/A</v>
      </c>
      <c r="I21" s="207" t="e">
        <f ca="1"/>
        <v>#N/A</v>
      </c>
      <c r="J21" s="207" t="e">
        <f ca="1"/>
        <v>#N/A</v>
      </c>
      <c r="K21" s="207" t="e">
        <f ca="1"/>
        <v>#N/A</v>
      </c>
      <c r="L21" s="207" t="e">
        <f ca="1"/>
        <v>#N/A</v>
      </c>
      <c r="M21" s="207" t="e">
        <f ca="1"/>
        <v>#N/A</v>
      </c>
      <c r="N21" s="207" t="e">
        <f ca="1"/>
        <v>#N/A</v>
      </c>
      <c r="O21" s="207" t="e">
        <f ca="1"/>
        <v>#N/A</v>
      </c>
      <c r="P21" s="207" t="e">
        <f ca="1"/>
        <v>#N/A</v>
      </c>
      <c r="Q21" s="207" t="e">
        <f ca="1"/>
        <v>#N/A</v>
      </c>
      <c r="R21" s="207" t="e">
        <f ca="1"/>
        <v>#N/A</v>
      </c>
      <c r="S21" s="207" t="e">
        <f ca="1"/>
        <v>#N/A</v>
      </c>
      <c r="T21" s="207" t="e">
        <f ca="1"/>
        <v>#N/A</v>
      </c>
      <c r="U21" s="207" t="e">
        <f ca="1"/>
        <v>#N/A</v>
      </c>
      <c r="V21" s="207" t="e">
        <f ca="1"/>
        <v>#N/A</v>
      </c>
      <c r="W21" s="207" t="e">
        <f ca="1"/>
        <v>#N/A</v>
      </c>
      <c r="X21" s="207" t="e">
        <f ca="1"/>
        <v>#N/A</v>
      </c>
      <c r="Y21" s="207" t="e">
        <f ca="1"/>
        <v>#N/A</v>
      </c>
      <c r="Z21" s="207" t="e">
        <f ca="1"/>
        <v>#N/A</v>
      </c>
      <c r="AA21" s="207" t="e">
        <f ca="1"/>
        <v>#N/A</v>
      </c>
      <c r="AB21" s="207" t="e">
        <f ca="1"/>
        <v>#N/A</v>
      </c>
      <c r="AC21" s="207" t="e">
        <f ca="1"/>
        <v>#N/A</v>
      </c>
      <c r="AD21" s="207" t="e">
        <f ca="1"/>
        <v>#N/A</v>
      </c>
      <c r="AE21" s="207" t="e">
        <f ca="1"/>
        <v>#N/A</v>
      </c>
      <c r="AF21" s="207" t="e">
        <f ca="1"/>
        <v>#N/A</v>
      </c>
      <c r="AG21" s="207" t="e">
        <f ca="1"/>
        <v>#N/A</v>
      </c>
      <c r="AH21" s="207" t="e">
        <f ca="1"/>
        <v>#N/A</v>
      </c>
      <c r="AI21" s="207" t="e">
        <f ca="1"/>
        <v>#N/A</v>
      </c>
      <c r="AJ21" s="207" t="e">
        <f ca="1"/>
        <v>#N/A</v>
      </c>
      <c r="AK21" s="207" t="e">
        <f ca="1"/>
        <v>#N/A</v>
      </c>
      <c r="AL21" s="207" t="e">
        <f ca="1"/>
        <v>#N/A</v>
      </c>
      <c r="AM21" s="207" t="e">
        <f ca="1"/>
        <v>#N/A</v>
      </c>
      <c r="AN21" s="207" t="e">
        <f ca="1"/>
        <v>#N/A</v>
      </c>
      <c r="AO21" s="207" t="e">
        <f ca="1"/>
        <v>#N/A</v>
      </c>
      <c r="AP21" s="207" t="e">
        <f ca="1"/>
        <v>#N/A</v>
      </c>
      <c r="AQ21" s="207" t="e">
        <f ca="1"/>
        <v>#N/A</v>
      </c>
      <c r="AR21" s="453">
        <v>20</v>
      </c>
      <c r="AS21" s="207">
        <v>0</v>
      </c>
      <c r="AT21" s="207">
        <v>0</v>
      </c>
      <c r="AU21" s="207">
        <v>0</v>
      </c>
      <c r="AV21" s="207">
        <v>0</v>
      </c>
      <c r="AW21" s="207">
        <v>0</v>
      </c>
      <c r="AX21" s="207">
        <v>0</v>
      </c>
      <c r="AY21" s="207">
        <v>0</v>
      </c>
      <c r="AZ21" s="207">
        <v>0</v>
      </c>
      <c r="BA21" s="207">
        <v>0</v>
      </c>
      <c r="BB21" s="207">
        <v>0</v>
      </c>
      <c r="BC21" s="207">
        <v>0</v>
      </c>
      <c r="BD21" s="207">
        <v>0</v>
      </c>
      <c r="BE21" s="207">
        <v>0</v>
      </c>
      <c r="BF21" s="207">
        <v>0</v>
      </c>
      <c r="BG21" s="207">
        <v>0</v>
      </c>
      <c r="BH21" s="207">
        <v>0</v>
      </c>
      <c r="BI21" s="207">
        <v>0</v>
      </c>
      <c r="BJ21" s="207">
        <v>0</v>
      </c>
      <c r="BK21" s="207">
        <v>0</v>
      </c>
      <c r="BL21" s="206">
        <f t="shared" ca="1" si="2"/>
        <v>0</v>
      </c>
      <c r="BM21" s="207">
        <v>0</v>
      </c>
      <c r="BN21" s="207">
        <v>0</v>
      </c>
      <c r="BO21" s="207">
        <v>0</v>
      </c>
      <c r="BP21" s="207">
        <v>0</v>
      </c>
      <c r="BQ21" s="207">
        <v>0</v>
      </c>
      <c r="BR21" s="207">
        <v>0</v>
      </c>
      <c r="BS21" s="207">
        <v>0</v>
      </c>
      <c r="BT21" s="207">
        <v>0</v>
      </c>
      <c r="BU21" s="207">
        <v>0</v>
      </c>
      <c r="BV21" s="207">
        <v>0</v>
      </c>
      <c r="BW21" s="207">
        <v>0</v>
      </c>
      <c r="BX21" s="207">
        <v>0</v>
      </c>
      <c r="BY21" s="207">
        <v>0</v>
      </c>
      <c r="BZ21" s="207">
        <v>0</v>
      </c>
      <c r="CA21" s="207">
        <v>0</v>
      </c>
      <c r="CB21" s="207">
        <v>0</v>
      </c>
      <c r="CC21" s="207">
        <v>0</v>
      </c>
      <c r="CD21" s="207">
        <v>0</v>
      </c>
      <c r="CE21" s="207">
        <v>0</v>
      </c>
      <c r="CF21" s="207">
        <v>0</v>
      </c>
    </row>
    <row r="22" spans="1:84" x14ac:dyDescent="0.2">
      <c r="A22" s="205">
        <v>21</v>
      </c>
      <c r="B22" s="206" t="e">
        <f ca="1"/>
        <v>#N/A</v>
      </c>
      <c r="C22" s="258" t="e">
        <f ca="1"/>
        <v>#N/A</v>
      </c>
      <c r="D22" s="207" t="e">
        <f ca="1"/>
        <v>#N/A</v>
      </c>
      <c r="E22" s="207" t="e">
        <f ca="1"/>
        <v>#N/A</v>
      </c>
      <c r="F22" s="207" t="e">
        <f ca="1"/>
        <v>#N/A</v>
      </c>
      <c r="G22" s="207" t="e">
        <f ca="1"/>
        <v>#N/A</v>
      </c>
      <c r="H22" s="207" t="e">
        <f ca="1"/>
        <v>#N/A</v>
      </c>
      <c r="I22" s="207" t="e">
        <f ca="1"/>
        <v>#N/A</v>
      </c>
      <c r="J22" s="207" t="e">
        <f ca="1"/>
        <v>#N/A</v>
      </c>
      <c r="K22" s="207" t="e">
        <f ca="1"/>
        <v>#N/A</v>
      </c>
      <c r="L22" s="207" t="e">
        <f ca="1"/>
        <v>#N/A</v>
      </c>
      <c r="M22" s="207" t="e">
        <f ca="1"/>
        <v>#N/A</v>
      </c>
      <c r="N22" s="207" t="e">
        <f ca="1"/>
        <v>#N/A</v>
      </c>
      <c r="O22" s="207" t="e">
        <f ca="1"/>
        <v>#N/A</v>
      </c>
      <c r="P22" s="207" t="e">
        <f ca="1"/>
        <v>#N/A</v>
      </c>
      <c r="Q22" s="207" t="e">
        <f ca="1"/>
        <v>#N/A</v>
      </c>
      <c r="R22" s="207" t="e">
        <f ca="1"/>
        <v>#N/A</v>
      </c>
      <c r="S22" s="207" t="e">
        <f ca="1"/>
        <v>#N/A</v>
      </c>
      <c r="T22" s="207" t="e">
        <f ca="1"/>
        <v>#N/A</v>
      </c>
      <c r="U22" s="207" t="e">
        <f ca="1"/>
        <v>#N/A</v>
      </c>
      <c r="V22" s="207" t="e">
        <f ca="1"/>
        <v>#N/A</v>
      </c>
      <c r="W22" s="207" t="e">
        <f ca="1"/>
        <v>#N/A</v>
      </c>
      <c r="X22" s="207" t="e">
        <f ca="1"/>
        <v>#N/A</v>
      </c>
      <c r="Y22" s="207" t="e">
        <f ca="1"/>
        <v>#N/A</v>
      </c>
      <c r="Z22" s="207" t="e">
        <f ca="1"/>
        <v>#N/A</v>
      </c>
      <c r="AA22" s="207" t="e">
        <f ca="1"/>
        <v>#N/A</v>
      </c>
      <c r="AB22" s="207" t="e">
        <f ca="1"/>
        <v>#N/A</v>
      </c>
      <c r="AC22" s="207" t="e">
        <f ca="1"/>
        <v>#N/A</v>
      </c>
      <c r="AD22" s="207" t="e">
        <f ca="1"/>
        <v>#N/A</v>
      </c>
      <c r="AE22" s="207" t="e">
        <f ca="1"/>
        <v>#N/A</v>
      </c>
      <c r="AF22" s="207" t="e">
        <f ca="1"/>
        <v>#N/A</v>
      </c>
      <c r="AG22" s="207" t="e">
        <f ca="1"/>
        <v>#N/A</v>
      </c>
      <c r="AH22" s="207" t="e">
        <f ca="1"/>
        <v>#N/A</v>
      </c>
      <c r="AI22" s="207" t="e">
        <f ca="1"/>
        <v>#N/A</v>
      </c>
      <c r="AJ22" s="207" t="e">
        <f ca="1"/>
        <v>#N/A</v>
      </c>
      <c r="AK22" s="207" t="e">
        <f ca="1"/>
        <v>#N/A</v>
      </c>
      <c r="AL22" s="207" t="e">
        <f ca="1"/>
        <v>#N/A</v>
      </c>
      <c r="AM22" s="207" t="e">
        <f ca="1"/>
        <v>#N/A</v>
      </c>
      <c r="AN22" s="207" t="e">
        <f ca="1"/>
        <v>#N/A</v>
      </c>
      <c r="AO22" s="207" t="e">
        <f ca="1"/>
        <v>#N/A</v>
      </c>
      <c r="AP22" s="207" t="e">
        <f ca="1"/>
        <v>#N/A</v>
      </c>
      <c r="AQ22" s="207" t="e">
        <f ca="1"/>
        <v>#N/A</v>
      </c>
      <c r="AR22" s="453">
        <v>21</v>
      </c>
      <c r="AS22" s="207">
        <v>0</v>
      </c>
      <c r="AT22" s="207">
        <v>0</v>
      </c>
      <c r="AU22" s="207">
        <v>0</v>
      </c>
      <c r="AV22" s="207">
        <v>0</v>
      </c>
      <c r="AW22" s="207">
        <v>0</v>
      </c>
      <c r="AX22" s="207">
        <v>0</v>
      </c>
      <c r="AY22" s="207">
        <v>0</v>
      </c>
      <c r="AZ22" s="207">
        <v>0</v>
      </c>
      <c r="BA22" s="207">
        <v>0</v>
      </c>
      <c r="BB22" s="207">
        <v>0</v>
      </c>
      <c r="BC22" s="207">
        <v>0</v>
      </c>
      <c r="BD22" s="207">
        <v>0</v>
      </c>
      <c r="BE22" s="207">
        <v>0</v>
      </c>
      <c r="BF22" s="207">
        <v>0</v>
      </c>
      <c r="BG22" s="207">
        <v>0</v>
      </c>
      <c r="BH22" s="207">
        <v>0</v>
      </c>
      <c r="BI22" s="207">
        <v>0</v>
      </c>
      <c r="BJ22" s="207">
        <v>0</v>
      </c>
      <c r="BK22" s="207">
        <v>0</v>
      </c>
      <c r="BL22" s="207">
        <v>0</v>
      </c>
      <c r="BM22" s="206">
        <f t="shared" ca="1" si="2"/>
        <v>0</v>
      </c>
      <c r="BN22" s="207">
        <v>0</v>
      </c>
      <c r="BO22" s="207">
        <v>0</v>
      </c>
      <c r="BP22" s="207">
        <v>0</v>
      </c>
      <c r="BQ22" s="207">
        <v>0</v>
      </c>
      <c r="BR22" s="207">
        <v>0</v>
      </c>
      <c r="BS22" s="207">
        <v>0</v>
      </c>
      <c r="BT22" s="207">
        <v>0</v>
      </c>
      <c r="BU22" s="207">
        <v>0</v>
      </c>
      <c r="BV22" s="207">
        <v>0</v>
      </c>
      <c r="BW22" s="207">
        <v>0</v>
      </c>
      <c r="BX22" s="207">
        <v>0</v>
      </c>
      <c r="BY22" s="207">
        <v>0</v>
      </c>
      <c r="BZ22" s="207">
        <v>0</v>
      </c>
      <c r="CA22" s="207">
        <v>0</v>
      </c>
      <c r="CB22" s="207">
        <v>0</v>
      </c>
      <c r="CC22" s="207">
        <v>0</v>
      </c>
      <c r="CD22" s="207">
        <v>0</v>
      </c>
      <c r="CE22" s="207">
        <v>0</v>
      </c>
      <c r="CF22" s="207">
        <v>0</v>
      </c>
    </row>
    <row r="23" spans="1:84" x14ac:dyDescent="0.2">
      <c r="A23" s="205">
        <v>22</v>
      </c>
      <c r="B23" s="206" t="e">
        <f ca="1"/>
        <v>#N/A</v>
      </c>
      <c r="C23" s="258" t="e">
        <f ca="1"/>
        <v>#N/A</v>
      </c>
      <c r="D23" s="207" t="e">
        <f ca="1"/>
        <v>#N/A</v>
      </c>
      <c r="E23" s="207" t="e">
        <f ca="1"/>
        <v>#N/A</v>
      </c>
      <c r="F23" s="207" t="e">
        <f ca="1"/>
        <v>#N/A</v>
      </c>
      <c r="G23" s="207" t="e">
        <f ca="1"/>
        <v>#N/A</v>
      </c>
      <c r="H23" s="207" t="e">
        <f ca="1"/>
        <v>#N/A</v>
      </c>
      <c r="I23" s="207" t="e">
        <f ca="1"/>
        <v>#N/A</v>
      </c>
      <c r="J23" s="207" t="e">
        <f ca="1"/>
        <v>#N/A</v>
      </c>
      <c r="K23" s="207" t="e">
        <f ca="1"/>
        <v>#N/A</v>
      </c>
      <c r="L23" s="207" t="e">
        <f ca="1"/>
        <v>#N/A</v>
      </c>
      <c r="M23" s="207" t="e">
        <f ca="1"/>
        <v>#N/A</v>
      </c>
      <c r="N23" s="207" t="e">
        <f ca="1"/>
        <v>#N/A</v>
      </c>
      <c r="O23" s="207" t="e">
        <f ca="1"/>
        <v>#N/A</v>
      </c>
      <c r="P23" s="207" t="e">
        <f ca="1"/>
        <v>#N/A</v>
      </c>
      <c r="Q23" s="207" t="e">
        <f ca="1"/>
        <v>#N/A</v>
      </c>
      <c r="R23" s="207" t="e">
        <f ca="1"/>
        <v>#N/A</v>
      </c>
      <c r="S23" s="207" t="e">
        <f ca="1"/>
        <v>#N/A</v>
      </c>
      <c r="T23" s="207" t="e">
        <f ca="1"/>
        <v>#N/A</v>
      </c>
      <c r="U23" s="207" t="e">
        <f ca="1"/>
        <v>#N/A</v>
      </c>
      <c r="V23" s="207" t="e">
        <f ca="1"/>
        <v>#N/A</v>
      </c>
      <c r="W23" s="207" t="e">
        <f ca="1"/>
        <v>#N/A</v>
      </c>
      <c r="X23" s="207" t="e">
        <f ca="1"/>
        <v>#N/A</v>
      </c>
      <c r="Y23" s="207" t="e">
        <f ca="1"/>
        <v>#N/A</v>
      </c>
      <c r="Z23" s="207" t="e">
        <f ca="1"/>
        <v>#N/A</v>
      </c>
      <c r="AA23" s="207" t="e">
        <f ca="1"/>
        <v>#N/A</v>
      </c>
      <c r="AB23" s="207" t="e">
        <f ca="1"/>
        <v>#N/A</v>
      </c>
      <c r="AC23" s="207" t="e">
        <f ca="1"/>
        <v>#N/A</v>
      </c>
      <c r="AD23" s="207" t="e">
        <f ca="1"/>
        <v>#N/A</v>
      </c>
      <c r="AE23" s="207" t="e">
        <f ca="1"/>
        <v>#N/A</v>
      </c>
      <c r="AF23" s="207" t="e">
        <f ca="1"/>
        <v>#N/A</v>
      </c>
      <c r="AG23" s="207" t="e">
        <f ca="1"/>
        <v>#N/A</v>
      </c>
      <c r="AH23" s="207" t="e">
        <f ca="1"/>
        <v>#N/A</v>
      </c>
      <c r="AI23" s="207" t="e">
        <f ca="1"/>
        <v>#N/A</v>
      </c>
      <c r="AJ23" s="207" t="e">
        <f ca="1"/>
        <v>#N/A</v>
      </c>
      <c r="AK23" s="207" t="e">
        <f ca="1"/>
        <v>#N/A</v>
      </c>
      <c r="AL23" s="207" t="e">
        <f ca="1"/>
        <v>#N/A</v>
      </c>
      <c r="AM23" s="207" t="e">
        <f ca="1"/>
        <v>#N/A</v>
      </c>
      <c r="AN23" s="207" t="e">
        <f ca="1"/>
        <v>#N/A</v>
      </c>
      <c r="AO23" s="207" t="e">
        <f ca="1"/>
        <v>#N/A</v>
      </c>
      <c r="AP23" s="207" t="e">
        <f ca="1"/>
        <v>#N/A</v>
      </c>
      <c r="AQ23" s="207" t="e">
        <f ca="1"/>
        <v>#N/A</v>
      </c>
      <c r="AR23" s="453">
        <v>22</v>
      </c>
      <c r="AS23" s="207">
        <v>0</v>
      </c>
      <c r="AT23" s="207">
        <v>0</v>
      </c>
      <c r="AU23" s="207">
        <v>0</v>
      </c>
      <c r="AV23" s="207">
        <v>0</v>
      </c>
      <c r="AW23" s="207">
        <v>0</v>
      </c>
      <c r="AX23" s="207">
        <v>0</v>
      </c>
      <c r="AY23" s="207">
        <v>0</v>
      </c>
      <c r="AZ23" s="207">
        <v>0</v>
      </c>
      <c r="BA23" s="207">
        <v>0</v>
      </c>
      <c r="BB23" s="207">
        <v>0</v>
      </c>
      <c r="BC23" s="207">
        <v>0</v>
      </c>
      <c r="BD23" s="207">
        <v>0</v>
      </c>
      <c r="BE23" s="207">
        <v>0</v>
      </c>
      <c r="BF23" s="207">
        <v>0</v>
      </c>
      <c r="BG23" s="207">
        <v>0</v>
      </c>
      <c r="BH23" s="207">
        <v>0</v>
      </c>
      <c r="BI23" s="207">
        <v>0</v>
      </c>
      <c r="BJ23" s="207">
        <v>0</v>
      </c>
      <c r="BK23" s="207">
        <v>0</v>
      </c>
      <c r="BL23" s="207">
        <v>0</v>
      </c>
      <c r="BM23" s="207">
        <v>0</v>
      </c>
      <c r="BN23" s="206">
        <f t="shared" ca="1" si="2"/>
        <v>0</v>
      </c>
      <c r="BO23" s="207">
        <v>0</v>
      </c>
      <c r="BP23" s="207">
        <v>0</v>
      </c>
      <c r="BQ23" s="207">
        <v>0</v>
      </c>
      <c r="BR23" s="207">
        <v>0</v>
      </c>
      <c r="BS23" s="207">
        <v>0</v>
      </c>
      <c r="BT23" s="207">
        <v>0</v>
      </c>
      <c r="BU23" s="207">
        <v>0</v>
      </c>
      <c r="BV23" s="207">
        <v>0</v>
      </c>
      <c r="BW23" s="207">
        <v>0</v>
      </c>
      <c r="BX23" s="207">
        <v>0</v>
      </c>
      <c r="BY23" s="207">
        <v>0</v>
      </c>
      <c r="BZ23" s="207">
        <v>0</v>
      </c>
      <c r="CA23" s="207">
        <v>0</v>
      </c>
      <c r="CB23" s="207">
        <v>0</v>
      </c>
      <c r="CC23" s="207">
        <v>0</v>
      </c>
      <c r="CD23" s="207">
        <v>0</v>
      </c>
      <c r="CE23" s="207">
        <v>0</v>
      </c>
      <c r="CF23" s="207">
        <v>0</v>
      </c>
    </row>
    <row r="24" spans="1:84" x14ac:dyDescent="0.2">
      <c r="A24" s="205">
        <v>23</v>
      </c>
      <c r="B24" s="206" t="e">
        <f ca="1"/>
        <v>#N/A</v>
      </c>
      <c r="C24" s="258" t="e">
        <f ca="1"/>
        <v>#N/A</v>
      </c>
      <c r="D24" s="207" t="e">
        <f ca="1"/>
        <v>#N/A</v>
      </c>
      <c r="E24" s="207" t="e">
        <f ca="1"/>
        <v>#N/A</v>
      </c>
      <c r="F24" s="207" t="e">
        <f ca="1"/>
        <v>#N/A</v>
      </c>
      <c r="G24" s="207" t="e">
        <f ca="1"/>
        <v>#N/A</v>
      </c>
      <c r="H24" s="207" t="e">
        <f ca="1"/>
        <v>#N/A</v>
      </c>
      <c r="I24" s="207" t="e">
        <f ca="1"/>
        <v>#N/A</v>
      </c>
      <c r="J24" s="207" t="e">
        <f ca="1"/>
        <v>#N/A</v>
      </c>
      <c r="K24" s="207" t="e">
        <f ca="1"/>
        <v>#N/A</v>
      </c>
      <c r="L24" s="207" t="e">
        <f ca="1"/>
        <v>#N/A</v>
      </c>
      <c r="M24" s="207" t="e">
        <f ca="1"/>
        <v>#N/A</v>
      </c>
      <c r="N24" s="207" t="e">
        <f ca="1"/>
        <v>#N/A</v>
      </c>
      <c r="O24" s="207" t="e">
        <f ca="1"/>
        <v>#N/A</v>
      </c>
      <c r="P24" s="207" t="e">
        <f ca="1"/>
        <v>#N/A</v>
      </c>
      <c r="Q24" s="207" t="e">
        <f ca="1"/>
        <v>#N/A</v>
      </c>
      <c r="R24" s="207" t="e">
        <f ca="1"/>
        <v>#N/A</v>
      </c>
      <c r="S24" s="207" t="e">
        <f ca="1"/>
        <v>#N/A</v>
      </c>
      <c r="T24" s="207" t="e">
        <f ca="1"/>
        <v>#N/A</v>
      </c>
      <c r="U24" s="207" t="e">
        <f ca="1"/>
        <v>#N/A</v>
      </c>
      <c r="V24" s="207" t="e">
        <f ca="1"/>
        <v>#N/A</v>
      </c>
      <c r="W24" s="207" t="e">
        <f ca="1"/>
        <v>#N/A</v>
      </c>
      <c r="X24" s="207" t="e">
        <f ca="1"/>
        <v>#N/A</v>
      </c>
      <c r="Y24" s="207" t="e">
        <f ca="1"/>
        <v>#N/A</v>
      </c>
      <c r="Z24" s="207" t="e">
        <f ca="1"/>
        <v>#N/A</v>
      </c>
      <c r="AA24" s="207" t="e">
        <f ca="1"/>
        <v>#N/A</v>
      </c>
      <c r="AB24" s="207" t="e">
        <f ca="1"/>
        <v>#N/A</v>
      </c>
      <c r="AC24" s="207" t="e">
        <f ca="1"/>
        <v>#N/A</v>
      </c>
      <c r="AD24" s="207" t="e">
        <f ca="1"/>
        <v>#N/A</v>
      </c>
      <c r="AE24" s="207" t="e">
        <f ca="1"/>
        <v>#N/A</v>
      </c>
      <c r="AF24" s="207" t="e">
        <f ca="1"/>
        <v>#N/A</v>
      </c>
      <c r="AG24" s="207" t="e">
        <f ca="1"/>
        <v>#N/A</v>
      </c>
      <c r="AH24" s="207" t="e">
        <f ca="1"/>
        <v>#N/A</v>
      </c>
      <c r="AI24" s="207" t="e">
        <f ca="1"/>
        <v>#N/A</v>
      </c>
      <c r="AJ24" s="207" t="e">
        <f ca="1"/>
        <v>#N/A</v>
      </c>
      <c r="AK24" s="207" t="e">
        <f ca="1"/>
        <v>#N/A</v>
      </c>
      <c r="AL24" s="207" t="e">
        <f ca="1"/>
        <v>#N/A</v>
      </c>
      <c r="AM24" s="207" t="e">
        <f ca="1"/>
        <v>#N/A</v>
      </c>
      <c r="AN24" s="207" t="e">
        <f ca="1"/>
        <v>#N/A</v>
      </c>
      <c r="AO24" s="207" t="e">
        <f ca="1"/>
        <v>#N/A</v>
      </c>
      <c r="AP24" s="207" t="e">
        <f ca="1"/>
        <v>#N/A</v>
      </c>
      <c r="AQ24" s="207" t="e">
        <f ca="1"/>
        <v>#N/A</v>
      </c>
      <c r="AR24" s="453">
        <v>23</v>
      </c>
      <c r="AS24" s="207">
        <v>0</v>
      </c>
      <c r="AT24" s="207">
        <v>0</v>
      </c>
      <c r="AU24" s="207">
        <v>0</v>
      </c>
      <c r="AV24" s="207">
        <v>0</v>
      </c>
      <c r="AW24" s="207">
        <v>0</v>
      </c>
      <c r="AX24" s="207">
        <v>0</v>
      </c>
      <c r="AY24" s="207">
        <v>0</v>
      </c>
      <c r="AZ24" s="207">
        <v>0</v>
      </c>
      <c r="BA24" s="207">
        <v>0</v>
      </c>
      <c r="BB24" s="207">
        <v>0</v>
      </c>
      <c r="BC24" s="207">
        <v>0</v>
      </c>
      <c r="BD24" s="207">
        <v>0</v>
      </c>
      <c r="BE24" s="207">
        <v>0</v>
      </c>
      <c r="BF24" s="207">
        <v>0</v>
      </c>
      <c r="BG24" s="207">
        <v>0</v>
      </c>
      <c r="BH24" s="207">
        <v>0</v>
      </c>
      <c r="BI24" s="207">
        <v>0</v>
      </c>
      <c r="BJ24" s="207">
        <v>0</v>
      </c>
      <c r="BK24" s="207">
        <v>0</v>
      </c>
      <c r="BL24" s="207">
        <v>0</v>
      </c>
      <c r="BM24" s="207">
        <v>0</v>
      </c>
      <c r="BN24" s="207">
        <v>0</v>
      </c>
      <c r="BO24" s="206">
        <f t="shared" ref="BO24:BQ26" ca="1" si="3">IF(OR(BO$1&gt;$E$51,$A24&gt;$E$51),0,IF(INDIRECT(ADDRESS(ROW($A$1)+$A24,COLUMN($C$1)+BO$1))=0,1,0))</f>
        <v>0</v>
      </c>
      <c r="BP24" s="207">
        <v>0</v>
      </c>
      <c r="BQ24" s="207">
        <v>0</v>
      </c>
      <c r="BR24" s="207">
        <v>0</v>
      </c>
      <c r="BS24" s="207">
        <v>0</v>
      </c>
      <c r="BT24" s="207">
        <v>0</v>
      </c>
      <c r="BU24" s="207">
        <v>0</v>
      </c>
      <c r="BV24" s="207">
        <v>0</v>
      </c>
      <c r="BW24" s="207">
        <v>0</v>
      </c>
      <c r="BX24" s="207">
        <v>0</v>
      </c>
      <c r="BY24" s="207">
        <v>0</v>
      </c>
      <c r="BZ24" s="207">
        <v>0</v>
      </c>
      <c r="CA24" s="207">
        <v>0</v>
      </c>
      <c r="CB24" s="207">
        <v>0</v>
      </c>
      <c r="CC24" s="207">
        <v>0</v>
      </c>
      <c r="CD24" s="207">
        <v>0</v>
      </c>
      <c r="CE24" s="207">
        <v>0</v>
      </c>
      <c r="CF24" s="207">
        <v>0</v>
      </c>
    </row>
    <row r="25" spans="1:84" x14ac:dyDescent="0.2">
      <c r="A25" s="205">
        <v>24</v>
      </c>
      <c r="B25" s="206" t="e">
        <f ca="1"/>
        <v>#N/A</v>
      </c>
      <c r="C25" s="258" t="e">
        <f ca="1"/>
        <v>#N/A</v>
      </c>
      <c r="D25" s="207" t="e">
        <f ca="1"/>
        <v>#N/A</v>
      </c>
      <c r="E25" s="207" t="e">
        <f ca="1"/>
        <v>#N/A</v>
      </c>
      <c r="F25" s="207" t="e">
        <f ca="1"/>
        <v>#N/A</v>
      </c>
      <c r="G25" s="207" t="e">
        <f ca="1"/>
        <v>#N/A</v>
      </c>
      <c r="H25" s="207" t="e">
        <f ca="1"/>
        <v>#N/A</v>
      </c>
      <c r="I25" s="207" t="e">
        <f ca="1"/>
        <v>#N/A</v>
      </c>
      <c r="J25" s="207" t="e">
        <f ca="1"/>
        <v>#N/A</v>
      </c>
      <c r="K25" s="207" t="e">
        <f ca="1"/>
        <v>#N/A</v>
      </c>
      <c r="L25" s="207" t="e">
        <f ca="1"/>
        <v>#N/A</v>
      </c>
      <c r="M25" s="207" t="e">
        <f ca="1"/>
        <v>#N/A</v>
      </c>
      <c r="N25" s="207" t="e">
        <f ca="1"/>
        <v>#N/A</v>
      </c>
      <c r="O25" s="207" t="e">
        <f ca="1"/>
        <v>#N/A</v>
      </c>
      <c r="P25" s="207" t="e">
        <f ca="1"/>
        <v>#N/A</v>
      </c>
      <c r="Q25" s="207" t="e">
        <f ca="1"/>
        <v>#N/A</v>
      </c>
      <c r="R25" s="207" t="e">
        <f ca="1"/>
        <v>#N/A</v>
      </c>
      <c r="S25" s="207" t="e">
        <f ca="1"/>
        <v>#N/A</v>
      </c>
      <c r="T25" s="207" t="e">
        <f ca="1"/>
        <v>#N/A</v>
      </c>
      <c r="U25" s="207" t="e">
        <f ca="1"/>
        <v>#N/A</v>
      </c>
      <c r="V25" s="207" t="e">
        <f ca="1"/>
        <v>#N/A</v>
      </c>
      <c r="W25" s="207" t="e">
        <f ca="1"/>
        <v>#N/A</v>
      </c>
      <c r="X25" s="207" t="e">
        <f ca="1"/>
        <v>#N/A</v>
      </c>
      <c r="Y25" s="207" t="e">
        <f ca="1"/>
        <v>#N/A</v>
      </c>
      <c r="Z25" s="207" t="e">
        <f ca="1"/>
        <v>#N/A</v>
      </c>
      <c r="AA25" s="207" t="e">
        <f ca="1"/>
        <v>#N/A</v>
      </c>
      <c r="AB25" s="207" t="e">
        <f ca="1"/>
        <v>#N/A</v>
      </c>
      <c r="AC25" s="207" t="e">
        <f ca="1"/>
        <v>#N/A</v>
      </c>
      <c r="AD25" s="207" t="e">
        <f ca="1"/>
        <v>#N/A</v>
      </c>
      <c r="AE25" s="207" t="e">
        <f ca="1"/>
        <v>#N/A</v>
      </c>
      <c r="AF25" s="207" t="e">
        <f ca="1"/>
        <v>#N/A</v>
      </c>
      <c r="AG25" s="207" t="e">
        <f ca="1"/>
        <v>#N/A</v>
      </c>
      <c r="AH25" s="207" t="e">
        <f ca="1"/>
        <v>#N/A</v>
      </c>
      <c r="AI25" s="207" t="e">
        <f ca="1"/>
        <v>#N/A</v>
      </c>
      <c r="AJ25" s="207" t="e">
        <f ca="1"/>
        <v>#N/A</v>
      </c>
      <c r="AK25" s="207" t="e">
        <f ca="1"/>
        <v>#N/A</v>
      </c>
      <c r="AL25" s="207" t="e">
        <f ca="1"/>
        <v>#N/A</v>
      </c>
      <c r="AM25" s="207" t="e">
        <f ca="1"/>
        <v>#N/A</v>
      </c>
      <c r="AN25" s="207" t="e">
        <f ca="1"/>
        <v>#N/A</v>
      </c>
      <c r="AO25" s="207" t="e">
        <f ca="1"/>
        <v>#N/A</v>
      </c>
      <c r="AP25" s="207" t="e">
        <f ca="1"/>
        <v>#N/A</v>
      </c>
      <c r="AQ25" s="207" t="e">
        <f ca="1"/>
        <v>#N/A</v>
      </c>
      <c r="AR25" s="453">
        <v>24</v>
      </c>
      <c r="AS25" s="207">
        <v>0</v>
      </c>
      <c r="AT25" s="207">
        <v>0</v>
      </c>
      <c r="AU25" s="207">
        <v>0</v>
      </c>
      <c r="AV25" s="207">
        <v>0</v>
      </c>
      <c r="AW25" s="207">
        <v>0</v>
      </c>
      <c r="AX25" s="207">
        <v>0</v>
      </c>
      <c r="AY25" s="207">
        <v>0</v>
      </c>
      <c r="AZ25" s="207">
        <v>0</v>
      </c>
      <c r="BA25" s="207">
        <v>0</v>
      </c>
      <c r="BB25" s="207">
        <v>0</v>
      </c>
      <c r="BC25" s="207">
        <v>0</v>
      </c>
      <c r="BD25" s="207">
        <v>0</v>
      </c>
      <c r="BE25" s="207">
        <v>0</v>
      </c>
      <c r="BF25" s="207">
        <v>0</v>
      </c>
      <c r="BG25" s="207">
        <v>0</v>
      </c>
      <c r="BH25" s="207">
        <v>0</v>
      </c>
      <c r="BI25" s="207">
        <v>0</v>
      </c>
      <c r="BJ25" s="207">
        <v>0</v>
      </c>
      <c r="BK25" s="207">
        <v>0</v>
      </c>
      <c r="BL25" s="207">
        <v>0</v>
      </c>
      <c r="BM25" s="207">
        <v>0</v>
      </c>
      <c r="BN25" s="207">
        <v>0</v>
      </c>
      <c r="BO25" s="207">
        <v>0</v>
      </c>
      <c r="BP25" s="206">
        <f t="shared" ca="1" si="3"/>
        <v>0</v>
      </c>
      <c r="BQ25" s="207">
        <v>0</v>
      </c>
      <c r="BR25" s="207">
        <v>0</v>
      </c>
      <c r="BS25" s="207">
        <v>0</v>
      </c>
      <c r="BT25" s="207">
        <v>0</v>
      </c>
      <c r="BU25" s="207">
        <v>0</v>
      </c>
      <c r="BV25" s="207">
        <v>0</v>
      </c>
      <c r="BW25" s="207">
        <v>0</v>
      </c>
      <c r="BX25" s="207">
        <v>0</v>
      </c>
      <c r="BY25" s="207">
        <v>0</v>
      </c>
      <c r="BZ25" s="207">
        <v>0</v>
      </c>
      <c r="CA25" s="207">
        <v>0</v>
      </c>
      <c r="CB25" s="207">
        <v>0</v>
      </c>
      <c r="CC25" s="207">
        <v>0</v>
      </c>
      <c r="CD25" s="207">
        <v>0</v>
      </c>
      <c r="CE25" s="207">
        <v>0</v>
      </c>
      <c r="CF25" s="207">
        <v>0</v>
      </c>
    </row>
    <row r="26" spans="1:84" x14ac:dyDescent="0.2">
      <c r="A26" s="205">
        <v>25</v>
      </c>
      <c r="B26" s="206" t="e">
        <f ca="1"/>
        <v>#N/A</v>
      </c>
      <c r="C26" s="258" t="e">
        <f ca="1"/>
        <v>#N/A</v>
      </c>
      <c r="D26" s="207" t="e">
        <f ca="1"/>
        <v>#N/A</v>
      </c>
      <c r="E26" s="207" t="e">
        <f ca="1"/>
        <v>#N/A</v>
      </c>
      <c r="F26" s="207" t="e">
        <f ca="1"/>
        <v>#N/A</v>
      </c>
      <c r="G26" s="207" t="e">
        <f ca="1"/>
        <v>#N/A</v>
      </c>
      <c r="H26" s="207" t="e">
        <f ca="1"/>
        <v>#N/A</v>
      </c>
      <c r="I26" s="207" t="e">
        <f ca="1"/>
        <v>#N/A</v>
      </c>
      <c r="J26" s="207" t="e">
        <f ca="1"/>
        <v>#N/A</v>
      </c>
      <c r="K26" s="207" t="e">
        <f ca="1"/>
        <v>#N/A</v>
      </c>
      <c r="L26" s="207" t="e">
        <f ca="1"/>
        <v>#N/A</v>
      </c>
      <c r="M26" s="207" t="e">
        <f ca="1"/>
        <v>#N/A</v>
      </c>
      <c r="N26" s="207" t="e">
        <f ca="1"/>
        <v>#N/A</v>
      </c>
      <c r="O26" s="207" t="e">
        <f ca="1"/>
        <v>#N/A</v>
      </c>
      <c r="P26" s="207" t="e">
        <f ca="1"/>
        <v>#N/A</v>
      </c>
      <c r="Q26" s="207" t="e">
        <f ca="1"/>
        <v>#N/A</v>
      </c>
      <c r="R26" s="207" t="e">
        <f ca="1"/>
        <v>#N/A</v>
      </c>
      <c r="S26" s="207" t="e">
        <f ca="1"/>
        <v>#N/A</v>
      </c>
      <c r="T26" s="207" t="e">
        <f ca="1"/>
        <v>#N/A</v>
      </c>
      <c r="U26" s="207" t="e">
        <f ca="1"/>
        <v>#N/A</v>
      </c>
      <c r="V26" s="207" t="e">
        <f ca="1"/>
        <v>#N/A</v>
      </c>
      <c r="W26" s="207" t="e">
        <f ca="1"/>
        <v>#N/A</v>
      </c>
      <c r="X26" s="207" t="e">
        <f ca="1"/>
        <v>#N/A</v>
      </c>
      <c r="Y26" s="207" t="e">
        <f ca="1"/>
        <v>#N/A</v>
      </c>
      <c r="Z26" s="207" t="e">
        <f ca="1"/>
        <v>#N/A</v>
      </c>
      <c r="AA26" s="207" t="e">
        <f ca="1"/>
        <v>#N/A</v>
      </c>
      <c r="AB26" s="207" t="e">
        <f ca="1"/>
        <v>#N/A</v>
      </c>
      <c r="AC26" s="207" t="e">
        <f ca="1"/>
        <v>#N/A</v>
      </c>
      <c r="AD26" s="207" t="e">
        <f ca="1"/>
        <v>#N/A</v>
      </c>
      <c r="AE26" s="207" t="e">
        <f ca="1"/>
        <v>#N/A</v>
      </c>
      <c r="AF26" s="207" t="e">
        <f ca="1"/>
        <v>#N/A</v>
      </c>
      <c r="AG26" s="207" t="e">
        <f ca="1"/>
        <v>#N/A</v>
      </c>
      <c r="AH26" s="207" t="e">
        <f ca="1"/>
        <v>#N/A</v>
      </c>
      <c r="AI26" s="207" t="e">
        <f ca="1"/>
        <v>#N/A</v>
      </c>
      <c r="AJ26" s="207" t="e">
        <f ca="1"/>
        <v>#N/A</v>
      </c>
      <c r="AK26" s="207" t="e">
        <f ca="1"/>
        <v>#N/A</v>
      </c>
      <c r="AL26" s="207" t="e">
        <f ca="1"/>
        <v>#N/A</v>
      </c>
      <c r="AM26" s="207" t="e">
        <f ca="1"/>
        <v>#N/A</v>
      </c>
      <c r="AN26" s="207" t="e">
        <f ca="1"/>
        <v>#N/A</v>
      </c>
      <c r="AO26" s="207" t="e">
        <f ca="1"/>
        <v>#N/A</v>
      </c>
      <c r="AP26" s="207" t="e">
        <f ca="1"/>
        <v>#N/A</v>
      </c>
      <c r="AQ26" s="207" t="e">
        <f ca="1"/>
        <v>#N/A</v>
      </c>
      <c r="AR26" s="453">
        <v>25</v>
      </c>
      <c r="AS26" s="207">
        <v>0</v>
      </c>
      <c r="AT26" s="207">
        <v>0</v>
      </c>
      <c r="AU26" s="207">
        <v>0</v>
      </c>
      <c r="AV26" s="207">
        <v>0</v>
      </c>
      <c r="AW26" s="207">
        <v>0</v>
      </c>
      <c r="AX26" s="207">
        <v>0</v>
      </c>
      <c r="AY26" s="207">
        <v>0</v>
      </c>
      <c r="AZ26" s="207">
        <v>0</v>
      </c>
      <c r="BA26" s="207">
        <v>0</v>
      </c>
      <c r="BB26" s="207">
        <v>0</v>
      </c>
      <c r="BC26" s="207">
        <v>0</v>
      </c>
      <c r="BD26" s="207">
        <v>0</v>
      </c>
      <c r="BE26" s="207">
        <v>0</v>
      </c>
      <c r="BF26" s="207">
        <v>0</v>
      </c>
      <c r="BG26" s="207">
        <v>0</v>
      </c>
      <c r="BH26" s="207">
        <v>0</v>
      </c>
      <c r="BI26" s="207">
        <v>0</v>
      </c>
      <c r="BJ26" s="207">
        <v>0</v>
      </c>
      <c r="BK26" s="207">
        <v>0</v>
      </c>
      <c r="BL26" s="207">
        <v>0</v>
      </c>
      <c r="BM26" s="207">
        <v>0</v>
      </c>
      <c r="BN26" s="207">
        <v>0</v>
      </c>
      <c r="BO26" s="207">
        <v>0</v>
      </c>
      <c r="BP26" s="207">
        <v>0</v>
      </c>
      <c r="BQ26" s="206">
        <f t="shared" ca="1" si="3"/>
        <v>0</v>
      </c>
      <c r="BR26" s="207">
        <v>0</v>
      </c>
      <c r="BS26" s="207">
        <v>0</v>
      </c>
      <c r="BT26" s="207">
        <v>0</v>
      </c>
      <c r="BU26" s="207">
        <v>0</v>
      </c>
      <c r="BV26" s="207">
        <v>0</v>
      </c>
      <c r="BW26" s="207">
        <v>0</v>
      </c>
      <c r="BX26" s="207">
        <v>0</v>
      </c>
      <c r="BY26" s="207">
        <v>0</v>
      </c>
      <c r="BZ26" s="207">
        <v>0</v>
      </c>
      <c r="CA26" s="207">
        <v>0</v>
      </c>
      <c r="CB26" s="207">
        <v>0</v>
      </c>
      <c r="CC26" s="207">
        <v>0</v>
      </c>
      <c r="CD26" s="207">
        <v>0</v>
      </c>
      <c r="CE26" s="207">
        <v>0</v>
      </c>
      <c r="CF26" s="207">
        <v>0</v>
      </c>
    </row>
    <row r="27" spans="1:84" x14ac:dyDescent="0.2">
      <c r="A27" s="205">
        <v>26</v>
      </c>
      <c r="B27" s="206" t="e">
        <f ca="1"/>
        <v>#N/A</v>
      </c>
      <c r="C27" s="258" t="e">
        <f ca="1"/>
        <v>#N/A</v>
      </c>
      <c r="D27" s="207" t="e">
        <f ca="1"/>
        <v>#N/A</v>
      </c>
      <c r="E27" s="207" t="e">
        <f ca="1"/>
        <v>#N/A</v>
      </c>
      <c r="F27" s="207" t="e">
        <f ca="1"/>
        <v>#N/A</v>
      </c>
      <c r="G27" s="207" t="e">
        <f ca="1"/>
        <v>#N/A</v>
      </c>
      <c r="H27" s="207" t="e">
        <f ca="1"/>
        <v>#N/A</v>
      </c>
      <c r="I27" s="207" t="e">
        <f ca="1"/>
        <v>#N/A</v>
      </c>
      <c r="J27" s="207" t="e">
        <f ca="1"/>
        <v>#N/A</v>
      </c>
      <c r="K27" s="207" t="e">
        <f ca="1"/>
        <v>#N/A</v>
      </c>
      <c r="L27" s="207" t="e">
        <f ca="1"/>
        <v>#N/A</v>
      </c>
      <c r="M27" s="207" t="e">
        <f ca="1"/>
        <v>#N/A</v>
      </c>
      <c r="N27" s="207" t="e">
        <f ca="1"/>
        <v>#N/A</v>
      </c>
      <c r="O27" s="207" t="e">
        <f ca="1"/>
        <v>#N/A</v>
      </c>
      <c r="P27" s="207" t="e">
        <f ca="1"/>
        <v>#N/A</v>
      </c>
      <c r="Q27" s="207" t="e">
        <f ca="1"/>
        <v>#N/A</v>
      </c>
      <c r="R27" s="207" t="e">
        <f ca="1"/>
        <v>#N/A</v>
      </c>
      <c r="S27" s="207" t="e">
        <f ca="1"/>
        <v>#N/A</v>
      </c>
      <c r="T27" s="207" t="e">
        <f ca="1"/>
        <v>#N/A</v>
      </c>
      <c r="U27" s="207" t="e">
        <f ca="1"/>
        <v>#N/A</v>
      </c>
      <c r="V27" s="207" t="e">
        <f ca="1"/>
        <v>#N/A</v>
      </c>
      <c r="W27" s="207" t="e">
        <f ca="1"/>
        <v>#N/A</v>
      </c>
      <c r="X27" s="207" t="e">
        <f ca="1"/>
        <v>#N/A</v>
      </c>
      <c r="Y27" s="207" t="e">
        <f ca="1"/>
        <v>#N/A</v>
      </c>
      <c r="Z27" s="207" t="e">
        <f ca="1"/>
        <v>#N/A</v>
      </c>
      <c r="AA27" s="207" t="e">
        <f ca="1"/>
        <v>#N/A</v>
      </c>
      <c r="AB27" s="207" t="e">
        <f ca="1"/>
        <v>#N/A</v>
      </c>
      <c r="AC27" s="207" t="e">
        <f ca="1"/>
        <v>#N/A</v>
      </c>
      <c r="AD27" s="207" t="e">
        <f ca="1"/>
        <v>#N/A</v>
      </c>
      <c r="AE27" s="207" t="e">
        <f ca="1"/>
        <v>#N/A</v>
      </c>
      <c r="AF27" s="207" t="e">
        <f ca="1"/>
        <v>#N/A</v>
      </c>
      <c r="AG27" s="207" t="e">
        <f ca="1"/>
        <v>#N/A</v>
      </c>
      <c r="AH27" s="207" t="e">
        <f ca="1"/>
        <v>#N/A</v>
      </c>
      <c r="AI27" s="207" t="e">
        <f ca="1"/>
        <v>#N/A</v>
      </c>
      <c r="AJ27" s="207" t="e">
        <f ca="1"/>
        <v>#N/A</v>
      </c>
      <c r="AK27" s="207" t="e">
        <f ca="1"/>
        <v>#N/A</v>
      </c>
      <c r="AL27" s="207" t="e">
        <f ca="1"/>
        <v>#N/A</v>
      </c>
      <c r="AM27" s="207" t="e">
        <f ca="1"/>
        <v>#N/A</v>
      </c>
      <c r="AN27" s="207" t="e">
        <f ca="1"/>
        <v>#N/A</v>
      </c>
      <c r="AO27" s="207" t="e">
        <f ca="1"/>
        <v>#N/A</v>
      </c>
      <c r="AP27" s="207" t="e">
        <f ca="1"/>
        <v>#N/A</v>
      </c>
      <c r="AQ27" s="207" t="e">
        <f ca="1"/>
        <v>#N/A</v>
      </c>
      <c r="AR27" s="453">
        <v>26</v>
      </c>
      <c r="AS27" s="207">
        <v>0</v>
      </c>
      <c r="AT27" s="207">
        <v>0</v>
      </c>
      <c r="AU27" s="207">
        <v>0</v>
      </c>
      <c r="AV27" s="207">
        <v>0</v>
      </c>
      <c r="AW27" s="207">
        <v>0</v>
      </c>
      <c r="AX27" s="207">
        <v>0</v>
      </c>
      <c r="AY27" s="207">
        <v>0</v>
      </c>
      <c r="AZ27" s="207">
        <v>0</v>
      </c>
      <c r="BA27" s="207">
        <v>0</v>
      </c>
      <c r="BB27" s="207">
        <v>0</v>
      </c>
      <c r="BC27" s="207">
        <v>0</v>
      </c>
      <c r="BD27" s="207">
        <v>0</v>
      </c>
      <c r="BE27" s="207">
        <v>0</v>
      </c>
      <c r="BF27" s="207">
        <v>0</v>
      </c>
      <c r="BG27" s="207">
        <v>0</v>
      </c>
      <c r="BH27" s="207">
        <v>0</v>
      </c>
      <c r="BI27" s="207">
        <v>0</v>
      </c>
      <c r="BJ27" s="207">
        <v>0</v>
      </c>
      <c r="BK27" s="207">
        <v>0</v>
      </c>
      <c r="BL27" s="207">
        <v>0</v>
      </c>
      <c r="BM27" s="207">
        <v>0</v>
      </c>
      <c r="BN27" s="207">
        <v>0</v>
      </c>
      <c r="BO27" s="207">
        <v>0</v>
      </c>
      <c r="BP27" s="207">
        <v>0</v>
      </c>
      <c r="BQ27" s="207">
        <v>0</v>
      </c>
      <c r="BR27" s="206">
        <f t="shared" ref="BR27:CE40" ca="1" si="4">IF(OR(BR$1&gt;$E$51,$A27&gt;$E$51),0,IF(INDIRECT(ADDRESS(ROW($A$1)+$A27,COLUMN($C$1)+BR$1))=0,1,0))</f>
        <v>0</v>
      </c>
      <c r="BS27" s="207">
        <v>0</v>
      </c>
      <c r="BT27" s="207">
        <v>0</v>
      </c>
      <c r="BU27" s="207">
        <v>0</v>
      </c>
      <c r="BV27" s="207">
        <v>0</v>
      </c>
      <c r="BW27" s="207">
        <v>0</v>
      </c>
      <c r="BX27" s="207">
        <v>0</v>
      </c>
      <c r="BY27" s="207">
        <v>0</v>
      </c>
      <c r="BZ27" s="207">
        <v>0</v>
      </c>
      <c r="CA27" s="207">
        <v>0</v>
      </c>
      <c r="CB27" s="207">
        <v>0</v>
      </c>
      <c r="CC27" s="207">
        <v>0</v>
      </c>
      <c r="CD27" s="207">
        <v>0</v>
      </c>
      <c r="CE27" s="207">
        <v>0</v>
      </c>
      <c r="CF27" s="207">
        <v>0</v>
      </c>
    </row>
    <row r="28" spans="1:84" x14ac:dyDescent="0.2">
      <c r="A28" s="205">
        <v>27</v>
      </c>
      <c r="B28" s="206" t="e">
        <f ca="1"/>
        <v>#N/A</v>
      </c>
      <c r="C28" s="258" t="e">
        <f ca="1"/>
        <v>#N/A</v>
      </c>
      <c r="D28" s="207" t="e">
        <f ca="1"/>
        <v>#N/A</v>
      </c>
      <c r="E28" s="207" t="e">
        <f ca="1"/>
        <v>#N/A</v>
      </c>
      <c r="F28" s="207" t="e">
        <f ca="1"/>
        <v>#N/A</v>
      </c>
      <c r="G28" s="207" t="e">
        <f ca="1"/>
        <v>#N/A</v>
      </c>
      <c r="H28" s="207" t="e">
        <f ca="1"/>
        <v>#N/A</v>
      </c>
      <c r="I28" s="207" t="e">
        <f ca="1"/>
        <v>#N/A</v>
      </c>
      <c r="J28" s="207" t="e">
        <f ca="1"/>
        <v>#N/A</v>
      </c>
      <c r="K28" s="207" t="e">
        <f ca="1"/>
        <v>#N/A</v>
      </c>
      <c r="L28" s="207" t="e">
        <f ca="1"/>
        <v>#N/A</v>
      </c>
      <c r="M28" s="207" t="e">
        <f ca="1"/>
        <v>#N/A</v>
      </c>
      <c r="N28" s="207" t="e">
        <f ca="1"/>
        <v>#N/A</v>
      </c>
      <c r="O28" s="207" t="e">
        <f ca="1"/>
        <v>#N/A</v>
      </c>
      <c r="P28" s="207" t="e">
        <f ca="1"/>
        <v>#N/A</v>
      </c>
      <c r="Q28" s="207" t="e">
        <f ca="1"/>
        <v>#N/A</v>
      </c>
      <c r="R28" s="207" t="e">
        <f ca="1"/>
        <v>#N/A</v>
      </c>
      <c r="S28" s="207" t="e">
        <f ca="1"/>
        <v>#N/A</v>
      </c>
      <c r="T28" s="207" t="e">
        <f ca="1"/>
        <v>#N/A</v>
      </c>
      <c r="U28" s="207" t="e">
        <f ca="1"/>
        <v>#N/A</v>
      </c>
      <c r="V28" s="207" t="e">
        <f ca="1"/>
        <v>#N/A</v>
      </c>
      <c r="W28" s="207" t="e">
        <f ca="1"/>
        <v>#N/A</v>
      </c>
      <c r="X28" s="207" t="e">
        <f ca="1"/>
        <v>#N/A</v>
      </c>
      <c r="Y28" s="207" t="e">
        <f ca="1"/>
        <v>#N/A</v>
      </c>
      <c r="Z28" s="207" t="e">
        <f ca="1"/>
        <v>#N/A</v>
      </c>
      <c r="AA28" s="207" t="e">
        <f ca="1"/>
        <v>#N/A</v>
      </c>
      <c r="AB28" s="207" t="e">
        <f ca="1"/>
        <v>#N/A</v>
      </c>
      <c r="AC28" s="207" t="e">
        <f ca="1"/>
        <v>#N/A</v>
      </c>
      <c r="AD28" s="207" t="e">
        <f ca="1"/>
        <v>#N/A</v>
      </c>
      <c r="AE28" s="207" t="e">
        <f ca="1"/>
        <v>#N/A</v>
      </c>
      <c r="AF28" s="207" t="e">
        <f ca="1"/>
        <v>#N/A</v>
      </c>
      <c r="AG28" s="207" t="e">
        <f ca="1"/>
        <v>#N/A</v>
      </c>
      <c r="AH28" s="207" t="e">
        <f ca="1"/>
        <v>#N/A</v>
      </c>
      <c r="AI28" s="207" t="e">
        <f ca="1"/>
        <v>#N/A</v>
      </c>
      <c r="AJ28" s="207" t="e">
        <f ca="1"/>
        <v>#N/A</v>
      </c>
      <c r="AK28" s="207" t="e">
        <f ca="1"/>
        <v>#N/A</v>
      </c>
      <c r="AL28" s="207" t="e">
        <f ca="1"/>
        <v>#N/A</v>
      </c>
      <c r="AM28" s="207" t="e">
        <f ca="1"/>
        <v>#N/A</v>
      </c>
      <c r="AN28" s="207" t="e">
        <f ca="1"/>
        <v>#N/A</v>
      </c>
      <c r="AO28" s="207" t="e">
        <f ca="1"/>
        <v>#N/A</v>
      </c>
      <c r="AP28" s="207" t="e">
        <f ca="1"/>
        <v>#N/A</v>
      </c>
      <c r="AQ28" s="207" t="e">
        <f ca="1"/>
        <v>#N/A</v>
      </c>
      <c r="AR28" s="453">
        <v>27</v>
      </c>
      <c r="AS28" s="207">
        <v>0</v>
      </c>
      <c r="AT28" s="207">
        <v>0</v>
      </c>
      <c r="AU28" s="207">
        <v>0</v>
      </c>
      <c r="AV28" s="207">
        <v>0</v>
      </c>
      <c r="AW28" s="207">
        <v>0</v>
      </c>
      <c r="AX28" s="207">
        <v>0</v>
      </c>
      <c r="AY28" s="207">
        <v>0</v>
      </c>
      <c r="AZ28" s="207">
        <v>0</v>
      </c>
      <c r="BA28" s="207">
        <v>0</v>
      </c>
      <c r="BB28" s="207">
        <v>0</v>
      </c>
      <c r="BC28" s="207">
        <v>0</v>
      </c>
      <c r="BD28" s="207">
        <v>0</v>
      </c>
      <c r="BE28" s="207">
        <v>0</v>
      </c>
      <c r="BF28" s="207">
        <v>0</v>
      </c>
      <c r="BG28" s="207">
        <v>0</v>
      </c>
      <c r="BH28" s="207">
        <v>0</v>
      </c>
      <c r="BI28" s="207">
        <v>0</v>
      </c>
      <c r="BJ28" s="207">
        <v>0</v>
      </c>
      <c r="BK28" s="207">
        <v>0</v>
      </c>
      <c r="BL28" s="207">
        <v>0</v>
      </c>
      <c r="BM28" s="207">
        <v>0</v>
      </c>
      <c r="BN28" s="207">
        <v>0</v>
      </c>
      <c r="BO28" s="207">
        <v>0</v>
      </c>
      <c r="BP28" s="207">
        <v>0</v>
      </c>
      <c r="BQ28" s="207">
        <v>0</v>
      </c>
      <c r="BR28" s="207">
        <v>0</v>
      </c>
      <c r="BS28" s="206">
        <f t="shared" ca="1" si="4"/>
        <v>0</v>
      </c>
      <c r="BT28" s="207">
        <v>0</v>
      </c>
      <c r="BU28" s="207">
        <v>0</v>
      </c>
      <c r="BV28" s="207">
        <v>0</v>
      </c>
      <c r="BW28" s="207">
        <v>0</v>
      </c>
      <c r="BX28" s="207">
        <v>0</v>
      </c>
      <c r="BY28" s="207">
        <v>0</v>
      </c>
      <c r="BZ28" s="207">
        <v>0</v>
      </c>
      <c r="CA28" s="207">
        <v>0</v>
      </c>
      <c r="CB28" s="207">
        <v>0</v>
      </c>
      <c r="CC28" s="207">
        <v>0</v>
      </c>
      <c r="CD28" s="207">
        <v>0</v>
      </c>
      <c r="CE28" s="207">
        <v>0</v>
      </c>
      <c r="CF28" s="207">
        <v>0</v>
      </c>
    </row>
    <row r="29" spans="1:84" x14ac:dyDescent="0.2">
      <c r="A29" s="205">
        <v>28</v>
      </c>
      <c r="B29" s="206" t="e">
        <f ca="1"/>
        <v>#N/A</v>
      </c>
      <c r="C29" s="258" t="e">
        <f ca="1"/>
        <v>#N/A</v>
      </c>
      <c r="D29" s="207" t="e">
        <f ca="1"/>
        <v>#N/A</v>
      </c>
      <c r="E29" s="207" t="e">
        <f ca="1"/>
        <v>#N/A</v>
      </c>
      <c r="F29" s="207" t="e">
        <f ca="1"/>
        <v>#N/A</v>
      </c>
      <c r="G29" s="207" t="e">
        <f ca="1"/>
        <v>#N/A</v>
      </c>
      <c r="H29" s="207" t="e">
        <f ca="1"/>
        <v>#N/A</v>
      </c>
      <c r="I29" s="207" t="e">
        <f ca="1"/>
        <v>#N/A</v>
      </c>
      <c r="J29" s="207" t="e">
        <f ca="1"/>
        <v>#N/A</v>
      </c>
      <c r="K29" s="207" t="e">
        <f ca="1"/>
        <v>#N/A</v>
      </c>
      <c r="L29" s="207" t="e">
        <f ca="1"/>
        <v>#N/A</v>
      </c>
      <c r="M29" s="207" t="e">
        <f ca="1"/>
        <v>#N/A</v>
      </c>
      <c r="N29" s="207" t="e">
        <f ca="1"/>
        <v>#N/A</v>
      </c>
      <c r="O29" s="207" t="e">
        <f ca="1"/>
        <v>#N/A</v>
      </c>
      <c r="P29" s="207" t="e">
        <f ca="1"/>
        <v>#N/A</v>
      </c>
      <c r="Q29" s="207" t="e">
        <f ca="1"/>
        <v>#N/A</v>
      </c>
      <c r="R29" s="207" t="e">
        <f ca="1"/>
        <v>#N/A</v>
      </c>
      <c r="S29" s="207" t="e">
        <f ca="1"/>
        <v>#N/A</v>
      </c>
      <c r="T29" s="207" t="e">
        <f ca="1"/>
        <v>#N/A</v>
      </c>
      <c r="U29" s="207" t="e">
        <f ca="1"/>
        <v>#N/A</v>
      </c>
      <c r="V29" s="207" t="e">
        <f ca="1"/>
        <v>#N/A</v>
      </c>
      <c r="W29" s="207" t="e">
        <f ca="1"/>
        <v>#N/A</v>
      </c>
      <c r="X29" s="207" t="e">
        <f ca="1"/>
        <v>#N/A</v>
      </c>
      <c r="Y29" s="207" t="e">
        <f ca="1"/>
        <v>#N/A</v>
      </c>
      <c r="Z29" s="207" t="e">
        <f ca="1"/>
        <v>#N/A</v>
      </c>
      <c r="AA29" s="207" t="e">
        <f ca="1"/>
        <v>#N/A</v>
      </c>
      <c r="AB29" s="207" t="e">
        <f ca="1"/>
        <v>#N/A</v>
      </c>
      <c r="AC29" s="207" t="e">
        <f ca="1"/>
        <v>#N/A</v>
      </c>
      <c r="AD29" s="207" t="e">
        <f ca="1"/>
        <v>#N/A</v>
      </c>
      <c r="AE29" s="207" t="e">
        <f ca="1"/>
        <v>#N/A</v>
      </c>
      <c r="AF29" s="207" t="e">
        <f ca="1"/>
        <v>#N/A</v>
      </c>
      <c r="AG29" s="207" t="e">
        <f ca="1"/>
        <v>#N/A</v>
      </c>
      <c r="AH29" s="207" t="e">
        <f ca="1"/>
        <v>#N/A</v>
      </c>
      <c r="AI29" s="207" t="e">
        <f ca="1"/>
        <v>#N/A</v>
      </c>
      <c r="AJ29" s="207" t="e">
        <f ca="1"/>
        <v>#N/A</v>
      </c>
      <c r="AK29" s="207" t="e">
        <f ca="1"/>
        <v>#N/A</v>
      </c>
      <c r="AL29" s="207" t="e">
        <f ca="1"/>
        <v>#N/A</v>
      </c>
      <c r="AM29" s="207" t="e">
        <f ca="1"/>
        <v>#N/A</v>
      </c>
      <c r="AN29" s="207" t="e">
        <f ca="1"/>
        <v>#N/A</v>
      </c>
      <c r="AO29" s="207" t="e">
        <f ca="1"/>
        <v>#N/A</v>
      </c>
      <c r="AP29" s="207" t="e">
        <f ca="1"/>
        <v>#N/A</v>
      </c>
      <c r="AQ29" s="207" t="e">
        <f ca="1"/>
        <v>#N/A</v>
      </c>
      <c r="AR29" s="453">
        <v>28</v>
      </c>
      <c r="AS29" s="207">
        <v>0</v>
      </c>
      <c r="AT29" s="207">
        <v>0</v>
      </c>
      <c r="AU29" s="207">
        <v>0</v>
      </c>
      <c r="AV29" s="207">
        <v>0</v>
      </c>
      <c r="AW29" s="207">
        <v>0</v>
      </c>
      <c r="AX29" s="207">
        <v>0</v>
      </c>
      <c r="AY29" s="207">
        <v>0</v>
      </c>
      <c r="AZ29" s="207">
        <v>0</v>
      </c>
      <c r="BA29" s="207">
        <v>0</v>
      </c>
      <c r="BB29" s="207">
        <v>0</v>
      </c>
      <c r="BC29" s="207">
        <v>0</v>
      </c>
      <c r="BD29" s="207">
        <v>0</v>
      </c>
      <c r="BE29" s="207">
        <v>0</v>
      </c>
      <c r="BF29" s="207">
        <v>0</v>
      </c>
      <c r="BG29" s="207">
        <v>0</v>
      </c>
      <c r="BH29" s="207">
        <v>0</v>
      </c>
      <c r="BI29" s="207">
        <v>0</v>
      </c>
      <c r="BJ29" s="207">
        <v>0</v>
      </c>
      <c r="BK29" s="207">
        <v>0</v>
      </c>
      <c r="BL29" s="207">
        <v>0</v>
      </c>
      <c r="BM29" s="207">
        <v>0</v>
      </c>
      <c r="BN29" s="207">
        <v>0</v>
      </c>
      <c r="BO29" s="207">
        <v>0</v>
      </c>
      <c r="BP29" s="207">
        <v>0</v>
      </c>
      <c r="BQ29" s="207">
        <v>0</v>
      </c>
      <c r="BR29" s="207">
        <v>0</v>
      </c>
      <c r="BS29" s="207">
        <v>0</v>
      </c>
      <c r="BT29" s="206">
        <f t="shared" ca="1" si="4"/>
        <v>0</v>
      </c>
      <c r="BU29" s="207">
        <v>0</v>
      </c>
      <c r="BV29" s="207">
        <v>0</v>
      </c>
      <c r="BW29" s="207">
        <v>0</v>
      </c>
      <c r="BX29" s="207">
        <v>0</v>
      </c>
      <c r="BY29" s="207">
        <v>0</v>
      </c>
      <c r="BZ29" s="207">
        <v>0</v>
      </c>
      <c r="CA29" s="207">
        <v>0</v>
      </c>
      <c r="CB29" s="207">
        <v>0</v>
      </c>
      <c r="CC29" s="207">
        <v>0</v>
      </c>
      <c r="CD29" s="207">
        <v>0</v>
      </c>
      <c r="CE29" s="207">
        <v>0</v>
      </c>
      <c r="CF29" s="207">
        <v>0</v>
      </c>
    </row>
    <row r="30" spans="1:84" x14ac:dyDescent="0.2">
      <c r="A30" s="205">
        <v>29</v>
      </c>
      <c r="B30" s="206" t="e">
        <f ca="1"/>
        <v>#N/A</v>
      </c>
      <c r="C30" s="258" t="e">
        <f ca="1"/>
        <v>#N/A</v>
      </c>
      <c r="D30" s="207" t="e">
        <f ca="1"/>
        <v>#N/A</v>
      </c>
      <c r="E30" s="207" t="e">
        <f ca="1"/>
        <v>#N/A</v>
      </c>
      <c r="F30" s="207" t="e">
        <f ca="1"/>
        <v>#N/A</v>
      </c>
      <c r="G30" s="207" t="e">
        <f ca="1"/>
        <v>#N/A</v>
      </c>
      <c r="H30" s="207" t="e">
        <f ca="1"/>
        <v>#N/A</v>
      </c>
      <c r="I30" s="207" t="e">
        <f ca="1"/>
        <v>#N/A</v>
      </c>
      <c r="J30" s="207" t="e">
        <f ca="1"/>
        <v>#N/A</v>
      </c>
      <c r="K30" s="207" t="e">
        <f ca="1"/>
        <v>#N/A</v>
      </c>
      <c r="L30" s="207" t="e">
        <f ca="1"/>
        <v>#N/A</v>
      </c>
      <c r="M30" s="207" t="e">
        <f ca="1"/>
        <v>#N/A</v>
      </c>
      <c r="N30" s="207" t="e">
        <f ca="1"/>
        <v>#N/A</v>
      </c>
      <c r="O30" s="207" t="e">
        <f ca="1"/>
        <v>#N/A</v>
      </c>
      <c r="P30" s="207" t="e">
        <f ca="1"/>
        <v>#N/A</v>
      </c>
      <c r="Q30" s="207" t="e">
        <f ca="1"/>
        <v>#N/A</v>
      </c>
      <c r="R30" s="207" t="e">
        <f ca="1"/>
        <v>#N/A</v>
      </c>
      <c r="S30" s="207" t="e">
        <f ca="1"/>
        <v>#N/A</v>
      </c>
      <c r="T30" s="207" t="e">
        <f ca="1"/>
        <v>#N/A</v>
      </c>
      <c r="U30" s="207" t="e">
        <f ca="1"/>
        <v>#N/A</v>
      </c>
      <c r="V30" s="207" t="e">
        <f ca="1"/>
        <v>#N/A</v>
      </c>
      <c r="W30" s="207" t="e">
        <f ca="1"/>
        <v>#N/A</v>
      </c>
      <c r="X30" s="207" t="e">
        <f ca="1"/>
        <v>#N/A</v>
      </c>
      <c r="Y30" s="207" t="e">
        <f ca="1"/>
        <v>#N/A</v>
      </c>
      <c r="Z30" s="207" t="e">
        <f ca="1"/>
        <v>#N/A</v>
      </c>
      <c r="AA30" s="207" t="e">
        <f ca="1"/>
        <v>#N/A</v>
      </c>
      <c r="AB30" s="207" t="e">
        <f ca="1"/>
        <v>#N/A</v>
      </c>
      <c r="AC30" s="207" t="e">
        <f ca="1"/>
        <v>#N/A</v>
      </c>
      <c r="AD30" s="207" t="e">
        <f ca="1"/>
        <v>#N/A</v>
      </c>
      <c r="AE30" s="207" t="e">
        <f ca="1"/>
        <v>#N/A</v>
      </c>
      <c r="AF30" s="207" t="e">
        <f ca="1"/>
        <v>#N/A</v>
      </c>
      <c r="AG30" s="207" t="e">
        <f ca="1"/>
        <v>#N/A</v>
      </c>
      <c r="AH30" s="207" t="e">
        <f ca="1"/>
        <v>#N/A</v>
      </c>
      <c r="AI30" s="207" t="e">
        <f ca="1"/>
        <v>#N/A</v>
      </c>
      <c r="AJ30" s="207" t="e">
        <f ca="1"/>
        <v>#N/A</v>
      </c>
      <c r="AK30" s="207" t="e">
        <f ca="1"/>
        <v>#N/A</v>
      </c>
      <c r="AL30" s="207" t="e">
        <f ca="1"/>
        <v>#N/A</v>
      </c>
      <c r="AM30" s="207" t="e">
        <f ca="1"/>
        <v>#N/A</v>
      </c>
      <c r="AN30" s="207" t="e">
        <f ca="1"/>
        <v>#N/A</v>
      </c>
      <c r="AO30" s="207" t="e">
        <f ca="1"/>
        <v>#N/A</v>
      </c>
      <c r="AP30" s="207" t="e">
        <f ca="1"/>
        <v>#N/A</v>
      </c>
      <c r="AQ30" s="207" t="e">
        <f ca="1"/>
        <v>#N/A</v>
      </c>
      <c r="AR30" s="453">
        <v>29</v>
      </c>
      <c r="AS30" s="207">
        <v>0</v>
      </c>
      <c r="AT30" s="207">
        <v>0</v>
      </c>
      <c r="AU30" s="207">
        <v>0</v>
      </c>
      <c r="AV30" s="207">
        <v>0</v>
      </c>
      <c r="AW30" s="207">
        <v>0</v>
      </c>
      <c r="AX30" s="207">
        <v>0</v>
      </c>
      <c r="AY30" s="207">
        <v>0</v>
      </c>
      <c r="AZ30" s="207">
        <v>0</v>
      </c>
      <c r="BA30" s="207">
        <v>0</v>
      </c>
      <c r="BB30" s="207">
        <v>0</v>
      </c>
      <c r="BC30" s="207">
        <v>0</v>
      </c>
      <c r="BD30" s="207">
        <v>0</v>
      </c>
      <c r="BE30" s="207">
        <v>0</v>
      </c>
      <c r="BF30" s="207">
        <v>0</v>
      </c>
      <c r="BG30" s="207">
        <v>0</v>
      </c>
      <c r="BH30" s="207">
        <v>0</v>
      </c>
      <c r="BI30" s="207">
        <v>0</v>
      </c>
      <c r="BJ30" s="207">
        <v>0</v>
      </c>
      <c r="BK30" s="207">
        <v>0</v>
      </c>
      <c r="BL30" s="207">
        <v>0</v>
      </c>
      <c r="BM30" s="207">
        <v>0</v>
      </c>
      <c r="BN30" s="207">
        <v>0</v>
      </c>
      <c r="BO30" s="207">
        <v>0</v>
      </c>
      <c r="BP30" s="207">
        <v>0</v>
      </c>
      <c r="BQ30" s="207">
        <v>0</v>
      </c>
      <c r="BR30" s="207">
        <v>0</v>
      </c>
      <c r="BS30" s="207">
        <v>0</v>
      </c>
      <c r="BT30" s="207">
        <v>0</v>
      </c>
      <c r="BU30" s="206">
        <f t="shared" ca="1" si="4"/>
        <v>0</v>
      </c>
      <c r="BV30" s="207">
        <v>0</v>
      </c>
      <c r="BW30" s="207">
        <v>0</v>
      </c>
      <c r="BX30" s="207">
        <v>0</v>
      </c>
      <c r="BY30" s="207">
        <v>0</v>
      </c>
      <c r="BZ30" s="207">
        <v>0</v>
      </c>
      <c r="CA30" s="207">
        <v>0</v>
      </c>
      <c r="CB30" s="207">
        <v>0</v>
      </c>
      <c r="CC30" s="207">
        <v>0</v>
      </c>
      <c r="CD30" s="207">
        <v>0</v>
      </c>
      <c r="CE30" s="207">
        <v>0</v>
      </c>
      <c r="CF30" s="207">
        <v>0</v>
      </c>
    </row>
    <row r="31" spans="1:84" x14ac:dyDescent="0.2">
      <c r="A31" s="205">
        <v>30</v>
      </c>
      <c r="B31" s="206" t="e">
        <f ca="1"/>
        <v>#N/A</v>
      </c>
      <c r="C31" s="258" t="e">
        <f ca="1"/>
        <v>#N/A</v>
      </c>
      <c r="D31" s="207" t="e">
        <f ca="1"/>
        <v>#N/A</v>
      </c>
      <c r="E31" s="207" t="e">
        <f ca="1"/>
        <v>#N/A</v>
      </c>
      <c r="F31" s="207" t="e">
        <f ca="1"/>
        <v>#N/A</v>
      </c>
      <c r="G31" s="207" t="e">
        <f ca="1"/>
        <v>#N/A</v>
      </c>
      <c r="H31" s="207" t="e">
        <f ca="1"/>
        <v>#N/A</v>
      </c>
      <c r="I31" s="207" t="e">
        <f ca="1"/>
        <v>#N/A</v>
      </c>
      <c r="J31" s="207" t="e">
        <f ca="1"/>
        <v>#N/A</v>
      </c>
      <c r="K31" s="207" t="e">
        <f ca="1"/>
        <v>#N/A</v>
      </c>
      <c r="L31" s="207" t="e">
        <f ca="1"/>
        <v>#N/A</v>
      </c>
      <c r="M31" s="207" t="e">
        <f ca="1"/>
        <v>#N/A</v>
      </c>
      <c r="N31" s="207" t="e">
        <f ca="1"/>
        <v>#N/A</v>
      </c>
      <c r="O31" s="207" t="e">
        <f ca="1"/>
        <v>#N/A</v>
      </c>
      <c r="P31" s="207" t="e">
        <f ca="1"/>
        <v>#N/A</v>
      </c>
      <c r="Q31" s="207" t="e">
        <f ca="1"/>
        <v>#N/A</v>
      </c>
      <c r="R31" s="207" t="e">
        <f ca="1"/>
        <v>#N/A</v>
      </c>
      <c r="S31" s="207" t="e">
        <f ca="1"/>
        <v>#N/A</v>
      </c>
      <c r="T31" s="207" t="e">
        <f ca="1"/>
        <v>#N/A</v>
      </c>
      <c r="U31" s="207" t="e">
        <f ca="1"/>
        <v>#N/A</v>
      </c>
      <c r="V31" s="207" t="e">
        <f ca="1"/>
        <v>#N/A</v>
      </c>
      <c r="W31" s="207" t="e">
        <f ca="1"/>
        <v>#N/A</v>
      </c>
      <c r="X31" s="207" t="e">
        <f ca="1"/>
        <v>#N/A</v>
      </c>
      <c r="Y31" s="207" t="e">
        <f ca="1"/>
        <v>#N/A</v>
      </c>
      <c r="Z31" s="207" t="e">
        <f ca="1"/>
        <v>#N/A</v>
      </c>
      <c r="AA31" s="207" t="e">
        <f ca="1"/>
        <v>#N/A</v>
      </c>
      <c r="AB31" s="207" t="e">
        <f ca="1"/>
        <v>#N/A</v>
      </c>
      <c r="AC31" s="207" t="e">
        <f ca="1"/>
        <v>#N/A</v>
      </c>
      <c r="AD31" s="207" t="e">
        <f ca="1"/>
        <v>#N/A</v>
      </c>
      <c r="AE31" s="207" t="e">
        <f ca="1"/>
        <v>#N/A</v>
      </c>
      <c r="AF31" s="207" t="e">
        <f ca="1"/>
        <v>#N/A</v>
      </c>
      <c r="AG31" s="207" t="e">
        <f ca="1"/>
        <v>#N/A</v>
      </c>
      <c r="AH31" s="207" t="e">
        <f ca="1"/>
        <v>#N/A</v>
      </c>
      <c r="AI31" s="207" t="e">
        <f ca="1"/>
        <v>#N/A</v>
      </c>
      <c r="AJ31" s="207" t="e">
        <f ca="1"/>
        <v>#N/A</v>
      </c>
      <c r="AK31" s="207" t="e">
        <f ca="1"/>
        <v>#N/A</v>
      </c>
      <c r="AL31" s="207" t="e">
        <f ca="1"/>
        <v>#N/A</v>
      </c>
      <c r="AM31" s="207" t="e">
        <f ca="1"/>
        <v>#N/A</v>
      </c>
      <c r="AN31" s="207" t="e">
        <f ca="1"/>
        <v>#N/A</v>
      </c>
      <c r="AO31" s="207" t="e">
        <f ca="1"/>
        <v>#N/A</v>
      </c>
      <c r="AP31" s="207" t="e">
        <f ca="1"/>
        <v>#N/A</v>
      </c>
      <c r="AQ31" s="207" t="e">
        <f ca="1"/>
        <v>#N/A</v>
      </c>
      <c r="AR31" s="453">
        <v>30</v>
      </c>
      <c r="AS31" s="207">
        <v>0</v>
      </c>
      <c r="AT31" s="207">
        <v>0</v>
      </c>
      <c r="AU31" s="207">
        <v>0</v>
      </c>
      <c r="AV31" s="207">
        <v>0</v>
      </c>
      <c r="AW31" s="207">
        <v>0</v>
      </c>
      <c r="AX31" s="207">
        <v>0</v>
      </c>
      <c r="AY31" s="207">
        <v>0</v>
      </c>
      <c r="AZ31" s="207">
        <v>0</v>
      </c>
      <c r="BA31" s="207">
        <v>0</v>
      </c>
      <c r="BB31" s="207">
        <v>0</v>
      </c>
      <c r="BC31" s="207">
        <v>0</v>
      </c>
      <c r="BD31" s="207">
        <v>0</v>
      </c>
      <c r="BE31" s="207">
        <v>0</v>
      </c>
      <c r="BF31" s="207">
        <v>0</v>
      </c>
      <c r="BG31" s="207">
        <v>0</v>
      </c>
      <c r="BH31" s="207">
        <v>0</v>
      </c>
      <c r="BI31" s="207">
        <v>0</v>
      </c>
      <c r="BJ31" s="207">
        <v>0</v>
      </c>
      <c r="BK31" s="207">
        <v>0</v>
      </c>
      <c r="BL31" s="207">
        <v>0</v>
      </c>
      <c r="BM31" s="207">
        <v>0</v>
      </c>
      <c r="BN31" s="207">
        <v>0</v>
      </c>
      <c r="BO31" s="207">
        <v>0</v>
      </c>
      <c r="BP31" s="207">
        <v>0</v>
      </c>
      <c r="BQ31" s="207">
        <v>0</v>
      </c>
      <c r="BR31" s="207">
        <v>0</v>
      </c>
      <c r="BS31" s="207">
        <v>0</v>
      </c>
      <c r="BT31" s="207">
        <v>0</v>
      </c>
      <c r="BU31" s="207">
        <v>0</v>
      </c>
      <c r="BV31" s="206">
        <f t="shared" ca="1" si="4"/>
        <v>0</v>
      </c>
      <c r="BW31" s="207">
        <v>0</v>
      </c>
      <c r="BX31" s="207">
        <v>0</v>
      </c>
      <c r="BY31" s="207">
        <v>0</v>
      </c>
      <c r="BZ31" s="207">
        <v>0</v>
      </c>
      <c r="CA31" s="207">
        <v>0</v>
      </c>
      <c r="CB31" s="207">
        <v>0</v>
      </c>
      <c r="CC31" s="207">
        <v>0</v>
      </c>
      <c r="CD31" s="207">
        <v>0</v>
      </c>
      <c r="CE31" s="207">
        <v>0</v>
      </c>
      <c r="CF31" s="207">
        <v>0</v>
      </c>
    </row>
    <row r="32" spans="1:84" x14ac:dyDescent="0.2">
      <c r="A32" s="205">
        <v>31</v>
      </c>
      <c r="B32" s="206" t="e">
        <f ca="1"/>
        <v>#N/A</v>
      </c>
      <c r="C32" s="258" t="e">
        <f ca="1"/>
        <v>#N/A</v>
      </c>
      <c r="D32" s="207" t="e">
        <f ca="1"/>
        <v>#N/A</v>
      </c>
      <c r="E32" s="207" t="e">
        <f ca="1"/>
        <v>#N/A</v>
      </c>
      <c r="F32" s="207" t="e">
        <f ca="1"/>
        <v>#N/A</v>
      </c>
      <c r="G32" s="207" t="e">
        <f ca="1"/>
        <v>#N/A</v>
      </c>
      <c r="H32" s="207" t="e">
        <f ca="1"/>
        <v>#N/A</v>
      </c>
      <c r="I32" s="207" t="e">
        <f ca="1"/>
        <v>#N/A</v>
      </c>
      <c r="J32" s="207" t="e">
        <f ca="1"/>
        <v>#N/A</v>
      </c>
      <c r="K32" s="207" t="e">
        <f ca="1"/>
        <v>#N/A</v>
      </c>
      <c r="L32" s="207" t="e">
        <f ca="1"/>
        <v>#N/A</v>
      </c>
      <c r="M32" s="207" t="e">
        <f ca="1"/>
        <v>#N/A</v>
      </c>
      <c r="N32" s="207" t="e">
        <f ca="1"/>
        <v>#N/A</v>
      </c>
      <c r="O32" s="207" t="e">
        <f ca="1"/>
        <v>#N/A</v>
      </c>
      <c r="P32" s="207" t="e">
        <f ca="1"/>
        <v>#N/A</v>
      </c>
      <c r="Q32" s="207" t="e">
        <f ca="1"/>
        <v>#N/A</v>
      </c>
      <c r="R32" s="207" t="e">
        <f ca="1"/>
        <v>#N/A</v>
      </c>
      <c r="S32" s="207" t="e">
        <f ca="1"/>
        <v>#N/A</v>
      </c>
      <c r="T32" s="207" t="e">
        <f ca="1"/>
        <v>#N/A</v>
      </c>
      <c r="U32" s="207" t="e">
        <f ca="1"/>
        <v>#N/A</v>
      </c>
      <c r="V32" s="207" t="e">
        <f ca="1"/>
        <v>#N/A</v>
      </c>
      <c r="W32" s="207" t="e">
        <f ca="1"/>
        <v>#N/A</v>
      </c>
      <c r="X32" s="207" t="e">
        <f ca="1"/>
        <v>#N/A</v>
      </c>
      <c r="Y32" s="207" t="e">
        <f ca="1"/>
        <v>#N/A</v>
      </c>
      <c r="Z32" s="207" t="e">
        <f ca="1"/>
        <v>#N/A</v>
      </c>
      <c r="AA32" s="207" t="e">
        <f ca="1"/>
        <v>#N/A</v>
      </c>
      <c r="AB32" s="207" t="e">
        <f ca="1"/>
        <v>#N/A</v>
      </c>
      <c r="AC32" s="207" t="e">
        <f ca="1"/>
        <v>#N/A</v>
      </c>
      <c r="AD32" s="207" t="e">
        <f ca="1"/>
        <v>#N/A</v>
      </c>
      <c r="AE32" s="207" t="e">
        <f ca="1"/>
        <v>#N/A</v>
      </c>
      <c r="AF32" s="207" t="e">
        <f ca="1"/>
        <v>#N/A</v>
      </c>
      <c r="AG32" s="207" t="e">
        <f ca="1"/>
        <v>#N/A</v>
      </c>
      <c r="AH32" s="207" t="e">
        <f ca="1"/>
        <v>#N/A</v>
      </c>
      <c r="AI32" s="207" t="e">
        <f ca="1"/>
        <v>#N/A</v>
      </c>
      <c r="AJ32" s="207" t="e">
        <f ca="1"/>
        <v>#N/A</v>
      </c>
      <c r="AK32" s="207" t="e">
        <f ca="1"/>
        <v>#N/A</v>
      </c>
      <c r="AL32" s="207" t="e">
        <f ca="1"/>
        <v>#N/A</v>
      </c>
      <c r="AM32" s="207" t="e">
        <f ca="1"/>
        <v>#N/A</v>
      </c>
      <c r="AN32" s="207" t="e">
        <f ca="1"/>
        <v>#N/A</v>
      </c>
      <c r="AO32" s="207" t="e">
        <f ca="1"/>
        <v>#N/A</v>
      </c>
      <c r="AP32" s="207" t="e">
        <f ca="1"/>
        <v>#N/A</v>
      </c>
      <c r="AQ32" s="207" t="e">
        <f ca="1"/>
        <v>#N/A</v>
      </c>
      <c r="AR32" s="453">
        <v>31</v>
      </c>
      <c r="AS32" s="207">
        <v>0</v>
      </c>
      <c r="AT32" s="207">
        <v>0</v>
      </c>
      <c r="AU32" s="207">
        <v>0</v>
      </c>
      <c r="AV32" s="207">
        <v>0</v>
      </c>
      <c r="AW32" s="207">
        <v>0</v>
      </c>
      <c r="AX32" s="207">
        <v>0</v>
      </c>
      <c r="AY32" s="207">
        <v>0</v>
      </c>
      <c r="AZ32" s="207">
        <v>0</v>
      </c>
      <c r="BA32" s="207">
        <v>0</v>
      </c>
      <c r="BB32" s="207">
        <v>0</v>
      </c>
      <c r="BC32" s="207">
        <v>0</v>
      </c>
      <c r="BD32" s="207">
        <v>0</v>
      </c>
      <c r="BE32" s="207">
        <v>0</v>
      </c>
      <c r="BF32" s="207">
        <v>0</v>
      </c>
      <c r="BG32" s="207">
        <v>0</v>
      </c>
      <c r="BH32" s="207">
        <v>0</v>
      </c>
      <c r="BI32" s="207">
        <v>0</v>
      </c>
      <c r="BJ32" s="207">
        <v>0</v>
      </c>
      <c r="BK32" s="207">
        <v>0</v>
      </c>
      <c r="BL32" s="207">
        <v>0</v>
      </c>
      <c r="BM32" s="207">
        <v>0</v>
      </c>
      <c r="BN32" s="207">
        <v>0</v>
      </c>
      <c r="BO32" s="207">
        <v>0</v>
      </c>
      <c r="BP32" s="207">
        <v>0</v>
      </c>
      <c r="BQ32" s="207">
        <v>0</v>
      </c>
      <c r="BR32" s="207">
        <v>0</v>
      </c>
      <c r="BS32" s="207">
        <v>0</v>
      </c>
      <c r="BT32" s="207">
        <v>0</v>
      </c>
      <c r="BU32" s="207">
        <v>0</v>
      </c>
      <c r="BV32" s="207">
        <v>0</v>
      </c>
      <c r="BW32" s="206">
        <f t="shared" ca="1" si="4"/>
        <v>0</v>
      </c>
      <c r="BX32" s="207">
        <v>0</v>
      </c>
      <c r="BY32" s="207">
        <v>0</v>
      </c>
      <c r="BZ32" s="207">
        <v>0</v>
      </c>
      <c r="CA32" s="207">
        <v>0</v>
      </c>
      <c r="CB32" s="207">
        <v>0</v>
      </c>
      <c r="CC32" s="207">
        <v>0</v>
      </c>
      <c r="CD32" s="207">
        <v>0</v>
      </c>
      <c r="CE32" s="207">
        <v>0</v>
      </c>
      <c r="CF32" s="207">
        <v>0</v>
      </c>
    </row>
    <row r="33" spans="1:84" x14ac:dyDescent="0.2">
      <c r="A33" s="205">
        <v>32</v>
      </c>
      <c r="B33" s="206" t="e">
        <f ca="1"/>
        <v>#N/A</v>
      </c>
      <c r="C33" s="258" t="e">
        <f ca="1"/>
        <v>#N/A</v>
      </c>
      <c r="D33" s="207" t="e">
        <f ca="1"/>
        <v>#N/A</v>
      </c>
      <c r="E33" s="207" t="e">
        <f ca="1"/>
        <v>#N/A</v>
      </c>
      <c r="F33" s="207" t="e">
        <f ca="1"/>
        <v>#N/A</v>
      </c>
      <c r="G33" s="207" t="e">
        <f ca="1"/>
        <v>#N/A</v>
      </c>
      <c r="H33" s="207" t="e">
        <f ca="1"/>
        <v>#N/A</v>
      </c>
      <c r="I33" s="207" t="e">
        <f ca="1"/>
        <v>#N/A</v>
      </c>
      <c r="J33" s="207" t="e">
        <f ca="1"/>
        <v>#N/A</v>
      </c>
      <c r="K33" s="207" t="e">
        <f ca="1"/>
        <v>#N/A</v>
      </c>
      <c r="L33" s="207" t="e">
        <f ca="1"/>
        <v>#N/A</v>
      </c>
      <c r="M33" s="207" t="e">
        <f ca="1"/>
        <v>#N/A</v>
      </c>
      <c r="N33" s="207" t="e">
        <f ca="1"/>
        <v>#N/A</v>
      </c>
      <c r="O33" s="207" t="e">
        <f ca="1"/>
        <v>#N/A</v>
      </c>
      <c r="P33" s="207" t="e">
        <f ca="1"/>
        <v>#N/A</v>
      </c>
      <c r="Q33" s="207" t="e">
        <f ca="1"/>
        <v>#N/A</v>
      </c>
      <c r="R33" s="207" t="e">
        <f ca="1"/>
        <v>#N/A</v>
      </c>
      <c r="S33" s="207" t="e">
        <f ca="1"/>
        <v>#N/A</v>
      </c>
      <c r="T33" s="207" t="e">
        <f ca="1"/>
        <v>#N/A</v>
      </c>
      <c r="U33" s="207" t="e">
        <f ca="1"/>
        <v>#N/A</v>
      </c>
      <c r="V33" s="207" t="e">
        <f ca="1"/>
        <v>#N/A</v>
      </c>
      <c r="W33" s="207" t="e">
        <f ca="1"/>
        <v>#N/A</v>
      </c>
      <c r="X33" s="207" t="e">
        <f ca="1"/>
        <v>#N/A</v>
      </c>
      <c r="Y33" s="207" t="e">
        <f ca="1"/>
        <v>#N/A</v>
      </c>
      <c r="Z33" s="207" t="e">
        <f ca="1"/>
        <v>#N/A</v>
      </c>
      <c r="AA33" s="207" t="e">
        <f ca="1"/>
        <v>#N/A</v>
      </c>
      <c r="AB33" s="207" t="e">
        <f ca="1"/>
        <v>#N/A</v>
      </c>
      <c r="AC33" s="207" t="e">
        <f ca="1"/>
        <v>#N/A</v>
      </c>
      <c r="AD33" s="207" t="e">
        <f ca="1"/>
        <v>#N/A</v>
      </c>
      <c r="AE33" s="207" t="e">
        <f ca="1"/>
        <v>#N/A</v>
      </c>
      <c r="AF33" s="207" t="e">
        <f ca="1"/>
        <v>#N/A</v>
      </c>
      <c r="AG33" s="207" t="e">
        <f ca="1"/>
        <v>#N/A</v>
      </c>
      <c r="AH33" s="207" t="e">
        <f ca="1"/>
        <v>#N/A</v>
      </c>
      <c r="AI33" s="207" t="e">
        <f ca="1"/>
        <v>#N/A</v>
      </c>
      <c r="AJ33" s="207" t="e">
        <f ca="1"/>
        <v>#N/A</v>
      </c>
      <c r="AK33" s="207" t="e">
        <f ca="1"/>
        <v>#N/A</v>
      </c>
      <c r="AL33" s="207" t="e">
        <f ca="1"/>
        <v>#N/A</v>
      </c>
      <c r="AM33" s="207" t="e">
        <f ca="1"/>
        <v>#N/A</v>
      </c>
      <c r="AN33" s="207" t="e">
        <f ca="1"/>
        <v>#N/A</v>
      </c>
      <c r="AO33" s="207" t="e">
        <f ca="1"/>
        <v>#N/A</v>
      </c>
      <c r="AP33" s="207" t="e">
        <f ca="1"/>
        <v>#N/A</v>
      </c>
      <c r="AQ33" s="207" t="e">
        <f ca="1"/>
        <v>#N/A</v>
      </c>
      <c r="AR33" s="453">
        <v>32</v>
      </c>
      <c r="AS33" s="207">
        <v>0</v>
      </c>
      <c r="AT33" s="207">
        <v>0</v>
      </c>
      <c r="AU33" s="207">
        <v>0</v>
      </c>
      <c r="AV33" s="207">
        <v>0</v>
      </c>
      <c r="AW33" s="207">
        <v>0</v>
      </c>
      <c r="AX33" s="207">
        <v>0</v>
      </c>
      <c r="AY33" s="207">
        <v>0</v>
      </c>
      <c r="AZ33" s="207">
        <v>0</v>
      </c>
      <c r="BA33" s="207">
        <v>0</v>
      </c>
      <c r="BB33" s="207">
        <v>0</v>
      </c>
      <c r="BC33" s="207">
        <v>0</v>
      </c>
      <c r="BD33" s="207">
        <v>0</v>
      </c>
      <c r="BE33" s="207">
        <v>0</v>
      </c>
      <c r="BF33" s="207">
        <v>0</v>
      </c>
      <c r="BG33" s="207">
        <v>0</v>
      </c>
      <c r="BH33" s="207">
        <v>0</v>
      </c>
      <c r="BI33" s="207">
        <v>0</v>
      </c>
      <c r="BJ33" s="207">
        <v>0</v>
      </c>
      <c r="BK33" s="207">
        <v>0</v>
      </c>
      <c r="BL33" s="207">
        <v>0</v>
      </c>
      <c r="BM33" s="207">
        <v>0</v>
      </c>
      <c r="BN33" s="207">
        <v>0</v>
      </c>
      <c r="BO33" s="207">
        <v>0</v>
      </c>
      <c r="BP33" s="207">
        <v>0</v>
      </c>
      <c r="BQ33" s="207">
        <v>0</v>
      </c>
      <c r="BR33" s="207">
        <v>0</v>
      </c>
      <c r="BS33" s="207">
        <v>0</v>
      </c>
      <c r="BT33" s="207">
        <v>0</v>
      </c>
      <c r="BU33" s="207">
        <v>0</v>
      </c>
      <c r="BV33" s="207">
        <v>0</v>
      </c>
      <c r="BW33" s="207">
        <v>0</v>
      </c>
      <c r="BX33" s="206">
        <f t="shared" ca="1" si="4"/>
        <v>0</v>
      </c>
      <c r="BY33" s="207">
        <v>0</v>
      </c>
      <c r="BZ33" s="207">
        <v>0</v>
      </c>
      <c r="CA33" s="207">
        <v>0</v>
      </c>
      <c r="CB33" s="207">
        <v>0</v>
      </c>
      <c r="CC33" s="207">
        <v>0</v>
      </c>
      <c r="CD33" s="207">
        <v>0</v>
      </c>
      <c r="CE33" s="207">
        <v>0</v>
      </c>
      <c r="CF33" s="207">
        <v>0</v>
      </c>
    </row>
    <row r="34" spans="1:84" x14ac:dyDescent="0.2">
      <c r="A34" s="205">
        <v>33</v>
      </c>
      <c r="B34" s="206" t="e">
        <f ca="1"/>
        <v>#N/A</v>
      </c>
      <c r="C34" s="258" t="e">
        <f ca="1"/>
        <v>#N/A</v>
      </c>
      <c r="D34" s="207" t="e">
        <f ca="1"/>
        <v>#N/A</v>
      </c>
      <c r="E34" s="207" t="e">
        <f ca="1"/>
        <v>#N/A</v>
      </c>
      <c r="F34" s="207" t="e">
        <f ca="1"/>
        <v>#N/A</v>
      </c>
      <c r="G34" s="207" t="e">
        <f ca="1"/>
        <v>#N/A</v>
      </c>
      <c r="H34" s="207" t="e">
        <f ca="1"/>
        <v>#N/A</v>
      </c>
      <c r="I34" s="207" t="e">
        <f ca="1"/>
        <v>#N/A</v>
      </c>
      <c r="J34" s="207" t="e">
        <f ca="1"/>
        <v>#N/A</v>
      </c>
      <c r="K34" s="207" t="e">
        <f ca="1"/>
        <v>#N/A</v>
      </c>
      <c r="L34" s="207" t="e">
        <f ca="1"/>
        <v>#N/A</v>
      </c>
      <c r="M34" s="207" t="e">
        <f ca="1"/>
        <v>#N/A</v>
      </c>
      <c r="N34" s="207" t="e">
        <f ca="1"/>
        <v>#N/A</v>
      </c>
      <c r="O34" s="207" t="e">
        <f ca="1"/>
        <v>#N/A</v>
      </c>
      <c r="P34" s="207" t="e">
        <f ca="1"/>
        <v>#N/A</v>
      </c>
      <c r="Q34" s="207" t="e">
        <f ca="1"/>
        <v>#N/A</v>
      </c>
      <c r="R34" s="207" t="e">
        <f ca="1"/>
        <v>#N/A</v>
      </c>
      <c r="S34" s="207" t="e">
        <f ca="1"/>
        <v>#N/A</v>
      </c>
      <c r="T34" s="207" t="e">
        <f ca="1"/>
        <v>#N/A</v>
      </c>
      <c r="U34" s="207" t="e">
        <f ca="1"/>
        <v>#N/A</v>
      </c>
      <c r="V34" s="207" t="e">
        <f ca="1"/>
        <v>#N/A</v>
      </c>
      <c r="W34" s="207" t="e">
        <f ca="1"/>
        <v>#N/A</v>
      </c>
      <c r="X34" s="207" t="e">
        <f ca="1"/>
        <v>#N/A</v>
      </c>
      <c r="Y34" s="207" t="e">
        <f ca="1"/>
        <v>#N/A</v>
      </c>
      <c r="Z34" s="207" t="e">
        <f ca="1"/>
        <v>#N/A</v>
      </c>
      <c r="AA34" s="207" t="e">
        <f ca="1"/>
        <v>#N/A</v>
      </c>
      <c r="AB34" s="207" t="e">
        <f ca="1"/>
        <v>#N/A</v>
      </c>
      <c r="AC34" s="207" t="e">
        <f ca="1"/>
        <v>#N/A</v>
      </c>
      <c r="AD34" s="207" t="e">
        <f ca="1"/>
        <v>#N/A</v>
      </c>
      <c r="AE34" s="207" t="e">
        <f ca="1"/>
        <v>#N/A</v>
      </c>
      <c r="AF34" s="207" t="e">
        <f ca="1"/>
        <v>#N/A</v>
      </c>
      <c r="AG34" s="207" t="e">
        <f ca="1"/>
        <v>#N/A</v>
      </c>
      <c r="AH34" s="207" t="e">
        <f ca="1"/>
        <v>#N/A</v>
      </c>
      <c r="AI34" s="207" t="e">
        <f ca="1"/>
        <v>#N/A</v>
      </c>
      <c r="AJ34" s="207" t="e">
        <f ca="1"/>
        <v>#N/A</v>
      </c>
      <c r="AK34" s="207" t="e">
        <f ca="1"/>
        <v>#N/A</v>
      </c>
      <c r="AL34" s="207" t="e">
        <f ca="1"/>
        <v>#N/A</v>
      </c>
      <c r="AM34" s="207" t="e">
        <f ca="1"/>
        <v>#N/A</v>
      </c>
      <c r="AN34" s="207" t="e">
        <f ca="1"/>
        <v>#N/A</v>
      </c>
      <c r="AO34" s="207" t="e">
        <f ca="1"/>
        <v>#N/A</v>
      </c>
      <c r="AP34" s="207" t="e">
        <f ca="1"/>
        <v>#N/A</v>
      </c>
      <c r="AQ34" s="207" t="e">
        <f ca="1"/>
        <v>#N/A</v>
      </c>
      <c r="AR34" s="453">
        <v>33</v>
      </c>
      <c r="AS34" s="207">
        <v>0</v>
      </c>
      <c r="AT34" s="207">
        <v>0</v>
      </c>
      <c r="AU34" s="207">
        <v>0</v>
      </c>
      <c r="AV34" s="207">
        <v>0</v>
      </c>
      <c r="AW34" s="207">
        <v>0</v>
      </c>
      <c r="AX34" s="207">
        <v>0</v>
      </c>
      <c r="AY34" s="207">
        <v>0</v>
      </c>
      <c r="AZ34" s="207">
        <v>0</v>
      </c>
      <c r="BA34" s="207">
        <v>0</v>
      </c>
      <c r="BB34" s="207">
        <v>0</v>
      </c>
      <c r="BC34" s="207">
        <v>0</v>
      </c>
      <c r="BD34" s="207">
        <v>0</v>
      </c>
      <c r="BE34" s="207">
        <v>0</v>
      </c>
      <c r="BF34" s="207">
        <v>0</v>
      </c>
      <c r="BG34" s="207">
        <v>0</v>
      </c>
      <c r="BH34" s="207">
        <v>0</v>
      </c>
      <c r="BI34" s="207">
        <v>0</v>
      </c>
      <c r="BJ34" s="207">
        <v>0</v>
      </c>
      <c r="BK34" s="207">
        <v>0</v>
      </c>
      <c r="BL34" s="207">
        <v>0</v>
      </c>
      <c r="BM34" s="207">
        <v>0</v>
      </c>
      <c r="BN34" s="207">
        <v>0</v>
      </c>
      <c r="BO34" s="207">
        <v>0</v>
      </c>
      <c r="BP34" s="207">
        <v>0</v>
      </c>
      <c r="BQ34" s="207">
        <v>0</v>
      </c>
      <c r="BR34" s="207">
        <v>0</v>
      </c>
      <c r="BS34" s="207">
        <v>0</v>
      </c>
      <c r="BT34" s="207">
        <v>0</v>
      </c>
      <c r="BU34" s="207">
        <v>0</v>
      </c>
      <c r="BV34" s="207">
        <v>0</v>
      </c>
      <c r="BW34" s="207">
        <v>0</v>
      </c>
      <c r="BX34" s="207">
        <v>0</v>
      </c>
      <c r="BY34" s="206">
        <f t="shared" ca="1" si="4"/>
        <v>0</v>
      </c>
      <c r="BZ34" s="207">
        <v>0</v>
      </c>
      <c r="CA34" s="207">
        <v>0</v>
      </c>
      <c r="CB34" s="207">
        <v>0</v>
      </c>
      <c r="CC34" s="207">
        <v>0</v>
      </c>
      <c r="CD34" s="207">
        <v>0</v>
      </c>
      <c r="CE34" s="207">
        <v>0</v>
      </c>
      <c r="CF34" s="207">
        <v>0</v>
      </c>
    </row>
    <row r="35" spans="1:84" x14ac:dyDescent="0.2">
      <c r="A35" s="205">
        <v>34</v>
      </c>
      <c r="B35" s="206" t="e">
        <f ca="1"/>
        <v>#N/A</v>
      </c>
      <c r="C35" s="258" t="e">
        <f ca="1"/>
        <v>#N/A</v>
      </c>
      <c r="D35" s="207" t="e">
        <f ca="1"/>
        <v>#N/A</v>
      </c>
      <c r="E35" s="207" t="e">
        <f ca="1"/>
        <v>#N/A</v>
      </c>
      <c r="F35" s="207" t="e">
        <f ca="1"/>
        <v>#N/A</v>
      </c>
      <c r="G35" s="207" t="e">
        <f ca="1"/>
        <v>#N/A</v>
      </c>
      <c r="H35" s="207" t="e">
        <f ca="1"/>
        <v>#N/A</v>
      </c>
      <c r="I35" s="207" t="e">
        <f ca="1"/>
        <v>#N/A</v>
      </c>
      <c r="J35" s="207" t="e">
        <f ca="1"/>
        <v>#N/A</v>
      </c>
      <c r="K35" s="207" t="e">
        <f ca="1"/>
        <v>#N/A</v>
      </c>
      <c r="L35" s="207" t="e">
        <f ca="1"/>
        <v>#N/A</v>
      </c>
      <c r="M35" s="207" t="e">
        <f ca="1"/>
        <v>#N/A</v>
      </c>
      <c r="N35" s="207" t="e">
        <f ca="1"/>
        <v>#N/A</v>
      </c>
      <c r="O35" s="207" t="e">
        <f ca="1"/>
        <v>#N/A</v>
      </c>
      <c r="P35" s="207" t="e">
        <f ca="1"/>
        <v>#N/A</v>
      </c>
      <c r="Q35" s="207" t="e">
        <f ca="1"/>
        <v>#N/A</v>
      </c>
      <c r="R35" s="207" t="e">
        <f ca="1"/>
        <v>#N/A</v>
      </c>
      <c r="S35" s="207" t="e">
        <f ca="1"/>
        <v>#N/A</v>
      </c>
      <c r="T35" s="207" t="e">
        <f ca="1"/>
        <v>#N/A</v>
      </c>
      <c r="U35" s="207" t="e">
        <f ca="1"/>
        <v>#N/A</v>
      </c>
      <c r="V35" s="207" t="e">
        <f ca="1"/>
        <v>#N/A</v>
      </c>
      <c r="W35" s="207" t="e">
        <f ca="1"/>
        <v>#N/A</v>
      </c>
      <c r="X35" s="207" t="e">
        <f ca="1"/>
        <v>#N/A</v>
      </c>
      <c r="Y35" s="207" t="e">
        <f ca="1"/>
        <v>#N/A</v>
      </c>
      <c r="Z35" s="207" t="e">
        <f ca="1"/>
        <v>#N/A</v>
      </c>
      <c r="AA35" s="207" t="e">
        <f ca="1"/>
        <v>#N/A</v>
      </c>
      <c r="AB35" s="207" t="e">
        <f ca="1"/>
        <v>#N/A</v>
      </c>
      <c r="AC35" s="207" t="e">
        <f ca="1"/>
        <v>#N/A</v>
      </c>
      <c r="AD35" s="207" t="e">
        <f ca="1"/>
        <v>#N/A</v>
      </c>
      <c r="AE35" s="207" t="e">
        <f ca="1"/>
        <v>#N/A</v>
      </c>
      <c r="AF35" s="207" t="e">
        <f ca="1"/>
        <v>#N/A</v>
      </c>
      <c r="AG35" s="207" t="e">
        <f ca="1"/>
        <v>#N/A</v>
      </c>
      <c r="AH35" s="207" t="e">
        <f ca="1"/>
        <v>#N/A</v>
      </c>
      <c r="AI35" s="207" t="e">
        <f ca="1"/>
        <v>#N/A</v>
      </c>
      <c r="AJ35" s="207" t="e">
        <f ca="1"/>
        <v>#N/A</v>
      </c>
      <c r="AK35" s="207" t="e">
        <f ca="1"/>
        <v>#N/A</v>
      </c>
      <c r="AL35" s="207" t="e">
        <f ca="1"/>
        <v>#N/A</v>
      </c>
      <c r="AM35" s="207" t="e">
        <f ca="1"/>
        <v>#N/A</v>
      </c>
      <c r="AN35" s="207" t="e">
        <f ca="1"/>
        <v>#N/A</v>
      </c>
      <c r="AO35" s="207" t="e">
        <f ca="1"/>
        <v>#N/A</v>
      </c>
      <c r="AP35" s="207" t="e">
        <f ca="1"/>
        <v>#N/A</v>
      </c>
      <c r="AQ35" s="207" t="e">
        <f ca="1"/>
        <v>#N/A</v>
      </c>
      <c r="AR35" s="453">
        <v>34</v>
      </c>
      <c r="AS35" s="207">
        <v>0</v>
      </c>
      <c r="AT35" s="207">
        <v>0</v>
      </c>
      <c r="AU35" s="207">
        <v>0</v>
      </c>
      <c r="AV35" s="207">
        <v>0</v>
      </c>
      <c r="AW35" s="207">
        <v>0</v>
      </c>
      <c r="AX35" s="207">
        <v>0</v>
      </c>
      <c r="AY35" s="207">
        <v>0</v>
      </c>
      <c r="AZ35" s="207">
        <v>0</v>
      </c>
      <c r="BA35" s="207">
        <v>0</v>
      </c>
      <c r="BB35" s="207">
        <v>0</v>
      </c>
      <c r="BC35" s="207">
        <v>0</v>
      </c>
      <c r="BD35" s="207">
        <v>0</v>
      </c>
      <c r="BE35" s="207">
        <v>0</v>
      </c>
      <c r="BF35" s="207">
        <v>0</v>
      </c>
      <c r="BG35" s="207">
        <v>0</v>
      </c>
      <c r="BH35" s="207">
        <v>0</v>
      </c>
      <c r="BI35" s="207">
        <v>0</v>
      </c>
      <c r="BJ35" s="207">
        <v>0</v>
      </c>
      <c r="BK35" s="207">
        <v>0</v>
      </c>
      <c r="BL35" s="207">
        <v>0</v>
      </c>
      <c r="BM35" s="207">
        <v>0</v>
      </c>
      <c r="BN35" s="207">
        <v>0</v>
      </c>
      <c r="BO35" s="207">
        <v>0</v>
      </c>
      <c r="BP35" s="207">
        <v>0</v>
      </c>
      <c r="BQ35" s="207">
        <v>0</v>
      </c>
      <c r="BR35" s="207">
        <v>0</v>
      </c>
      <c r="BS35" s="207">
        <v>0</v>
      </c>
      <c r="BT35" s="207">
        <v>0</v>
      </c>
      <c r="BU35" s="207">
        <v>0</v>
      </c>
      <c r="BV35" s="207">
        <v>0</v>
      </c>
      <c r="BW35" s="207">
        <v>0</v>
      </c>
      <c r="BX35" s="207">
        <v>0</v>
      </c>
      <c r="BY35" s="207">
        <v>0</v>
      </c>
      <c r="BZ35" s="206">
        <f t="shared" ca="1" si="4"/>
        <v>0</v>
      </c>
      <c r="CA35" s="207">
        <v>0</v>
      </c>
      <c r="CB35" s="207">
        <v>0</v>
      </c>
      <c r="CC35" s="207">
        <v>0</v>
      </c>
      <c r="CD35" s="207">
        <v>0</v>
      </c>
      <c r="CE35" s="207">
        <v>0</v>
      </c>
      <c r="CF35" s="207">
        <v>0</v>
      </c>
    </row>
    <row r="36" spans="1:84" x14ac:dyDescent="0.2">
      <c r="A36" s="205">
        <v>35</v>
      </c>
      <c r="B36" s="206" t="e">
        <f ca="1"/>
        <v>#N/A</v>
      </c>
      <c r="C36" s="258" t="e">
        <f ca="1"/>
        <v>#N/A</v>
      </c>
      <c r="D36" s="207" t="e">
        <f ca="1"/>
        <v>#N/A</v>
      </c>
      <c r="E36" s="207" t="e">
        <f ca="1"/>
        <v>#N/A</v>
      </c>
      <c r="F36" s="207" t="e">
        <f ca="1"/>
        <v>#N/A</v>
      </c>
      <c r="G36" s="207" t="e">
        <f ca="1"/>
        <v>#N/A</v>
      </c>
      <c r="H36" s="207" t="e">
        <f ca="1"/>
        <v>#N/A</v>
      </c>
      <c r="I36" s="207" t="e">
        <f ca="1"/>
        <v>#N/A</v>
      </c>
      <c r="J36" s="207" t="e">
        <f ca="1"/>
        <v>#N/A</v>
      </c>
      <c r="K36" s="207" t="e">
        <f ca="1"/>
        <v>#N/A</v>
      </c>
      <c r="L36" s="207" t="e">
        <f ca="1"/>
        <v>#N/A</v>
      </c>
      <c r="M36" s="207" t="e">
        <f ca="1"/>
        <v>#N/A</v>
      </c>
      <c r="N36" s="207" t="e">
        <f ca="1"/>
        <v>#N/A</v>
      </c>
      <c r="O36" s="207" t="e">
        <f ca="1"/>
        <v>#N/A</v>
      </c>
      <c r="P36" s="207" t="e">
        <f ca="1"/>
        <v>#N/A</v>
      </c>
      <c r="Q36" s="207" t="e">
        <f ca="1"/>
        <v>#N/A</v>
      </c>
      <c r="R36" s="207" t="e">
        <f ca="1"/>
        <v>#N/A</v>
      </c>
      <c r="S36" s="207" t="e">
        <f ca="1"/>
        <v>#N/A</v>
      </c>
      <c r="T36" s="207" t="e">
        <f ca="1"/>
        <v>#N/A</v>
      </c>
      <c r="U36" s="207" t="e">
        <f ca="1"/>
        <v>#N/A</v>
      </c>
      <c r="V36" s="207" t="e">
        <f ca="1"/>
        <v>#N/A</v>
      </c>
      <c r="W36" s="207" t="e">
        <f ca="1"/>
        <v>#N/A</v>
      </c>
      <c r="X36" s="207" t="e">
        <f ca="1"/>
        <v>#N/A</v>
      </c>
      <c r="Y36" s="207" t="e">
        <f ca="1"/>
        <v>#N/A</v>
      </c>
      <c r="Z36" s="207" t="e">
        <f ca="1"/>
        <v>#N/A</v>
      </c>
      <c r="AA36" s="207" t="e">
        <f ca="1"/>
        <v>#N/A</v>
      </c>
      <c r="AB36" s="207" t="e">
        <f ca="1"/>
        <v>#N/A</v>
      </c>
      <c r="AC36" s="207" t="e">
        <f ca="1"/>
        <v>#N/A</v>
      </c>
      <c r="AD36" s="207" t="e">
        <f ca="1"/>
        <v>#N/A</v>
      </c>
      <c r="AE36" s="207" t="e">
        <f ca="1"/>
        <v>#N/A</v>
      </c>
      <c r="AF36" s="207" t="e">
        <f ca="1"/>
        <v>#N/A</v>
      </c>
      <c r="AG36" s="207" t="e">
        <f ca="1"/>
        <v>#N/A</v>
      </c>
      <c r="AH36" s="207" t="e">
        <f ca="1"/>
        <v>#N/A</v>
      </c>
      <c r="AI36" s="207" t="e">
        <f ca="1"/>
        <v>#N/A</v>
      </c>
      <c r="AJ36" s="207" t="e">
        <f ca="1"/>
        <v>#N/A</v>
      </c>
      <c r="AK36" s="207" t="e">
        <f ca="1"/>
        <v>#N/A</v>
      </c>
      <c r="AL36" s="207" t="e">
        <f ca="1"/>
        <v>#N/A</v>
      </c>
      <c r="AM36" s="207" t="e">
        <f ca="1"/>
        <v>#N/A</v>
      </c>
      <c r="AN36" s="207" t="e">
        <f ca="1"/>
        <v>#N/A</v>
      </c>
      <c r="AO36" s="207" t="e">
        <f ca="1"/>
        <v>#N/A</v>
      </c>
      <c r="AP36" s="207" t="e">
        <f ca="1"/>
        <v>#N/A</v>
      </c>
      <c r="AQ36" s="207" t="e">
        <f ca="1"/>
        <v>#N/A</v>
      </c>
      <c r="AR36" s="453">
        <v>35</v>
      </c>
      <c r="AS36" s="207">
        <v>0</v>
      </c>
      <c r="AT36" s="207">
        <v>0</v>
      </c>
      <c r="AU36" s="207">
        <v>0</v>
      </c>
      <c r="AV36" s="207">
        <v>0</v>
      </c>
      <c r="AW36" s="207">
        <v>0</v>
      </c>
      <c r="AX36" s="207">
        <v>0</v>
      </c>
      <c r="AY36" s="207">
        <v>0</v>
      </c>
      <c r="AZ36" s="207">
        <v>0</v>
      </c>
      <c r="BA36" s="207">
        <v>0</v>
      </c>
      <c r="BB36" s="207">
        <v>0</v>
      </c>
      <c r="BC36" s="207">
        <v>0</v>
      </c>
      <c r="BD36" s="207">
        <v>0</v>
      </c>
      <c r="BE36" s="207">
        <v>0</v>
      </c>
      <c r="BF36" s="207">
        <v>0</v>
      </c>
      <c r="BG36" s="207">
        <v>0</v>
      </c>
      <c r="BH36" s="207">
        <v>0</v>
      </c>
      <c r="BI36" s="207">
        <v>0</v>
      </c>
      <c r="BJ36" s="207">
        <v>0</v>
      </c>
      <c r="BK36" s="207">
        <v>0</v>
      </c>
      <c r="BL36" s="207">
        <v>0</v>
      </c>
      <c r="BM36" s="207">
        <v>0</v>
      </c>
      <c r="BN36" s="207">
        <v>0</v>
      </c>
      <c r="BO36" s="207">
        <v>0</v>
      </c>
      <c r="BP36" s="207">
        <v>0</v>
      </c>
      <c r="BQ36" s="207">
        <v>0</v>
      </c>
      <c r="BR36" s="207">
        <v>0</v>
      </c>
      <c r="BS36" s="207">
        <v>0</v>
      </c>
      <c r="BT36" s="207">
        <v>0</v>
      </c>
      <c r="BU36" s="207">
        <v>0</v>
      </c>
      <c r="BV36" s="207">
        <v>0</v>
      </c>
      <c r="BW36" s="207">
        <v>0</v>
      </c>
      <c r="BX36" s="207">
        <v>0</v>
      </c>
      <c r="BY36" s="207">
        <v>0</v>
      </c>
      <c r="BZ36" s="207">
        <v>0</v>
      </c>
      <c r="CA36" s="206">
        <f t="shared" ca="1" si="4"/>
        <v>0</v>
      </c>
      <c r="CB36" s="207">
        <v>0</v>
      </c>
      <c r="CC36" s="207">
        <v>0</v>
      </c>
      <c r="CD36" s="207">
        <v>0</v>
      </c>
      <c r="CE36" s="207">
        <v>0</v>
      </c>
      <c r="CF36" s="207">
        <v>0</v>
      </c>
    </row>
    <row r="37" spans="1:84" x14ac:dyDescent="0.2">
      <c r="A37" s="205">
        <v>36</v>
      </c>
      <c r="B37" s="206" t="e">
        <f ca="1"/>
        <v>#N/A</v>
      </c>
      <c r="C37" s="258" t="e">
        <f ca="1"/>
        <v>#N/A</v>
      </c>
      <c r="D37" s="207" t="e">
        <f ca="1"/>
        <v>#N/A</v>
      </c>
      <c r="E37" s="207" t="e">
        <f ca="1"/>
        <v>#N/A</v>
      </c>
      <c r="F37" s="207" t="e">
        <f ca="1"/>
        <v>#N/A</v>
      </c>
      <c r="G37" s="207" t="e">
        <f ca="1"/>
        <v>#N/A</v>
      </c>
      <c r="H37" s="207" t="e">
        <f ca="1"/>
        <v>#N/A</v>
      </c>
      <c r="I37" s="207" t="e">
        <f ca="1"/>
        <v>#N/A</v>
      </c>
      <c r="J37" s="207" t="e">
        <f ca="1"/>
        <v>#N/A</v>
      </c>
      <c r="K37" s="207" t="e">
        <f ca="1"/>
        <v>#N/A</v>
      </c>
      <c r="L37" s="207" t="e">
        <f ca="1"/>
        <v>#N/A</v>
      </c>
      <c r="M37" s="207" t="e">
        <f ca="1"/>
        <v>#N/A</v>
      </c>
      <c r="N37" s="207" t="e">
        <f ca="1"/>
        <v>#N/A</v>
      </c>
      <c r="O37" s="207" t="e">
        <f ca="1"/>
        <v>#N/A</v>
      </c>
      <c r="P37" s="207" t="e">
        <f ca="1"/>
        <v>#N/A</v>
      </c>
      <c r="Q37" s="207" t="e">
        <f ca="1"/>
        <v>#N/A</v>
      </c>
      <c r="R37" s="207" t="e">
        <f ca="1"/>
        <v>#N/A</v>
      </c>
      <c r="S37" s="207" t="e">
        <f ca="1"/>
        <v>#N/A</v>
      </c>
      <c r="T37" s="207" t="e">
        <f ca="1"/>
        <v>#N/A</v>
      </c>
      <c r="U37" s="207" t="e">
        <f ca="1"/>
        <v>#N/A</v>
      </c>
      <c r="V37" s="207" t="e">
        <f ca="1"/>
        <v>#N/A</v>
      </c>
      <c r="W37" s="207" t="e">
        <f ca="1"/>
        <v>#N/A</v>
      </c>
      <c r="X37" s="207" t="e">
        <f ca="1"/>
        <v>#N/A</v>
      </c>
      <c r="Y37" s="207" t="e">
        <f ca="1"/>
        <v>#N/A</v>
      </c>
      <c r="Z37" s="207" t="e">
        <f ca="1"/>
        <v>#N/A</v>
      </c>
      <c r="AA37" s="207" t="e">
        <f ca="1"/>
        <v>#N/A</v>
      </c>
      <c r="AB37" s="207" t="e">
        <f ca="1"/>
        <v>#N/A</v>
      </c>
      <c r="AC37" s="207" t="e">
        <f ca="1"/>
        <v>#N/A</v>
      </c>
      <c r="AD37" s="207" t="e">
        <f ca="1"/>
        <v>#N/A</v>
      </c>
      <c r="AE37" s="207" t="e">
        <f ca="1"/>
        <v>#N/A</v>
      </c>
      <c r="AF37" s="207" t="e">
        <f ca="1"/>
        <v>#N/A</v>
      </c>
      <c r="AG37" s="207" t="e">
        <f ca="1"/>
        <v>#N/A</v>
      </c>
      <c r="AH37" s="207" t="e">
        <f ca="1"/>
        <v>#N/A</v>
      </c>
      <c r="AI37" s="207" t="e">
        <f ca="1"/>
        <v>#N/A</v>
      </c>
      <c r="AJ37" s="207" t="e">
        <f ca="1"/>
        <v>#N/A</v>
      </c>
      <c r="AK37" s="207" t="e">
        <f ca="1"/>
        <v>#N/A</v>
      </c>
      <c r="AL37" s="207" t="e">
        <f ca="1"/>
        <v>#N/A</v>
      </c>
      <c r="AM37" s="207" t="e">
        <f ca="1"/>
        <v>#N/A</v>
      </c>
      <c r="AN37" s="207" t="e">
        <f ca="1"/>
        <v>#N/A</v>
      </c>
      <c r="AO37" s="207" t="e">
        <f ca="1"/>
        <v>#N/A</v>
      </c>
      <c r="AP37" s="207" t="e">
        <f ca="1"/>
        <v>#N/A</v>
      </c>
      <c r="AQ37" s="207" t="e">
        <f ca="1"/>
        <v>#N/A</v>
      </c>
      <c r="AR37" s="453">
        <v>36</v>
      </c>
      <c r="AS37" s="207">
        <v>0</v>
      </c>
      <c r="AT37" s="207">
        <v>0</v>
      </c>
      <c r="AU37" s="207">
        <v>0</v>
      </c>
      <c r="AV37" s="207">
        <v>0</v>
      </c>
      <c r="AW37" s="207">
        <v>0</v>
      </c>
      <c r="AX37" s="207">
        <v>0</v>
      </c>
      <c r="AY37" s="207">
        <v>0</v>
      </c>
      <c r="AZ37" s="207">
        <v>0</v>
      </c>
      <c r="BA37" s="207">
        <v>0</v>
      </c>
      <c r="BB37" s="207">
        <v>0</v>
      </c>
      <c r="BC37" s="207">
        <v>0</v>
      </c>
      <c r="BD37" s="207">
        <v>0</v>
      </c>
      <c r="BE37" s="207">
        <v>0</v>
      </c>
      <c r="BF37" s="207">
        <v>0</v>
      </c>
      <c r="BG37" s="207">
        <v>0</v>
      </c>
      <c r="BH37" s="207">
        <v>0</v>
      </c>
      <c r="BI37" s="207">
        <v>0</v>
      </c>
      <c r="BJ37" s="207">
        <v>0</v>
      </c>
      <c r="BK37" s="207">
        <v>0</v>
      </c>
      <c r="BL37" s="207">
        <v>0</v>
      </c>
      <c r="BM37" s="207">
        <v>0</v>
      </c>
      <c r="BN37" s="207">
        <v>0</v>
      </c>
      <c r="BO37" s="207">
        <v>0</v>
      </c>
      <c r="BP37" s="207">
        <v>0</v>
      </c>
      <c r="BQ37" s="207">
        <v>0</v>
      </c>
      <c r="BR37" s="207">
        <v>0</v>
      </c>
      <c r="BS37" s="207">
        <v>0</v>
      </c>
      <c r="BT37" s="207">
        <v>0</v>
      </c>
      <c r="BU37" s="207">
        <v>0</v>
      </c>
      <c r="BV37" s="207">
        <v>0</v>
      </c>
      <c r="BW37" s="207">
        <v>0</v>
      </c>
      <c r="BX37" s="207">
        <v>0</v>
      </c>
      <c r="BY37" s="207">
        <v>0</v>
      </c>
      <c r="BZ37" s="207">
        <v>0</v>
      </c>
      <c r="CA37" s="207">
        <v>0</v>
      </c>
      <c r="CB37" s="206">
        <f t="shared" ca="1" si="4"/>
        <v>0</v>
      </c>
      <c r="CC37" s="207">
        <v>0</v>
      </c>
      <c r="CD37" s="207">
        <v>0</v>
      </c>
      <c r="CE37" s="207">
        <v>0</v>
      </c>
      <c r="CF37" s="207">
        <v>0</v>
      </c>
    </row>
    <row r="38" spans="1:84" x14ac:dyDescent="0.2">
      <c r="A38" s="205">
        <v>37</v>
      </c>
      <c r="B38" s="206" t="e">
        <f ca="1"/>
        <v>#N/A</v>
      </c>
      <c r="C38" s="258" t="e">
        <f ca="1"/>
        <v>#N/A</v>
      </c>
      <c r="D38" s="207" t="e">
        <f ca="1"/>
        <v>#N/A</v>
      </c>
      <c r="E38" s="207" t="e">
        <f ca="1"/>
        <v>#N/A</v>
      </c>
      <c r="F38" s="207" t="e">
        <f ca="1"/>
        <v>#N/A</v>
      </c>
      <c r="G38" s="207" t="e">
        <f ca="1"/>
        <v>#N/A</v>
      </c>
      <c r="H38" s="207" t="e">
        <f ca="1"/>
        <v>#N/A</v>
      </c>
      <c r="I38" s="207" t="e">
        <f ca="1"/>
        <v>#N/A</v>
      </c>
      <c r="J38" s="207" t="e">
        <f ca="1"/>
        <v>#N/A</v>
      </c>
      <c r="K38" s="207" t="e">
        <f ca="1"/>
        <v>#N/A</v>
      </c>
      <c r="L38" s="207" t="e">
        <f ca="1"/>
        <v>#N/A</v>
      </c>
      <c r="M38" s="207" t="e">
        <f ca="1"/>
        <v>#N/A</v>
      </c>
      <c r="N38" s="207" t="e">
        <f ca="1"/>
        <v>#N/A</v>
      </c>
      <c r="O38" s="207" t="e">
        <f ca="1"/>
        <v>#N/A</v>
      </c>
      <c r="P38" s="207" t="e">
        <f ca="1"/>
        <v>#N/A</v>
      </c>
      <c r="Q38" s="207" t="e">
        <f ca="1"/>
        <v>#N/A</v>
      </c>
      <c r="R38" s="207" t="e">
        <f ca="1"/>
        <v>#N/A</v>
      </c>
      <c r="S38" s="207" t="e">
        <f ca="1"/>
        <v>#N/A</v>
      </c>
      <c r="T38" s="207" t="e">
        <f ca="1"/>
        <v>#N/A</v>
      </c>
      <c r="U38" s="207" t="e">
        <f ca="1"/>
        <v>#N/A</v>
      </c>
      <c r="V38" s="207" t="e">
        <f ca="1"/>
        <v>#N/A</v>
      </c>
      <c r="W38" s="207" t="e">
        <f ca="1"/>
        <v>#N/A</v>
      </c>
      <c r="X38" s="207" t="e">
        <f ca="1"/>
        <v>#N/A</v>
      </c>
      <c r="Y38" s="207" t="e">
        <f ca="1"/>
        <v>#N/A</v>
      </c>
      <c r="Z38" s="207" t="e">
        <f ca="1"/>
        <v>#N/A</v>
      </c>
      <c r="AA38" s="207" t="e">
        <f ca="1"/>
        <v>#N/A</v>
      </c>
      <c r="AB38" s="207" t="e">
        <f ca="1"/>
        <v>#N/A</v>
      </c>
      <c r="AC38" s="207" t="e">
        <f ca="1"/>
        <v>#N/A</v>
      </c>
      <c r="AD38" s="207" t="e">
        <f ca="1"/>
        <v>#N/A</v>
      </c>
      <c r="AE38" s="207" t="e">
        <f ca="1"/>
        <v>#N/A</v>
      </c>
      <c r="AF38" s="207" t="e">
        <f ca="1"/>
        <v>#N/A</v>
      </c>
      <c r="AG38" s="207" t="e">
        <f ca="1"/>
        <v>#N/A</v>
      </c>
      <c r="AH38" s="207" t="e">
        <f ca="1"/>
        <v>#N/A</v>
      </c>
      <c r="AI38" s="207" t="e">
        <f ca="1"/>
        <v>#N/A</v>
      </c>
      <c r="AJ38" s="207" t="e">
        <f ca="1"/>
        <v>#N/A</v>
      </c>
      <c r="AK38" s="207" t="e">
        <f ca="1"/>
        <v>#N/A</v>
      </c>
      <c r="AL38" s="207" t="e">
        <f ca="1"/>
        <v>#N/A</v>
      </c>
      <c r="AM38" s="207" t="e">
        <f ca="1"/>
        <v>#N/A</v>
      </c>
      <c r="AN38" s="207" t="e">
        <f ca="1"/>
        <v>#N/A</v>
      </c>
      <c r="AO38" s="207" t="e">
        <f ca="1"/>
        <v>#N/A</v>
      </c>
      <c r="AP38" s="207" t="e">
        <f ca="1"/>
        <v>#N/A</v>
      </c>
      <c r="AQ38" s="207" t="e">
        <f ca="1"/>
        <v>#N/A</v>
      </c>
      <c r="AR38" s="453">
        <v>37</v>
      </c>
      <c r="AS38" s="207">
        <v>0</v>
      </c>
      <c r="AT38" s="207">
        <v>0</v>
      </c>
      <c r="AU38" s="207">
        <v>0</v>
      </c>
      <c r="AV38" s="207">
        <v>0</v>
      </c>
      <c r="AW38" s="207">
        <v>0</v>
      </c>
      <c r="AX38" s="207">
        <v>0</v>
      </c>
      <c r="AY38" s="207">
        <v>0</v>
      </c>
      <c r="AZ38" s="207">
        <v>0</v>
      </c>
      <c r="BA38" s="207">
        <v>0</v>
      </c>
      <c r="BB38" s="207">
        <v>0</v>
      </c>
      <c r="BC38" s="207">
        <v>0</v>
      </c>
      <c r="BD38" s="207">
        <v>0</v>
      </c>
      <c r="BE38" s="207">
        <v>0</v>
      </c>
      <c r="BF38" s="207">
        <v>0</v>
      </c>
      <c r="BG38" s="207">
        <v>0</v>
      </c>
      <c r="BH38" s="207">
        <v>0</v>
      </c>
      <c r="BI38" s="207">
        <v>0</v>
      </c>
      <c r="BJ38" s="207">
        <v>0</v>
      </c>
      <c r="BK38" s="207">
        <v>0</v>
      </c>
      <c r="BL38" s="207">
        <v>0</v>
      </c>
      <c r="BM38" s="207">
        <v>0</v>
      </c>
      <c r="BN38" s="207">
        <v>0</v>
      </c>
      <c r="BO38" s="207">
        <v>0</v>
      </c>
      <c r="BP38" s="207">
        <v>0</v>
      </c>
      <c r="BQ38" s="207">
        <v>0</v>
      </c>
      <c r="BR38" s="207">
        <v>0</v>
      </c>
      <c r="BS38" s="207">
        <v>0</v>
      </c>
      <c r="BT38" s="207">
        <v>0</v>
      </c>
      <c r="BU38" s="207">
        <v>0</v>
      </c>
      <c r="BV38" s="207">
        <v>0</v>
      </c>
      <c r="BW38" s="207">
        <v>0</v>
      </c>
      <c r="BX38" s="207">
        <v>0</v>
      </c>
      <c r="BY38" s="207">
        <v>0</v>
      </c>
      <c r="BZ38" s="207">
        <v>0</v>
      </c>
      <c r="CA38" s="207">
        <v>0</v>
      </c>
      <c r="CB38" s="207">
        <v>0</v>
      </c>
      <c r="CC38" s="206">
        <f t="shared" ca="1" si="4"/>
        <v>0</v>
      </c>
      <c r="CD38" s="207">
        <v>0</v>
      </c>
      <c r="CE38" s="207">
        <v>0</v>
      </c>
      <c r="CF38" s="207">
        <v>0</v>
      </c>
    </row>
    <row r="39" spans="1:84" x14ac:dyDescent="0.2">
      <c r="A39" s="205">
        <v>38</v>
      </c>
      <c r="B39" s="206" t="e">
        <f ca="1"/>
        <v>#N/A</v>
      </c>
      <c r="C39" s="258" t="e">
        <f ca="1"/>
        <v>#N/A</v>
      </c>
      <c r="D39" s="207" t="e">
        <f ca="1"/>
        <v>#N/A</v>
      </c>
      <c r="E39" s="207" t="e">
        <f ca="1"/>
        <v>#N/A</v>
      </c>
      <c r="F39" s="207" t="e">
        <f ca="1"/>
        <v>#N/A</v>
      </c>
      <c r="G39" s="207" t="e">
        <f ca="1"/>
        <v>#N/A</v>
      </c>
      <c r="H39" s="207" t="e">
        <f ca="1"/>
        <v>#N/A</v>
      </c>
      <c r="I39" s="207" t="e">
        <f ca="1"/>
        <v>#N/A</v>
      </c>
      <c r="J39" s="207" t="e">
        <f ca="1"/>
        <v>#N/A</v>
      </c>
      <c r="K39" s="207" t="e">
        <f ca="1"/>
        <v>#N/A</v>
      </c>
      <c r="L39" s="207" t="e">
        <f ca="1"/>
        <v>#N/A</v>
      </c>
      <c r="M39" s="207" t="e">
        <f ca="1"/>
        <v>#N/A</v>
      </c>
      <c r="N39" s="207" t="e">
        <f ca="1"/>
        <v>#N/A</v>
      </c>
      <c r="O39" s="207" t="e">
        <f ca="1"/>
        <v>#N/A</v>
      </c>
      <c r="P39" s="207" t="e">
        <f ca="1"/>
        <v>#N/A</v>
      </c>
      <c r="Q39" s="207" t="e">
        <f ca="1"/>
        <v>#N/A</v>
      </c>
      <c r="R39" s="207" t="e">
        <f ca="1"/>
        <v>#N/A</v>
      </c>
      <c r="S39" s="207" t="e">
        <f ca="1"/>
        <v>#N/A</v>
      </c>
      <c r="T39" s="207" t="e">
        <f ca="1"/>
        <v>#N/A</v>
      </c>
      <c r="U39" s="207" t="e">
        <f ca="1"/>
        <v>#N/A</v>
      </c>
      <c r="V39" s="207" t="e">
        <f ca="1"/>
        <v>#N/A</v>
      </c>
      <c r="W39" s="207" t="e">
        <f ca="1"/>
        <v>#N/A</v>
      </c>
      <c r="X39" s="207" t="e">
        <f ca="1"/>
        <v>#N/A</v>
      </c>
      <c r="Y39" s="207" t="e">
        <f ca="1"/>
        <v>#N/A</v>
      </c>
      <c r="Z39" s="207" t="e">
        <f ca="1"/>
        <v>#N/A</v>
      </c>
      <c r="AA39" s="207" t="e">
        <f ca="1"/>
        <v>#N/A</v>
      </c>
      <c r="AB39" s="207" t="e">
        <f ca="1"/>
        <v>#N/A</v>
      </c>
      <c r="AC39" s="207" t="e">
        <f ca="1"/>
        <v>#N/A</v>
      </c>
      <c r="AD39" s="207" t="e">
        <f ca="1"/>
        <v>#N/A</v>
      </c>
      <c r="AE39" s="207" t="e">
        <f ca="1"/>
        <v>#N/A</v>
      </c>
      <c r="AF39" s="207" t="e">
        <f ca="1"/>
        <v>#N/A</v>
      </c>
      <c r="AG39" s="207" t="e">
        <f ca="1"/>
        <v>#N/A</v>
      </c>
      <c r="AH39" s="207" t="e">
        <f ca="1"/>
        <v>#N/A</v>
      </c>
      <c r="AI39" s="207" t="e">
        <f ca="1"/>
        <v>#N/A</v>
      </c>
      <c r="AJ39" s="207" t="e">
        <f ca="1"/>
        <v>#N/A</v>
      </c>
      <c r="AK39" s="207" t="e">
        <f ca="1"/>
        <v>#N/A</v>
      </c>
      <c r="AL39" s="207" t="e">
        <f ca="1"/>
        <v>#N/A</v>
      </c>
      <c r="AM39" s="207" t="e">
        <f ca="1"/>
        <v>#N/A</v>
      </c>
      <c r="AN39" s="207" t="e">
        <f ca="1"/>
        <v>#N/A</v>
      </c>
      <c r="AO39" s="207" t="e">
        <f ca="1"/>
        <v>#N/A</v>
      </c>
      <c r="AP39" s="207" t="e">
        <f ca="1"/>
        <v>#N/A</v>
      </c>
      <c r="AQ39" s="207" t="e">
        <f ca="1"/>
        <v>#N/A</v>
      </c>
      <c r="AR39" s="453">
        <v>38</v>
      </c>
      <c r="AS39" s="207">
        <v>0</v>
      </c>
      <c r="AT39" s="207">
        <v>0</v>
      </c>
      <c r="AU39" s="207">
        <v>0</v>
      </c>
      <c r="AV39" s="207">
        <v>0</v>
      </c>
      <c r="AW39" s="207">
        <v>0</v>
      </c>
      <c r="AX39" s="207">
        <v>0</v>
      </c>
      <c r="AY39" s="207">
        <v>0</v>
      </c>
      <c r="AZ39" s="207">
        <v>0</v>
      </c>
      <c r="BA39" s="207">
        <v>0</v>
      </c>
      <c r="BB39" s="207">
        <v>0</v>
      </c>
      <c r="BC39" s="207">
        <v>0</v>
      </c>
      <c r="BD39" s="207">
        <v>0</v>
      </c>
      <c r="BE39" s="207">
        <v>0</v>
      </c>
      <c r="BF39" s="207">
        <v>0</v>
      </c>
      <c r="BG39" s="207">
        <v>0</v>
      </c>
      <c r="BH39" s="207">
        <v>0</v>
      </c>
      <c r="BI39" s="207">
        <v>0</v>
      </c>
      <c r="BJ39" s="207">
        <v>0</v>
      </c>
      <c r="BK39" s="207">
        <v>0</v>
      </c>
      <c r="BL39" s="207">
        <v>0</v>
      </c>
      <c r="BM39" s="207">
        <v>0</v>
      </c>
      <c r="BN39" s="207">
        <v>0</v>
      </c>
      <c r="BO39" s="207">
        <v>0</v>
      </c>
      <c r="BP39" s="207">
        <v>0</v>
      </c>
      <c r="BQ39" s="207">
        <v>0</v>
      </c>
      <c r="BR39" s="207">
        <v>0</v>
      </c>
      <c r="BS39" s="207">
        <v>0</v>
      </c>
      <c r="BT39" s="207">
        <v>0</v>
      </c>
      <c r="BU39" s="207">
        <v>0</v>
      </c>
      <c r="BV39" s="207">
        <v>0</v>
      </c>
      <c r="BW39" s="207">
        <v>0</v>
      </c>
      <c r="BX39" s="207">
        <v>0</v>
      </c>
      <c r="BY39" s="207">
        <v>0</v>
      </c>
      <c r="BZ39" s="207">
        <v>0</v>
      </c>
      <c r="CA39" s="207">
        <v>0</v>
      </c>
      <c r="CB39" s="207">
        <v>0</v>
      </c>
      <c r="CC39" s="207">
        <v>0</v>
      </c>
      <c r="CD39" s="206">
        <f t="shared" ca="1" si="4"/>
        <v>0</v>
      </c>
      <c r="CE39" s="207">
        <v>0</v>
      </c>
      <c r="CF39" s="207">
        <v>0</v>
      </c>
    </row>
    <row r="40" spans="1:84" x14ac:dyDescent="0.2">
      <c r="A40" s="205">
        <v>39</v>
      </c>
      <c r="B40" s="206" t="e">
        <f ca="1"/>
        <v>#N/A</v>
      </c>
      <c r="C40" s="258" t="e">
        <f ca="1"/>
        <v>#N/A</v>
      </c>
      <c r="D40" s="207" t="e">
        <f ca="1"/>
        <v>#N/A</v>
      </c>
      <c r="E40" s="207" t="e">
        <f ca="1"/>
        <v>#N/A</v>
      </c>
      <c r="F40" s="207" t="e">
        <f ca="1"/>
        <v>#N/A</v>
      </c>
      <c r="G40" s="207" t="e">
        <f ca="1"/>
        <v>#N/A</v>
      </c>
      <c r="H40" s="207" t="e">
        <f ca="1"/>
        <v>#N/A</v>
      </c>
      <c r="I40" s="207" t="e">
        <f ca="1"/>
        <v>#N/A</v>
      </c>
      <c r="J40" s="207" t="e">
        <f ca="1"/>
        <v>#N/A</v>
      </c>
      <c r="K40" s="207" t="e">
        <f ca="1"/>
        <v>#N/A</v>
      </c>
      <c r="L40" s="207" t="e">
        <f ca="1"/>
        <v>#N/A</v>
      </c>
      <c r="M40" s="207" t="e">
        <f ca="1"/>
        <v>#N/A</v>
      </c>
      <c r="N40" s="207" t="e">
        <f ca="1"/>
        <v>#N/A</v>
      </c>
      <c r="O40" s="207" t="e">
        <f ca="1"/>
        <v>#N/A</v>
      </c>
      <c r="P40" s="207" t="e">
        <f ca="1"/>
        <v>#N/A</v>
      </c>
      <c r="Q40" s="207" t="e">
        <f ca="1"/>
        <v>#N/A</v>
      </c>
      <c r="R40" s="207" t="e">
        <f ca="1"/>
        <v>#N/A</v>
      </c>
      <c r="S40" s="207" t="e">
        <f ca="1"/>
        <v>#N/A</v>
      </c>
      <c r="T40" s="207" t="e">
        <f ca="1"/>
        <v>#N/A</v>
      </c>
      <c r="U40" s="207" t="e">
        <f ca="1"/>
        <v>#N/A</v>
      </c>
      <c r="V40" s="207" t="e">
        <f ca="1"/>
        <v>#N/A</v>
      </c>
      <c r="W40" s="207" t="e">
        <f ca="1"/>
        <v>#N/A</v>
      </c>
      <c r="X40" s="207" t="e">
        <f ca="1"/>
        <v>#N/A</v>
      </c>
      <c r="Y40" s="207" t="e">
        <f ca="1"/>
        <v>#N/A</v>
      </c>
      <c r="Z40" s="207" t="e">
        <f ca="1"/>
        <v>#N/A</v>
      </c>
      <c r="AA40" s="207" t="e">
        <f ca="1"/>
        <v>#N/A</v>
      </c>
      <c r="AB40" s="207" t="e">
        <f ca="1"/>
        <v>#N/A</v>
      </c>
      <c r="AC40" s="207" t="e">
        <f ca="1"/>
        <v>#N/A</v>
      </c>
      <c r="AD40" s="207" t="e">
        <f ca="1"/>
        <v>#N/A</v>
      </c>
      <c r="AE40" s="207" t="e">
        <f ca="1"/>
        <v>#N/A</v>
      </c>
      <c r="AF40" s="207" t="e">
        <f ca="1"/>
        <v>#N/A</v>
      </c>
      <c r="AG40" s="207" t="e">
        <f ca="1"/>
        <v>#N/A</v>
      </c>
      <c r="AH40" s="207" t="e">
        <f ca="1"/>
        <v>#N/A</v>
      </c>
      <c r="AI40" s="207" t="e">
        <f ca="1"/>
        <v>#N/A</v>
      </c>
      <c r="AJ40" s="207" t="e">
        <f ca="1"/>
        <v>#N/A</v>
      </c>
      <c r="AK40" s="207" t="e">
        <f ca="1"/>
        <v>#N/A</v>
      </c>
      <c r="AL40" s="207" t="e">
        <f ca="1"/>
        <v>#N/A</v>
      </c>
      <c r="AM40" s="207" t="e">
        <f ca="1"/>
        <v>#N/A</v>
      </c>
      <c r="AN40" s="207" t="e">
        <f ca="1"/>
        <v>#N/A</v>
      </c>
      <c r="AO40" s="207" t="e">
        <f ca="1"/>
        <v>#N/A</v>
      </c>
      <c r="AP40" s="207" t="e">
        <f ca="1"/>
        <v>#N/A</v>
      </c>
      <c r="AQ40" s="207" t="e">
        <f ca="1"/>
        <v>#N/A</v>
      </c>
      <c r="AR40" s="453">
        <v>39</v>
      </c>
      <c r="AS40" s="207">
        <v>0</v>
      </c>
      <c r="AT40" s="207">
        <v>0</v>
      </c>
      <c r="AU40" s="207">
        <v>0</v>
      </c>
      <c r="AV40" s="207">
        <v>0</v>
      </c>
      <c r="AW40" s="207">
        <v>0</v>
      </c>
      <c r="AX40" s="207">
        <v>0</v>
      </c>
      <c r="AY40" s="207">
        <v>0</v>
      </c>
      <c r="AZ40" s="207">
        <v>0</v>
      </c>
      <c r="BA40" s="207">
        <v>0</v>
      </c>
      <c r="BB40" s="207">
        <v>0</v>
      </c>
      <c r="BC40" s="207">
        <v>0</v>
      </c>
      <c r="BD40" s="207">
        <v>0</v>
      </c>
      <c r="BE40" s="207">
        <v>0</v>
      </c>
      <c r="BF40" s="207">
        <v>0</v>
      </c>
      <c r="BG40" s="207">
        <v>0</v>
      </c>
      <c r="BH40" s="207">
        <v>0</v>
      </c>
      <c r="BI40" s="207">
        <v>0</v>
      </c>
      <c r="BJ40" s="207">
        <v>0</v>
      </c>
      <c r="BK40" s="207">
        <v>0</v>
      </c>
      <c r="BL40" s="207">
        <v>0</v>
      </c>
      <c r="BM40" s="207">
        <v>0</v>
      </c>
      <c r="BN40" s="207">
        <v>0</v>
      </c>
      <c r="BO40" s="207">
        <v>0</v>
      </c>
      <c r="BP40" s="207">
        <v>0</v>
      </c>
      <c r="BQ40" s="207">
        <v>0</v>
      </c>
      <c r="BR40" s="207">
        <v>0</v>
      </c>
      <c r="BS40" s="207">
        <v>0</v>
      </c>
      <c r="BT40" s="207">
        <v>0</v>
      </c>
      <c r="BU40" s="207">
        <v>0</v>
      </c>
      <c r="BV40" s="207">
        <v>0</v>
      </c>
      <c r="BW40" s="207">
        <v>0</v>
      </c>
      <c r="BX40" s="207">
        <v>0</v>
      </c>
      <c r="BY40" s="207">
        <v>0</v>
      </c>
      <c r="BZ40" s="207">
        <v>0</v>
      </c>
      <c r="CA40" s="207">
        <v>0</v>
      </c>
      <c r="CB40" s="207">
        <v>0</v>
      </c>
      <c r="CC40" s="207">
        <v>0</v>
      </c>
      <c r="CD40" s="207">
        <v>0</v>
      </c>
      <c r="CE40" s="206">
        <f t="shared" ca="1" si="4"/>
        <v>0</v>
      </c>
      <c r="CF40" s="207">
        <v>0</v>
      </c>
    </row>
    <row r="41" spans="1:84" x14ac:dyDescent="0.2">
      <c r="A41" s="205">
        <v>40</v>
      </c>
      <c r="B41" s="206" t="e">
        <f ca="1"/>
        <v>#N/A</v>
      </c>
      <c r="C41" s="258" t="e">
        <f ca="1"/>
        <v>#N/A</v>
      </c>
      <c r="D41" s="207" t="e">
        <f ca="1"/>
        <v>#N/A</v>
      </c>
      <c r="E41" s="207" t="e">
        <f ca="1"/>
        <v>#N/A</v>
      </c>
      <c r="F41" s="207" t="e">
        <f ca="1"/>
        <v>#N/A</v>
      </c>
      <c r="G41" s="207" t="e">
        <f ca="1"/>
        <v>#N/A</v>
      </c>
      <c r="H41" s="207" t="e">
        <f ca="1"/>
        <v>#N/A</v>
      </c>
      <c r="I41" s="207" t="e">
        <f ca="1"/>
        <v>#N/A</v>
      </c>
      <c r="J41" s="207" t="e">
        <f ca="1"/>
        <v>#N/A</v>
      </c>
      <c r="K41" s="207" t="e">
        <f ca="1"/>
        <v>#N/A</v>
      </c>
      <c r="L41" s="207" t="e">
        <f ca="1"/>
        <v>#N/A</v>
      </c>
      <c r="M41" s="207" t="e">
        <f ca="1"/>
        <v>#N/A</v>
      </c>
      <c r="N41" s="207" t="e">
        <f ca="1"/>
        <v>#N/A</v>
      </c>
      <c r="O41" s="207" t="e">
        <f ca="1"/>
        <v>#N/A</v>
      </c>
      <c r="P41" s="207" t="e">
        <f ca="1"/>
        <v>#N/A</v>
      </c>
      <c r="Q41" s="207" t="e">
        <f ca="1"/>
        <v>#N/A</v>
      </c>
      <c r="R41" s="207" t="e">
        <f ca="1"/>
        <v>#N/A</v>
      </c>
      <c r="S41" s="207" t="e">
        <f ca="1"/>
        <v>#N/A</v>
      </c>
      <c r="T41" s="207" t="e">
        <f ca="1"/>
        <v>#N/A</v>
      </c>
      <c r="U41" s="207" t="e">
        <f ca="1"/>
        <v>#N/A</v>
      </c>
      <c r="V41" s="207" t="e">
        <f ca="1"/>
        <v>#N/A</v>
      </c>
      <c r="W41" s="207" t="e">
        <f ca="1"/>
        <v>#N/A</v>
      </c>
      <c r="X41" s="207" t="e">
        <f ca="1"/>
        <v>#N/A</v>
      </c>
      <c r="Y41" s="207" t="e">
        <f ca="1"/>
        <v>#N/A</v>
      </c>
      <c r="Z41" s="207" t="e">
        <f ca="1"/>
        <v>#N/A</v>
      </c>
      <c r="AA41" s="207" t="e">
        <f ca="1"/>
        <v>#N/A</v>
      </c>
      <c r="AB41" s="207" t="e">
        <f ca="1"/>
        <v>#N/A</v>
      </c>
      <c r="AC41" s="207" t="e">
        <f ca="1"/>
        <v>#N/A</v>
      </c>
      <c r="AD41" s="207" t="e">
        <f ca="1"/>
        <v>#N/A</v>
      </c>
      <c r="AE41" s="207" t="e">
        <f ca="1"/>
        <v>#N/A</v>
      </c>
      <c r="AF41" s="207" t="e">
        <f ca="1"/>
        <v>#N/A</v>
      </c>
      <c r="AG41" s="207" t="e">
        <f ca="1"/>
        <v>#N/A</v>
      </c>
      <c r="AH41" s="207" t="e">
        <f ca="1"/>
        <v>#N/A</v>
      </c>
      <c r="AI41" s="207" t="e">
        <f ca="1"/>
        <v>#N/A</v>
      </c>
      <c r="AJ41" s="207" t="e">
        <f ca="1"/>
        <v>#N/A</v>
      </c>
      <c r="AK41" s="207" t="e">
        <f ca="1"/>
        <v>#N/A</v>
      </c>
      <c r="AL41" s="207" t="e">
        <f ca="1"/>
        <v>#N/A</v>
      </c>
      <c r="AM41" s="207" t="e">
        <f ca="1"/>
        <v>#N/A</v>
      </c>
      <c r="AN41" s="207" t="e">
        <f ca="1"/>
        <v>#N/A</v>
      </c>
      <c r="AO41" s="207" t="e">
        <f ca="1"/>
        <v>#N/A</v>
      </c>
      <c r="AP41" s="207" t="e">
        <f ca="1"/>
        <v>#N/A</v>
      </c>
      <c r="AQ41" s="207" t="e">
        <f ca="1"/>
        <v>#N/A</v>
      </c>
      <c r="AR41" s="453">
        <v>40</v>
      </c>
      <c r="AS41" s="207">
        <v>0</v>
      </c>
      <c r="AT41" s="207">
        <v>0</v>
      </c>
      <c r="AU41" s="207">
        <v>0</v>
      </c>
      <c r="AV41" s="207">
        <v>0</v>
      </c>
      <c r="AW41" s="207">
        <v>0</v>
      </c>
      <c r="AX41" s="207">
        <v>0</v>
      </c>
      <c r="AY41" s="207">
        <v>0</v>
      </c>
      <c r="AZ41" s="207">
        <v>0</v>
      </c>
      <c r="BA41" s="207">
        <v>0</v>
      </c>
      <c r="BB41" s="207">
        <v>0</v>
      </c>
      <c r="BC41" s="207">
        <v>0</v>
      </c>
      <c r="BD41" s="207">
        <v>0</v>
      </c>
      <c r="BE41" s="207">
        <v>0</v>
      </c>
      <c r="BF41" s="207">
        <v>0</v>
      </c>
      <c r="BG41" s="207">
        <v>0</v>
      </c>
      <c r="BH41" s="207">
        <v>0</v>
      </c>
      <c r="BI41" s="207">
        <v>0</v>
      </c>
      <c r="BJ41" s="207">
        <v>0</v>
      </c>
      <c r="BK41" s="207">
        <v>0</v>
      </c>
      <c r="BL41" s="207">
        <v>0</v>
      </c>
      <c r="BM41" s="207">
        <v>0</v>
      </c>
      <c r="BN41" s="207">
        <v>0</v>
      </c>
      <c r="BO41" s="207">
        <v>0</v>
      </c>
      <c r="BP41" s="207">
        <v>0</v>
      </c>
      <c r="BQ41" s="207">
        <v>0</v>
      </c>
      <c r="BR41" s="207">
        <v>0</v>
      </c>
      <c r="BS41" s="207">
        <v>0</v>
      </c>
      <c r="BT41" s="207">
        <v>0</v>
      </c>
      <c r="BU41" s="207">
        <v>0</v>
      </c>
      <c r="BV41" s="207">
        <v>0</v>
      </c>
      <c r="BW41" s="207">
        <v>0</v>
      </c>
      <c r="BX41" s="207">
        <v>0</v>
      </c>
      <c r="BY41" s="207">
        <v>0</v>
      </c>
      <c r="BZ41" s="207">
        <v>0</v>
      </c>
      <c r="CA41" s="207">
        <v>0</v>
      </c>
      <c r="CB41" s="207">
        <v>0</v>
      </c>
      <c r="CC41" s="207">
        <v>0</v>
      </c>
      <c r="CD41" s="207">
        <v>0</v>
      </c>
      <c r="CE41" s="207">
        <v>0</v>
      </c>
      <c r="CF41" s="206">
        <f t="shared" ref="CF41" ca="1" si="5">IF(OR(CF$1&gt;$E$51,$A41&gt;$E$51),0,IF(INDIRECT(ADDRESS(ROW($A$1)+$A41,COLUMN($C$1)+CF$1))=0,1,0))</f>
        <v>0</v>
      </c>
    </row>
    <row r="43" spans="1:84" x14ac:dyDescent="0.2">
      <c r="A43" s="201"/>
      <c r="B43" s="92"/>
    </row>
    <row r="49" spans="1:20" x14ac:dyDescent="0.2">
      <c r="I49" s="92"/>
      <c r="J49" s="92"/>
      <c r="K49" s="92"/>
      <c r="L49" s="92"/>
      <c r="M49" s="92"/>
      <c r="N49" s="92"/>
      <c r="O49" s="92"/>
      <c r="P49" s="92"/>
      <c r="Q49" s="92"/>
      <c r="R49" s="92"/>
      <c r="S49" s="92"/>
      <c r="T49" s="92"/>
    </row>
    <row r="50" spans="1:20" x14ac:dyDescent="0.2">
      <c r="A50" s="280" t="s">
        <v>6</v>
      </c>
      <c r="B50" s="257" t="s">
        <v>82</v>
      </c>
      <c r="C50" s="255" t="s">
        <v>81</v>
      </c>
      <c r="D50" s="173" t="s">
        <v>80</v>
      </c>
      <c r="E50" s="204" t="s">
        <v>85</v>
      </c>
      <c r="I50" s="92"/>
      <c r="J50" s="92"/>
      <c r="K50" s="92"/>
      <c r="L50" s="92"/>
      <c r="M50" s="92"/>
      <c r="N50" s="92"/>
      <c r="O50" s="92"/>
      <c r="P50" s="92"/>
      <c r="Q50" s="92"/>
      <c r="R50" s="92"/>
      <c r="S50" s="92"/>
      <c r="T50" s="92"/>
    </row>
    <row r="51" spans="1:20" x14ac:dyDescent="0.2">
      <c r="A51" s="280">
        <f ca="1">IF(ISNUMBER(INDIRECT("System!C" &amp;(ROW(A51)-ROW($A$50)+1))),INDIRECT("System!B"&amp;(ROW(A51)-ROW($A$50)+1)),"")</f>
        <v>1</v>
      </c>
      <c r="B51" s="258" t="str">
        <f ca="1">IF(ISNUMBER(A51),"Eledata!" &amp; INDIRECT("EleData!" &amp; ADDRESS($A51*ROW(EleData!F$6),COLUMN(EleData!E$6))),"")</f>
        <v>Eledata!$AD$2:$AD$7</v>
      </c>
      <c r="C51" s="207" t="str">
        <f ca="1">IF(ISNUMBER(A51),"Eledata!" &amp; INDIRECT("EleData!" &amp; ADDRESS($A51*ROW(EleData!F$6),COLUMN(EleData!F$6))),"")</f>
        <v>Eledata!$V$2:$AA$7</v>
      </c>
      <c r="D51" s="1" t="str">
        <f ca="1">IF(ISNUMBER(A51),"Eledata!" &amp; INDIRECT("EleData!" &amp; ADDRESS($A51*ROW(EleData!G$6),COLUMN(EleData!G$6))),"")</f>
        <v>Eledata!$AE$2:$AI$7</v>
      </c>
      <c r="E51">
        <f>EleData!C6</f>
        <v>5</v>
      </c>
      <c r="I51" s="92"/>
      <c r="J51" s="92"/>
      <c r="K51" s="92"/>
      <c r="L51" s="92"/>
      <c r="M51" s="92"/>
      <c r="N51" s="92"/>
      <c r="O51" s="92"/>
      <c r="P51" s="92"/>
      <c r="Q51" s="92"/>
      <c r="R51" s="92"/>
      <c r="S51" s="92"/>
      <c r="T51" s="92"/>
    </row>
    <row r="52" spans="1:20" x14ac:dyDescent="0.2">
      <c r="A52" s="280">
        <f ca="1">IF(ISNUMBER(INDIRECT("System!C" &amp;(ROW(A52)-ROW($A$50)+1))),INDIRECT("System!B"&amp;(ROW(A52)-ROW($A$50)+1)),"")</f>
        <v>2</v>
      </c>
      <c r="B52" s="258" t="str">
        <f ca="1">IF(ISNUMBER(A52),"Eledata!" &amp; INDIRECT("EleData!" &amp; ADDRESS($A52*ROW(EleData!F$6),COLUMN(EleData!E$6))),"")</f>
        <v>Eledata!$AD$8:$AD$13</v>
      </c>
      <c r="C52" s="207" t="str">
        <f ca="1">IF(ISNUMBER(A52),"Eledata!" &amp; INDIRECT("EleData!" &amp; ADDRESS($A52*ROW(EleData!F$6),COLUMN(EleData!F$6))),"")</f>
        <v>Eledata!$V$8:$AA$13</v>
      </c>
      <c r="D52" s="1" t="str">
        <f ca="1">IF(ISNUMBER(A52),"Eledata!" &amp; INDIRECT("EleData!" &amp; ADDRESS($A52*ROW(EleData!G$6),COLUMN(EleData!G$6))),"")</f>
        <v>Eledata!$AE$8:$AI$13</v>
      </c>
      <c r="I52" s="92"/>
      <c r="J52" s="92"/>
      <c r="K52" s="92"/>
      <c r="L52" s="92"/>
      <c r="M52" s="92"/>
      <c r="N52" s="92"/>
      <c r="O52" s="92"/>
      <c r="P52" s="92"/>
      <c r="Q52" s="92"/>
      <c r="R52" s="92"/>
      <c r="S52" s="92"/>
      <c r="T52" s="92"/>
    </row>
    <row r="53" spans="1:20" x14ac:dyDescent="0.2">
      <c r="A53" s="280" t="str">
        <f ca="1">IF(ISNUMBER(INDIRECT("System!C" &amp;(ROW(A53)-ROW($A$50)+1))),INDIRECT("System!B"&amp;(ROW(A53)-ROW($A$50)+1)),"")</f>
        <v/>
      </c>
      <c r="B53" s="258" t="str">
        <f ca="1">IF(ISNUMBER(A53),"Eledata!" &amp; INDIRECT("EleData!" &amp; ADDRESS($A53*ROW(EleData!F$6),COLUMN(EleData!E$6))),"")</f>
        <v/>
      </c>
      <c r="C53" s="207" t="str">
        <f ca="1">IF(ISNUMBER(A53),"Eledata!" &amp; INDIRECT("EleData!" &amp; ADDRESS($A53*ROW(EleData!F$6),COLUMN(EleData!F$6))),"")</f>
        <v/>
      </c>
      <c r="D53" s="1" t="str">
        <f ca="1">IF(ISNUMBER(A53),"Eledata!" &amp; INDIRECT("EleData!" &amp; ADDRESS($A53*ROW(EleData!G$6),COLUMN(EleData!G$6))),"")</f>
        <v/>
      </c>
      <c r="E53" t="str">
        <f xml:space="preserve"> ADDRESS(ROW($C$2),COLUMN($C$2)) &amp; ":" &amp; ADDRESS(ROW($C$1)+$E$51,COLUMN($C$1)) &amp; ""</f>
        <v>$C$2:$C$6</v>
      </c>
      <c r="I53" s="92"/>
      <c r="J53" s="92"/>
      <c r="K53" s="92"/>
      <c r="L53" s="92"/>
      <c r="M53" s="92"/>
      <c r="N53" s="92"/>
      <c r="O53" s="92"/>
      <c r="P53" s="92"/>
      <c r="Q53" s="92"/>
      <c r="R53" s="92"/>
      <c r="S53" s="92"/>
      <c r="T53" s="92"/>
    </row>
    <row r="54" spans="1:20" x14ac:dyDescent="0.2">
      <c r="A54" s="205" t="str">
        <f t="shared" ref="A54:A70" ca="1" si="6">IF(ISNUMBER(INDIRECT("System!C" &amp;(ROW(A54)-ROW($A$50)+1))),INDIRECT("System!B"&amp;(ROW(A54)-ROW($A$50)+1)),"")</f>
        <v/>
      </c>
      <c r="B54" s="258" t="str">
        <f ca="1">IF(ISNUMBER(A54),"Eledata!" &amp; INDIRECT("EleData!" &amp; ADDRESS($A54*ROW(EleData!F$6),COLUMN(EleData!E$6))),"")</f>
        <v/>
      </c>
      <c r="C54" s="207" t="str">
        <f ca="1">IF(ISNUMBER(A54),"Eledata!" &amp; INDIRECT("EleData!" &amp; ADDRESS($A54*ROW(EleData!F$6),COLUMN(EleData!F$6))),"")</f>
        <v/>
      </c>
      <c r="D54" s="1" t="str">
        <f ca="1">IF(ISNUMBER(A54),"Eledata!" &amp; INDIRECT("EleData!" &amp; ADDRESS($A54*ROW(EleData!G$6),COLUMN(EleData!G$6))),"")</f>
        <v/>
      </c>
      <c r="E54" t="str">
        <f xml:space="preserve"> ADDRESS(ROW($D$2),COLUMN($D$2)) &amp; ":" &amp; ADDRESS(ROW($D$1)+$E$51,COLUMN($C$1)+$E$51) &amp; ""</f>
        <v>$D$2:$H$6</v>
      </c>
      <c r="I54" s="92"/>
      <c r="J54" s="92"/>
      <c r="K54" s="92"/>
      <c r="L54" s="92"/>
      <c r="M54" s="92"/>
      <c r="N54" s="92"/>
      <c r="O54" s="92"/>
      <c r="P54" s="92"/>
      <c r="Q54" s="92"/>
      <c r="R54" s="92"/>
      <c r="S54" s="92"/>
      <c r="T54" s="92"/>
    </row>
    <row r="55" spans="1:20" x14ac:dyDescent="0.2">
      <c r="A55" s="205" t="str">
        <f t="shared" ca="1" si="6"/>
        <v/>
      </c>
      <c r="B55" s="258" t="str">
        <f ca="1">IF(ISNUMBER(A55),"Eledata!" &amp; INDIRECT("EleData!" &amp; ADDRESS($A55*ROW(EleData!F$6),COLUMN(EleData!E$6))),"")</f>
        <v/>
      </c>
      <c r="C55" s="207" t="str">
        <f ca="1">IF(ISNUMBER(A55),"Eledata!" &amp; INDIRECT("EleData!" &amp; ADDRESS($A55*ROW(EleData!F$6),COLUMN(EleData!F$6))),"")</f>
        <v/>
      </c>
      <c r="D55" s="1" t="str">
        <f ca="1">IF(ISNUMBER(A55),"Eledata!" &amp; INDIRECT("EleData!" &amp; ADDRESS($A55*ROW(EleData!G$6),COLUMN(EleData!G$6))),"")</f>
        <v/>
      </c>
      <c r="E55" t="str">
        <f xml:space="preserve"> ADDRESS(ROW($AR$2),COLUMN($AS$1)) &amp; ":" &amp; ADDRESS(ROW($AR$1)+$E$51,COLUMN($AR$1)+$E$51) &amp; ""</f>
        <v>$AS$2:$AW$6</v>
      </c>
      <c r="I55" s="92"/>
      <c r="J55" s="92"/>
      <c r="K55" s="92"/>
      <c r="L55" s="92"/>
      <c r="M55" s="92"/>
      <c r="N55" s="92"/>
      <c r="O55" s="92"/>
      <c r="P55" s="92"/>
      <c r="Q55" s="92"/>
      <c r="R55" s="92"/>
      <c r="S55" s="92"/>
      <c r="T55" s="92"/>
    </row>
    <row r="56" spans="1:20" x14ac:dyDescent="0.2">
      <c r="A56" s="205" t="str">
        <f t="shared" ca="1" si="6"/>
        <v/>
      </c>
      <c r="B56" s="258" t="str">
        <f ca="1">IF(ISNUMBER(A56),"Eledata!" &amp; INDIRECT("EleData!" &amp; ADDRESS($A56*ROW(EleData!F$6),COLUMN(EleData!E$6))),"")</f>
        <v/>
      </c>
      <c r="C56" s="207" t="str">
        <f ca="1">IF(ISNUMBER(A56),"Eledata!" &amp; INDIRECT("EleData!" &amp; ADDRESS($A56*ROW(EleData!F$6),COLUMN(EleData!F$6))),"")</f>
        <v/>
      </c>
      <c r="D56" s="1" t="str">
        <f ca="1">IF(ISNUMBER(A56),"Eledata!" &amp; INDIRECT("EleData!" &amp; ADDRESS($A56*ROW(EleData!G$6),COLUMN(EleData!G$6))),"")</f>
        <v/>
      </c>
      <c r="E56" t="str">
        <f>"KnotenData!"&amp;ADDRESS(ROW(KnotenData!L2),COLUMN(KnotenData!L2))&amp;":"&amp;ADDRESS(ROW(KnotenData!L1)+E51,COLUMN(KnotenData!L2))&amp;""</f>
        <v>KnotenData!$L$2:$L$6</v>
      </c>
      <c r="I56" s="92"/>
      <c r="J56" s="412"/>
      <c r="K56" s="412"/>
      <c r="L56" s="412"/>
      <c r="M56" s="412"/>
      <c r="N56" s="412"/>
      <c r="O56" s="412"/>
      <c r="P56" s="92"/>
      <c r="Q56" s="92"/>
      <c r="R56" s="92"/>
      <c r="S56" s="92"/>
      <c r="T56" s="92"/>
    </row>
    <row r="57" spans="1:20" x14ac:dyDescent="0.2">
      <c r="A57" s="205" t="str">
        <f t="shared" ca="1" si="6"/>
        <v/>
      </c>
      <c r="B57" s="258" t="str">
        <f ca="1">IF(ISNUMBER(A57),"Eledata!" &amp; INDIRECT("EleData!" &amp; ADDRESS($A57*ROW(EleData!F$6),COLUMN(EleData!E$6))),"")</f>
        <v/>
      </c>
      <c r="C57" s="207" t="str">
        <f ca="1">IF(ISNUMBER(A57),"Eledata!" &amp; INDIRECT("EleData!" &amp; ADDRESS($A57*ROW(EleData!F$6),COLUMN(EleData!F$6))),"")</f>
        <v/>
      </c>
      <c r="D57" s="1" t="str">
        <f ca="1">IF(ISNUMBER(A57),"Eledata!" &amp; INDIRECT("EleData!" &amp; ADDRESS($A57*ROW(EleData!G$6),COLUMN(EleData!G$6))),"")</f>
        <v/>
      </c>
      <c r="I57" s="92"/>
      <c r="J57" s="412"/>
      <c r="K57" s="412"/>
      <c r="L57" s="412"/>
      <c r="M57" s="412"/>
      <c r="N57" s="412"/>
      <c r="O57" s="412"/>
      <c r="P57" s="92"/>
      <c r="Q57" s="92"/>
      <c r="R57" s="92"/>
      <c r="S57" s="92"/>
      <c r="T57" s="92"/>
    </row>
    <row r="58" spans="1:20" x14ac:dyDescent="0.2">
      <c r="A58" s="205" t="str">
        <f t="shared" ca="1" si="6"/>
        <v/>
      </c>
      <c r="B58" s="258" t="str">
        <f ca="1">IF(ISNUMBER(A58),"Eledata!" &amp; INDIRECT("EleData!" &amp; ADDRESS($A58*ROW(EleData!F$6),COLUMN(EleData!E$6))),"")</f>
        <v/>
      </c>
      <c r="C58" s="207" t="str">
        <f ca="1">IF(ISNUMBER(A58),"Eledata!" &amp; INDIRECT("EleData!" &amp; ADDRESS($A58*ROW(EleData!F$6),COLUMN(EleData!F$6))),"")</f>
        <v/>
      </c>
      <c r="D58" s="1" t="str">
        <f ca="1">IF(ISNUMBER(A58),"Eledata!" &amp; INDIRECT("EleData!" &amp; ADDRESS($A58*ROW(EleData!G$6),COLUMN(EleData!G$6))),"")</f>
        <v/>
      </c>
      <c r="I58" s="92"/>
      <c r="J58" s="412"/>
      <c r="K58" s="412"/>
      <c r="L58" s="412"/>
      <c r="M58" s="412"/>
      <c r="N58" s="412"/>
      <c r="O58" s="412"/>
      <c r="P58" s="92"/>
      <c r="Q58" s="92"/>
      <c r="R58" s="92"/>
      <c r="S58" s="92"/>
      <c r="T58" s="92"/>
    </row>
    <row r="59" spans="1:20" x14ac:dyDescent="0.2">
      <c r="A59" s="205" t="str">
        <f t="shared" ca="1" si="6"/>
        <v/>
      </c>
      <c r="B59" s="258" t="str">
        <f ca="1">IF(ISNUMBER(A59),"Eledata!" &amp; INDIRECT("EleData!" &amp; ADDRESS($A59*ROW(EleData!F$6),COLUMN(EleData!E$6))),"")</f>
        <v/>
      </c>
      <c r="C59" s="207" t="str">
        <f ca="1">IF(ISNUMBER(A59),"Eledata!" &amp; INDIRECT("EleData!" &amp; ADDRESS($A59*ROW(EleData!F$6),COLUMN(EleData!F$6))),"")</f>
        <v/>
      </c>
      <c r="D59" s="1" t="str">
        <f ca="1">IF(ISNUMBER(A59),"Eledata!" &amp; INDIRECT("EleData!" &amp; ADDRESS($A59*ROW(EleData!G$6),COLUMN(EleData!G$6))),"")</f>
        <v/>
      </c>
      <c r="I59" s="92"/>
      <c r="J59" s="412"/>
      <c r="K59" s="412"/>
      <c r="L59" s="412"/>
      <c r="M59" s="412"/>
      <c r="N59" s="412"/>
      <c r="O59" s="412"/>
      <c r="P59" s="92"/>
      <c r="Q59" s="92"/>
      <c r="R59" s="92"/>
      <c r="S59" s="92"/>
      <c r="T59" s="92"/>
    </row>
    <row r="60" spans="1:20" x14ac:dyDescent="0.2">
      <c r="A60" s="205" t="str">
        <f t="shared" ca="1" si="6"/>
        <v/>
      </c>
      <c r="B60" s="258" t="str">
        <f ca="1">IF(ISNUMBER(A60),"Eledata!" &amp; INDIRECT("EleData!" &amp; ADDRESS($A60*ROW(EleData!F$6),COLUMN(EleData!E$6))),"")</f>
        <v/>
      </c>
      <c r="C60" s="207" t="str">
        <f ca="1">IF(ISNUMBER(A60),"Eledata!" &amp; INDIRECT("EleData!" &amp; ADDRESS($A60*ROW(EleData!F$6),COLUMN(EleData!F$6))),"")</f>
        <v/>
      </c>
      <c r="D60" s="1" t="str">
        <f ca="1">IF(ISNUMBER(A60),"Eledata!" &amp; INDIRECT("EleData!" &amp; ADDRESS($A60*ROW(EleData!G$6),COLUMN(EleData!G$6))),"")</f>
        <v/>
      </c>
      <c r="I60" s="92"/>
      <c r="J60" s="412"/>
      <c r="K60" s="412"/>
      <c r="L60" s="412"/>
      <c r="M60" s="412"/>
      <c r="N60" s="412"/>
      <c r="O60" s="412"/>
      <c r="P60" s="92"/>
      <c r="Q60" s="92"/>
      <c r="R60" s="92"/>
      <c r="S60" s="92"/>
      <c r="T60" s="92"/>
    </row>
    <row r="61" spans="1:20" x14ac:dyDescent="0.2">
      <c r="A61" s="205" t="str">
        <f t="shared" ca="1" si="6"/>
        <v/>
      </c>
      <c r="B61" s="258" t="str">
        <f ca="1">IF(ISNUMBER(A61),"Eledata!" &amp; INDIRECT("EleData!" &amp; ADDRESS($A61*ROW(EleData!F$6),COLUMN(EleData!E$6))),"")</f>
        <v/>
      </c>
      <c r="C61" s="207" t="str">
        <f ca="1">IF(ISNUMBER(A61),"Eledata!" &amp; INDIRECT("EleData!" &amp; ADDRESS($A61*ROW(EleData!F$6),COLUMN(EleData!F$6))),"")</f>
        <v/>
      </c>
      <c r="D61" s="1" t="str">
        <f ca="1">IF(ISNUMBER(A61),"Eledata!" &amp; INDIRECT("EleData!" &amp; ADDRESS($A61*ROW(EleData!G$6),COLUMN(EleData!G$6))),"")</f>
        <v/>
      </c>
      <c r="I61" s="92"/>
      <c r="J61" s="412"/>
      <c r="K61" s="412"/>
      <c r="L61" s="412"/>
      <c r="M61" s="412"/>
      <c r="N61" s="412"/>
      <c r="O61" s="412"/>
      <c r="P61" s="92"/>
      <c r="Q61" s="92"/>
      <c r="R61" s="92"/>
      <c r="S61" s="92"/>
      <c r="T61" s="92"/>
    </row>
    <row r="62" spans="1:20" x14ac:dyDescent="0.2">
      <c r="A62" s="205" t="str">
        <f t="shared" ca="1" si="6"/>
        <v/>
      </c>
      <c r="B62" s="258" t="str">
        <f ca="1">IF(ISNUMBER(A62),"Eledata!" &amp; INDIRECT("EleData!" &amp; ADDRESS($A62*ROW(EleData!F$6),COLUMN(EleData!E$6))),"")</f>
        <v/>
      </c>
      <c r="C62" s="207" t="str">
        <f ca="1">IF(ISNUMBER(A62),"Eledata!" &amp; INDIRECT("EleData!" &amp; ADDRESS($A62*ROW(EleData!F$6),COLUMN(EleData!F$6))),"")</f>
        <v/>
      </c>
      <c r="D62" s="1" t="str">
        <f ca="1">IF(ISNUMBER(A62),"Eledata!" &amp; INDIRECT("EleData!" &amp; ADDRESS($A62*ROW(EleData!G$6),COLUMN(EleData!G$6))),"")</f>
        <v/>
      </c>
      <c r="I62" s="92"/>
      <c r="J62" s="92"/>
      <c r="K62" s="92"/>
      <c r="L62" s="92"/>
      <c r="M62" s="92"/>
      <c r="N62" s="92"/>
      <c r="O62" s="92"/>
      <c r="P62" s="92"/>
      <c r="Q62" s="92"/>
      <c r="R62" s="92"/>
      <c r="S62" s="92"/>
      <c r="T62" s="92"/>
    </row>
    <row r="63" spans="1:20" x14ac:dyDescent="0.2">
      <c r="A63" s="205" t="str">
        <f t="shared" ca="1" si="6"/>
        <v/>
      </c>
      <c r="B63" s="258" t="str">
        <f ca="1">IF(ISNUMBER(A63),"Eledata!" &amp; INDIRECT("EleData!" &amp; ADDRESS($A63*ROW(EleData!F$6),COLUMN(EleData!E$6))),"")</f>
        <v/>
      </c>
      <c r="C63" s="207" t="str">
        <f ca="1">IF(ISNUMBER(A63),"Eledata!" &amp; INDIRECT("EleData!" &amp; ADDRESS($A63*ROW(EleData!F$6),COLUMN(EleData!F$6))),"")</f>
        <v/>
      </c>
      <c r="D63" s="1" t="str">
        <f ca="1">IF(ISNUMBER(A63),"Eledata!" &amp; INDIRECT("EleData!" &amp; ADDRESS($A63*ROW(EleData!G$6),COLUMN(EleData!G$6))),"")</f>
        <v/>
      </c>
      <c r="I63" s="92"/>
      <c r="J63" s="412"/>
      <c r="K63" s="412"/>
      <c r="L63" s="412"/>
      <c r="M63" s="412"/>
      <c r="N63" s="412"/>
      <c r="O63" s="412"/>
      <c r="P63" s="92"/>
      <c r="Q63" s="92"/>
      <c r="R63" s="92"/>
      <c r="S63" s="92"/>
      <c r="T63" s="92"/>
    </row>
    <row r="64" spans="1:20" x14ac:dyDescent="0.2">
      <c r="A64" s="205" t="str">
        <f t="shared" ca="1" si="6"/>
        <v/>
      </c>
      <c r="B64" s="258" t="str">
        <f ca="1">IF(ISNUMBER(A64),"Eledata!" &amp; INDIRECT("EleData!" &amp; ADDRESS($A64*ROW(EleData!F$6),COLUMN(EleData!E$6))),"")</f>
        <v/>
      </c>
      <c r="C64" s="207" t="str">
        <f ca="1">IF(ISNUMBER(A64),"Eledata!" &amp; INDIRECT("EleData!" &amp; ADDRESS($A64*ROW(EleData!F$6),COLUMN(EleData!F$6))),"")</f>
        <v/>
      </c>
      <c r="D64" s="1" t="str">
        <f ca="1">IF(ISNUMBER(A64),"Eledata!" &amp; INDIRECT("EleData!" &amp; ADDRESS($A64*ROW(EleData!G$6),COLUMN(EleData!G$6))),"")</f>
        <v/>
      </c>
      <c r="I64" s="92"/>
      <c r="J64" s="443"/>
      <c r="K64" s="443"/>
      <c r="L64" s="443"/>
      <c r="M64" s="443"/>
      <c r="N64" s="443"/>
      <c r="O64" s="443"/>
      <c r="P64" s="92"/>
      <c r="Q64" s="92"/>
      <c r="R64" s="92"/>
      <c r="S64" s="92"/>
      <c r="T64" s="92"/>
    </row>
    <row r="65" spans="1:20" x14ac:dyDescent="0.2">
      <c r="A65" s="205" t="str">
        <f t="shared" ca="1" si="6"/>
        <v/>
      </c>
      <c r="B65" s="258" t="str">
        <f ca="1">IF(ISNUMBER(A65),"Eledata!" &amp; INDIRECT("EleData!" &amp; ADDRESS($A65*ROW(EleData!F$6),COLUMN(EleData!E$6))),"")</f>
        <v/>
      </c>
      <c r="C65" s="207" t="str">
        <f ca="1">IF(ISNUMBER(A65),"Eledata!" &amp; INDIRECT("EleData!" &amp; ADDRESS($A65*ROW(EleData!F$6),COLUMN(EleData!F$6))),"")</f>
        <v/>
      </c>
      <c r="D65" s="1" t="str">
        <f ca="1">IF(ISNUMBER(A65),"Eledata!" &amp; INDIRECT("EleData!" &amp; ADDRESS($A65*ROW(EleData!G$6),COLUMN(EleData!G$6))),"")</f>
        <v/>
      </c>
      <c r="I65" s="92"/>
      <c r="J65" s="443"/>
      <c r="K65" s="443"/>
      <c r="L65" s="443"/>
      <c r="M65" s="443"/>
      <c r="N65" s="443"/>
      <c r="O65" s="443"/>
      <c r="P65" s="92"/>
      <c r="Q65" s="92"/>
      <c r="R65" s="92"/>
      <c r="S65" s="92"/>
      <c r="T65" s="92"/>
    </row>
    <row r="66" spans="1:20" x14ac:dyDescent="0.2">
      <c r="A66" s="205" t="str">
        <f t="shared" ca="1" si="6"/>
        <v/>
      </c>
      <c r="B66" s="258" t="str">
        <f ca="1">IF(ISNUMBER(A66),"Eledata!" &amp; INDIRECT("EleData!" &amp; ADDRESS($A66*ROW(EleData!F$6),COLUMN(EleData!E$6))),"")</f>
        <v/>
      </c>
      <c r="C66" s="207" t="str">
        <f ca="1">IF(ISNUMBER(A66),"Eledata!" &amp; INDIRECT("EleData!" &amp; ADDRESS($A66*ROW(EleData!F$6),COLUMN(EleData!F$6))),"")</f>
        <v/>
      </c>
      <c r="D66" s="1" t="str">
        <f ca="1">IF(ISNUMBER(A66),"Eledata!" &amp; INDIRECT("EleData!" &amp; ADDRESS($A66*ROW(EleData!G$6),COLUMN(EleData!G$6))),"")</f>
        <v/>
      </c>
      <c r="I66" s="92"/>
      <c r="J66" s="443"/>
      <c r="K66" s="443"/>
      <c r="L66" s="443"/>
      <c r="M66" s="443"/>
      <c r="N66" s="443"/>
      <c r="O66" s="443"/>
      <c r="P66" s="92"/>
      <c r="Q66" s="92"/>
      <c r="R66" s="92"/>
      <c r="S66" s="92"/>
      <c r="T66" s="92"/>
    </row>
    <row r="67" spans="1:20" x14ac:dyDescent="0.2">
      <c r="A67" s="205" t="str">
        <f t="shared" ca="1" si="6"/>
        <v/>
      </c>
      <c r="B67" s="258" t="str">
        <f ca="1">IF(ISNUMBER(A67),"Eledata!" &amp; INDIRECT("EleData!" &amp; ADDRESS($A67*ROW(EleData!F$6),COLUMN(EleData!E$6))),"")</f>
        <v/>
      </c>
      <c r="C67" s="207" t="str">
        <f ca="1">IF(ISNUMBER(A67),"Eledata!" &amp; INDIRECT("EleData!" &amp; ADDRESS($A67*ROW(EleData!F$6),COLUMN(EleData!F$6))),"")</f>
        <v/>
      </c>
      <c r="D67" s="1" t="str">
        <f ca="1">IF(ISNUMBER(A67),"Eledata!" &amp; INDIRECT("EleData!" &amp; ADDRESS($A67*ROW(EleData!G$6),COLUMN(EleData!G$6))),"")</f>
        <v/>
      </c>
      <c r="I67" s="92"/>
      <c r="J67" s="443"/>
      <c r="K67" s="443"/>
      <c r="L67" s="443"/>
      <c r="M67" s="443"/>
      <c r="N67" s="443"/>
      <c r="O67" s="443"/>
      <c r="P67" s="92"/>
      <c r="Q67" s="92"/>
      <c r="R67" s="92"/>
      <c r="S67" s="92"/>
      <c r="T67" s="92"/>
    </row>
    <row r="68" spans="1:20" x14ac:dyDescent="0.2">
      <c r="A68" s="205" t="str">
        <f t="shared" ca="1" si="6"/>
        <v/>
      </c>
      <c r="B68" s="258" t="str">
        <f ca="1">IF(ISNUMBER(A68),"Eledata!" &amp; INDIRECT("EleData!" &amp; ADDRESS($A68*ROW(EleData!F$6),COLUMN(EleData!E$6))),"")</f>
        <v/>
      </c>
      <c r="C68" s="207" t="str">
        <f ca="1">IF(ISNUMBER(A68),"Eledata!" &amp; INDIRECT("EleData!" &amp; ADDRESS($A68*ROW(EleData!F$6),COLUMN(EleData!F$6))),"")</f>
        <v/>
      </c>
      <c r="D68" s="1" t="str">
        <f ca="1">IF(ISNUMBER(A68),"Eledata!" &amp; INDIRECT("EleData!" &amp; ADDRESS($A68*ROW(EleData!G$6),COLUMN(EleData!G$6))),"")</f>
        <v/>
      </c>
      <c r="I68" s="92"/>
      <c r="J68" s="443"/>
      <c r="K68" s="443"/>
      <c r="L68" s="443"/>
      <c r="M68" s="443"/>
      <c r="N68" s="443"/>
      <c r="O68" s="443"/>
      <c r="P68" s="92"/>
      <c r="Q68" s="92"/>
      <c r="R68" s="92"/>
      <c r="S68" s="92"/>
      <c r="T68" s="92"/>
    </row>
    <row r="69" spans="1:20" x14ac:dyDescent="0.2">
      <c r="A69" s="205" t="str">
        <f t="shared" ca="1" si="6"/>
        <v/>
      </c>
      <c r="B69" s="258" t="str">
        <f ca="1">IF(ISNUMBER(A69),"Eledata!" &amp; INDIRECT("EleData!" &amp; ADDRESS($A69*ROW(EleData!F$6),COLUMN(EleData!E$6))),"")</f>
        <v/>
      </c>
      <c r="C69" s="207" t="str">
        <f ca="1">IF(ISNUMBER(A69),"Eledata!" &amp; INDIRECT("EleData!" &amp; ADDRESS($A69*ROW(EleData!F$6),COLUMN(EleData!F$6))),"")</f>
        <v/>
      </c>
      <c r="D69" s="1" t="str">
        <f ca="1">IF(ISNUMBER(A69),"Eledata!" &amp; INDIRECT("EleData!" &amp; ADDRESS($A69*ROW(EleData!G$6),COLUMN(EleData!G$6))),"")</f>
        <v/>
      </c>
      <c r="I69" s="92"/>
      <c r="J69" s="443"/>
      <c r="K69" s="443"/>
      <c r="L69" s="443"/>
      <c r="M69" s="443"/>
      <c r="N69" s="443"/>
      <c r="O69" s="443"/>
      <c r="P69" s="92"/>
      <c r="Q69" s="92"/>
      <c r="R69" s="92"/>
      <c r="S69" s="92"/>
      <c r="T69" s="92"/>
    </row>
    <row r="70" spans="1:20" x14ac:dyDescent="0.2">
      <c r="A70" s="205" t="str">
        <f t="shared" ca="1" si="6"/>
        <v/>
      </c>
      <c r="B70" s="258" t="str">
        <f ca="1">IF(ISNUMBER(A70),"Eledata!" &amp; INDIRECT("EleData!" &amp; ADDRESS($A70*ROW(EleData!F$6),COLUMN(EleData!E$6))),"")</f>
        <v/>
      </c>
      <c r="C70" s="207" t="str">
        <f ca="1">IF(ISNUMBER(A70),"Eledata!" &amp; INDIRECT("EleData!" &amp; ADDRESS($A70*ROW(EleData!F$6),COLUMN(EleData!F$6))),"")</f>
        <v/>
      </c>
      <c r="D70" s="1" t="str">
        <f ca="1">IF(ISNUMBER(A70),"Eledata!" &amp; INDIRECT("EleData!" &amp; ADDRESS($A70*ROW(EleData!G$6),COLUMN(EleData!G$6))),"")</f>
        <v/>
      </c>
      <c r="I70" s="92"/>
      <c r="J70" s="92"/>
      <c r="K70" s="92"/>
      <c r="L70" s="92"/>
      <c r="M70" s="92"/>
      <c r="N70" s="92"/>
      <c r="O70" s="92"/>
      <c r="P70" s="92"/>
      <c r="Q70" s="92"/>
      <c r="R70" s="92"/>
      <c r="S70" s="92"/>
      <c r="T70" s="92"/>
    </row>
    <row r="71" spans="1:20" x14ac:dyDescent="0.2">
      <c r="I71" s="92"/>
      <c r="J71" s="92"/>
      <c r="K71" s="92"/>
      <c r="L71" s="92"/>
      <c r="M71" s="92"/>
      <c r="N71" s="92"/>
      <c r="O71" s="92"/>
      <c r="P71" s="92"/>
      <c r="Q71" s="92"/>
      <c r="R71" s="92"/>
      <c r="S71" s="92"/>
      <c r="T71" s="92"/>
    </row>
    <row r="72" spans="1:20" x14ac:dyDescent="0.2">
      <c r="I72" s="92"/>
      <c r="J72" s="203"/>
      <c r="K72" s="92"/>
      <c r="L72" s="92"/>
      <c r="M72" s="92"/>
      <c r="N72" s="92"/>
      <c r="O72" s="92"/>
      <c r="P72" s="92"/>
      <c r="Q72" s="92"/>
      <c r="R72" s="92"/>
      <c r="S72" s="92"/>
      <c r="T72" s="92"/>
    </row>
    <row r="73" spans="1:20" x14ac:dyDescent="0.2">
      <c r="I73" s="92"/>
      <c r="J73" s="92"/>
      <c r="K73" s="92"/>
      <c r="L73" s="92"/>
      <c r="M73" s="92"/>
      <c r="N73" s="92"/>
      <c r="O73" s="92"/>
      <c r="P73" s="92"/>
      <c r="Q73" s="92"/>
      <c r="R73" s="92"/>
      <c r="S73" s="92"/>
      <c r="T73" s="92"/>
    </row>
    <row r="74" spans="1:20" x14ac:dyDescent="0.2">
      <c r="I74" s="92"/>
      <c r="J74" s="92"/>
      <c r="K74" s="92"/>
      <c r="L74" s="92"/>
      <c r="M74" s="92"/>
      <c r="N74" s="92"/>
      <c r="O74" s="92"/>
      <c r="P74" s="92"/>
      <c r="Q74" s="92"/>
      <c r="R74" s="92"/>
      <c r="S74" s="92"/>
      <c r="T74" s="92"/>
    </row>
    <row r="75" spans="1:20" x14ac:dyDescent="0.2">
      <c r="I75" s="92"/>
      <c r="J75" s="92"/>
      <c r="K75" s="92"/>
      <c r="L75" s="92"/>
      <c r="M75" s="92"/>
      <c r="N75" s="92"/>
      <c r="O75" s="92"/>
      <c r="P75" s="92"/>
      <c r="Q75" s="92"/>
      <c r="R75" s="92"/>
      <c r="S75" s="92"/>
      <c r="T75" s="92"/>
    </row>
    <row r="76" spans="1:20" x14ac:dyDescent="0.2">
      <c r="I76" s="92"/>
      <c r="J76" s="92"/>
      <c r="K76" s="92"/>
      <c r="L76" s="92"/>
      <c r="M76" s="92"/>
      <c r="N76" s="92"/>
      <c r="O76" s="92"/>
      <c r="P76" s="92"/>
      <c r="Q76" s="92"/>
      <c r="R76" s="92"/>
      <c r="S76" s="92"/>
      <c r="T76" s="92"/>
    </row>
    <row r="77" spans="1:20" x14ac:dyDescent="0.2">
      <c r="I77" s="92"/>
      <c r="J77" s="92"/>
      <c r="K77" s="92"/>
      <c r="L77" s="92"/>
      <c r="M77" s="92"/>
      <c r="N77" s="92"/>
      <c r="O77" s="92"/>
      <c r="P77" s="92"/>
      <c r="Q77" s="92"/>
      <c r="R77" s="92"/>
      <c r="S77" s="92"/>
      <c r="T77" s="92"/>
    </row>
    <row r="78" spans="1:20" x14ac:dyDescent="0.2">
      <c r="I78" s="92"/>
      <c r="J78" s="92"/>
      <c r="K78" s="92"/>
      <c r="L78" s="92"/>
      <c r="M78" s="92"/>
      <c r="N78" s="92"/>
      <c r="O78" s="92"/>
      <c r="P78" s="92"/>
      <c r="Q78" s="92"/>
      <c r="R78" s="92"/>
      <c r="S78" s="92"/>
      <c r="T78" s="92"/>
    </row>
    <row r="79" spans="1:20" x14ac:dyDescent="0.2">
      <c r="I79" s="92"/>
      <c r="J79" s="92"/>
      <c r="K79" s="92"/>
      <c r="L79" s="92"/>
      <c r="M79" s="92"/>
      <c r="N79" s="92"/>
      <c r="O79" s="92"/>
      <c r="P79" s="92"/>
      <c r="Q79" s="92"/>
      <c r="R79" s="92"/>
      <c r="S79" s="92"/>
      <c r="T79" s="92"/>
    </row>
    <row r="80" spans="1:20" x14ac:dyDescent="0.2">
      <c r="I80" s="92"/>
      <c r="J80" s="412"/>
      <c r="K80" s="412"/>
      <c r="L80" s="412"/>
      <c r="M80" s="92"/>
      <c r="N80" s="92"/>
      <c r="O80" s="92"/>
      <c r="P80" s="92"/>
      <c r="Q80" s="92"/>
      <c r="R80" s="92"/>
      <c r="S80" s="92"/>
      <c r="T80" s="92"/>
    </row>
    <row r="81" spans="9:20" x14ac:dyDescent="0.2">
      <c r="I81" s="92"/>
      <c r="J81" s="412"/>
      <c r="K81" s="412"/>
      <c r="L81" s="412"/>
      <c r="M81" s="92"/>
      <c r="N81" s="92"/>
      <c r="O81" s="92"/>
      <c r="P81" s="92"/>
      <c r="Q81" s="92"/>
      <c r="R81" s="92"/>
      <c r="S81" s="92"/>
      <c r="T81" s="92"/>
    </row>
    <row r="82" spans="9:20" x14ac:dyDescent="0.2">
      <c r="I82" s="92"/>
      <c r="J82" s="412"/>
      <c r="K82" s="412"/>
      <c r="L82" s="412"/>
      <c r="M82" s="92"/>
      <c r="N82" s="92"/>
      <c r="O82" s="92"/>
      <c r="P82" s="92"/>
      <c r="Q82" s="92"/>
      <c r="R82" s="92"/>
      <c r="S82" s="92"/>
      <c r="T82" s="92"/>
    </row>
    <row r="83" spans="9:20" x14ac:dyDescent="0.2">
      <c r="I83" s="92"/>
      <c r="J83" s="92"/>
      <c r="K83" s="92"/>
      <c r="L83" s="92"/>
      <c r="M83" s="92"/>
      <c r="N83" s="92"/>
      <c r="O83" s="92"/>
      <c r="P83" s="92"/>
      <c r="Q83" s="92"/>
      <c r="R83" s="92"/>
      <c r="S83" s="92"/>
      <c r="T83" s="92"/>
    </row>
    <row r="84" spans="9:20" x14ac:dyDescent="0.2">
      <c r="I84" s="92"/>
      <c r="J84" s="92"/>
      <c r="K84" s="92"/>
      <c r="L84" s="92"/>
      <c r="M84" s="92"/>
      <c r="N84" s="92"/>
      <c r="O84" s="92"/>
      <c r="P84" s="92"/>
      <c r="Q84" s="92"/>
      <c r="R84" s="92"/>
      <c r="S84" s="92"/>
      <c r="T84" s="92"/>
    </row>
    <row r="85" spans="9:20" x14ac:dyDescent="0.2">
      <c r="I85" s="92"/>
      <c r="J85" s="92"/>
      <c r="K85" s="92"/>
      <c r="L85" s="92"/>
      <c r="M85" s="92"/>
      <c r="N85" s="92"/>
      <c r="O85" s="92"/>
      <c r="P85" s="92"/>
      <c r="Q85" s="92"/>
      <c r="R85" s="92"/>
      <c r="S85" s="92"/>
      <c r="T85" s="92"/>
    </row>
    <row r="86" spans="9:20" x14ac:dyDescent="0.2">
      <c r="I86" s="92"/>
      <c r="J86" s="92"/>
      <c r="K86" s="92"/>
      <c r="L86" s="92"/>
      <c r="M86" s="92"/>
      <c r="N86" s="92"/>
      <c r="O86" s="92"/>
      <c r="P86" s="92"/>
      <c r="Q86" s="92"/>
      <c r="R86" s="92"/>
      <c r="S86" s="92"/>
      <c r="T86" s="92"/>
    </row>
  </sheetData>
  <sheetProtection password="C690" sheet="1" objects="1" scenarios="1"/>
  <conditionalFormatting sqref="B2:C41">
    <cfRule type="containsErrors" dxfId="9" priority="19">
      <formula>ISERROR(B2)</formula>
    </cfRule>
  </conditionalFormatting>
  <conditionalFormatting sqref="D2:D41">
    <cfRule type="containsErrors" dxfId="8" priority="20">
      <formula>ISERROR(D2)</formula>
    </cfRule>
  </conditionalFormatting>
  <conditionalFormatting sqref="E2:AQ41">
    <cfRule type="containsErrors" dxfId="7" priority="21">
      <formula>ISERROR(E2)</formula>
    </cfRule>
  </conditionalFormatting>
  <conditionalFormatting sqref="AT2:CF2 CF3:CF40 CE5:CE39 CD5:CD38 CC5:CC37 CB5:CB36 CA5:CA35 BZ5:BZ34 BY5:BY33 BX5:BX32 BW5:BW31 BV5:BV30 BU5:BU29 BT5:BT28 BS5:BS27 BR5:BR26 BQ5:BQ25 BP5:BP24 BO5:BO23 BN5:BN22 BM5:BM21 BL5:BL20 BK5:BK19 BJ5:BJ18 BI5:BI17 BG5:BH15 BF5:BF14 BE5:BE13 BE3:CE4 BD3:BD12 BC3:BC11 BB3:BB10 BA3:BA9 AZ3:AZ8 AY3:AY7 AX3:AX6 AW3:AW5 AV3:AV4 AU3 BH16">
    <cfRule type="expression" dxfId="6" priority="7">
      <formula>OR(AT$1&gt;$E$51,$A2&gt;$E$51)</formula>
    </cfRule>
  </conditionalFormatting>
  <conditionalFormatting sqref="AT41:CE41 AT40:CD40 CB38 CA37:CA38 AT32:BV32 AT31:BU31 AT30:BT30 AT29:BS29 AT28:BR28 AT27:BQ27 AT26:BP26 AT25:BO25 AT24:BN24 AT23:BM23 AT22:BL22 AT21:BK21 AT18:BH20 BJ20 BI19:BI20 AT17:BG17 AT16:BF16 AT15:BE15 AT14:BD14 AT13:BC13 AT12:BB12 AT11:BA11 AT10:AZ10 AT9:AY9 AT8:AX8 AT7:AW7 AT6:AV6 AT5:AU5 AT4 AS3:AS41 AT33:BW33 BA34:BX34 BA35:BY35 BA36:BZ38 BA39:CC39 AT34:AZ39">
    <cfRule type="expression" dxfId="5" priority="6">
      <formula>OR(AS$1&gt;$E$51,$A3&gt;$E$51)</formula>
    </cfRule>
  </conditionalFormatting>
  <conditionalFormatting sqref="AR2:AR41">
    <cfRule type="cellIs" dxfId="4" priority="5" operator="greaterThan">
      <formula>$E$51</formula>
    </cfRule>
  </conditionalFormatting>
  <conditionalFormatting sqref="AS1:CF1">
    <cfRule type="cellIs" dxfId="3" priority="4" operator="greaterThan">
      <formula>$E$51</formula>
    </cfRule>
  </conditionalFormatting>
  <conditionalFormatting sqref="AS2 AT3 AU4 AV5 AW6 AX7 AY8 AZ9 BA10 BB11 BC12 BD13 BE14 BF15 BG16 BH17 BI18 BJ19 BK20 BL21 BM22 BN23 BO24 BP25 BQ26 BR27 BS28 BT29 BU30 BV31 BW32 BY34 BZ35 CA36 CB37 CC38 CD39 CE40 CF41">
    <cfRule type="expression" dxfId="2" priority="3">
      <formula>IF(AS$1&gt;$E$51,TRUE(),FALSE())</formula>
    </cfRule>
  </conditionalFormatting>
  <conditionalFormatting sqref="BX33">
    <cfRule type="expression" dxfId="1" priority="1">
      <formula>IF($BX$1&gt;$E51,TRUE(),FALSE())</formula>
    </cfRule>
    <cfRule type="colorScale" priority="2">
      <colorScale>
        <cfvo type="min"/>
        <cfvo type="max"/>
        <color rgb="FFFF7128"/>
        <color rgb="FFFFEF9C"/>
      </colorScale>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Z100"/>
  <sheetViews>
    <sheetView zoomScale="75" workbookViewId="0">
      <selection activeCell="K1" sqref="K1"/>
    </sheetView>
  </sheetViews>
  <sheetFormatPr baseColWidth="10" defaultRowHeight="12.75" x14ac:dyDescent="0.2"/>
  <cols>
    <col min="1" max="1" width="4.5703125" customWidth="1"/>
    <col min="2" max="2" width="12" bestFit="1" customWidth="1"/>
    <col min="3" max="3" width="12.42578125" bestFit="1" customWidth="1"/>
    <col min="4" max="6" width="12.28515625" bestFit="1" customWidth="1"/>
    <col min="7" max="7" width="12.28515625" customWidth="1"/>
    <col min="8" max="8" width="3.5703125" customWidth="1"/>
    <col min="9" max="9" width="7.85546875" bestFit="1" customWidth="1"/>
    <col min="10" max="12" width="12.28515625" bestFit="1" customWidth="1"/>
    <col min="13" max="13" width="12.42578125" bestFit="1" customWidth="1"/>
    <col min="14" max="15" width="12.5703125" bestFit="1" customWidth="1"/>
    <col min="16" max="16" width="12" bestFit="1" customWidth="1"/>
    <col min="17" max="18" width="12.5703125" bestFit="1" customWidth="1"/>
    <col min="19" max="20" width="12" bestFit="1" customWidth="1"/>
    <col min="21" max="22" width="12.28515625" bestFit="1" customWidth="1"/>
    <col min="23" max="23" width="12.140625" bestFit="1" customWidth="1"/>
    <col min="24" max="24" width="14.42578125" bestFit="1" customWidth="1"/>
    <col min="25" max="26" width="14.7109375" bestFit="1" customWidth="1"/>
    <col min="27" max="27" width="11.7109375" bestFit="1" customWidth="1"/>
    <col min="28" max="28" width="14.85546875" bestFit="1" customWidth="1"/>
    <col min="29" max="30" width="11.7109375" bestFit="1" customWidth="1"/>
  </cols>
  <sheetData>
    <row r="1" spans="1:52" ht="13.5" thickBot="1" x14ac:dyDescent="0.25">
      <c r="A1" s="12"/>
      <c r="B1" s="12"/>
      <c r="C1" s="12"/>
      <c r="D1" s="12"/>
      <c r="E1" s="12"/>
      <c r="F1" s="12"/>
      <c r="G1" s="12"/>
      <c r="H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spans="1:52" ht="13.5" thickBot="1" x14ac:dyDescent="0.25">
      <c r="A2" s="12"/>
      <c r="B2" s="313" t="s">
        <v>59</v>
      </c>
      <c r="C2" s="12"/>
      <c r="D2" s="73" t="s">
        <v>49</v>
      </c>
      <c r="E2" s="400">
        <v>2</v>
      </c>
      <c r="F2" s="340" t="s">
        <v>115</v>
      </c>
      <c r="G2" s="400">
        <v>1</v>
      </c>
      <c r="H2" s="12"/>
      <c r="I2" s="200" t="s">
        <v>112</v>
      </c>
      <c r="N2" s="12"/>
    </row>
    <row r="3" spans="1:52" ht="13.5" thickBot="1" x14ac:dyDescent="0.25">
      <c r="A3" s="12"/>
      <c r="B3" s="12"/>
      <c r="C3" s="12"/>
      <c r="D3" s="12"/>
      <c r="E3" s="12"/>
      <c r="F3" s="12"/>
      <c r="G3" s="12"/>
      <c r="H3" s="12"/>
    </row>
    <row r="4" spans="1:52" ht="13.5" thickBot="1" x14ac:dyDescent="0.25">
      <c r="A4" s="12"/>
      <c r="B4" s="12"/>
      <c r="C4" s="12"/>
      <c r="D4" s="12"/>
      <c r="E4" s="12"/>
      <c r="F4" s="12"/>
      <c r="G4" s="12"/>
      <c r="H4" s="12"/>
      <c r="I4" s="318" t="s">
        <v>6</v>
      </c>
      <c r="J4" s="316">
        <v>0</v>
      </c>
      <c r="K4" s="315">
        <v>0.1</v>
      </c>
      <c r="L4" s="315">
        <v>0.2</v>
      </c>
      <c r="M4" s="315">
        <v>0.3</v>
      </c>
      <c r="N4" s="315">
        <v>0.4</v>
      </c>
      <c r="O4" s="315">
        <v>0.5</v>
      </c>
      <c r="P4" s="315">
        <v>0.6</v>
      </c>
      <c r="Q4" s="315">
        <v>0.7</v>
      </c>
      <c r="R4" s="315">
        <v>0.8</v>
      </c>
      <c r="S4" s="315">
        <v>0.9</v>
      </c>
      <c r="T4" s="215">
        <v>1</v>
      </c>
    </row>
    <row r="5" spans="1:52" ht="13.5" thickBot="1" x14ac:dyDescent="0.25">
      <c r="A5" s="12"/>
      <c r="B5" s="12"/>
      <c r="C5" s="350" t="s">
        <v>186</v>
      </c>
      <c r="D5" s="348">
        <f ca="1">MAX(EleData!DD:DD)</f>
        <v>0.11945361522592417</v>
      </c>
      <c r="E5" s="12"/>
      <c r="F5" s="12"/>
      <c r="G5" s="12"/>
      <c r="H5" s="12"/>
      <c r="I5" s="317">
        <f t="shared" ref="I5:I24" ca="1" si="0">IF(ISNUMBER(INDIRECT("System!C" &amp;ROW(A2))),INDIRECT("System!B"&amp;ROW(A2)),"")</f>
        <v>1</v>
      </c>
      <c r="J5" s="214">
        <f ca="1">IF(ISNUMBER($I5),INDIRECT(ADDRESS(3+($I5-1)*6,COLUMN(EleData!CN$1),,,"EleData")),"")</f>
        <v>-1.1796119636642288E-16</v>
      </c>
      <c r="K5" s="315">
        <f ca="1">IF(ISNUMBER($I5),INDIRECT(ADDRESS(3+($I5-1)*6,COLUMN(EleData!CO$1),,,"EleData")),"")</f>
        <v>1.194536152259231E-2</v>
      </c>
      <c r="L5" s="315">
        <f ca="1">IF(ISNUMBER($I5),INDIRECT(ADDRESS(3+($I5-1)*6,COLUMN(EleData!CP$1),,,"EleData")),"")</f>
        <v>2.3890723045184737E-2</v>
      </c>
      <c r="M5" s="315">
        <f ca="1">IF(ISNUMBER($I5),INDIRECT(ADDRESS(3+($I5-1)*6,COLUMN(EleData!CQ$1),,,"EleData")),"")</f>
        <v>3.5836084567777156E-2</v>
      </c>
      <c r="N5" s="315">
        <f ca="1">IF(ISNUMBER($I5),INDIRECT(ADDRESS(3+($I5-1)*6,COLUMN(EleData!CR$1),,,"EleData")),"")</f>
        <v>4.7781446090369592E-2</v>
      </c>
      <c r="O5" s="315">
        <f ca="1">IF(ISNUMBER($I5),INDIRECT(ADDRESS(3+($I5-1)*6,COLUMN(EleData!CS$1),,,"EleData")),"")</f>
        <v>5.9726807612962007E-2</v>
      </c>
      <c r="P5" s="315">
        <f ca="1">IF(ISNUMBER($I5),INDIRECT(ADDRESS(3+($I5-1)*6,COLUMN(EleData!CT$1),,,"EleData")),"")</f>
        <v>7.1672169135554437E-2</v>
      </c>
      <c r="Q5" s="315">
        <f ca="1">IF(ISNUMBER($I5),INDIRECT(ADDRESS(3+($I5-1)*6,COLUMN(EleData!CU$1),,,"EleData")),"")</f>
        <v>8.3617530658146852E-2</v>
      </c>
      <c r="R5" s="315">
        <f ca="1">IF(ISNUMBER($I5),INDIRECT(ADDRESS(3+($I5-1)*6,COLUMN(EleData!CV$1),,,"EleData")),"")</f>
        <v>9.5562892180739295E-2</v>
      </c>
      <c r="S5" s="315">
        <f ca="1">IF(ISNUMBER($I5),INDIRECT(ADDRESS(3+($I5-1)*6,COLUMN(EleData!CW$1),,,"EleData")),"")</f>
        <v>0.10750825370333171</v>
      </c>
      <c r="T5" s="215">
        <f ca="1">IF(ISNUMBER($I5),INDIRECT(ADDRESS(3+($I5-1)*6,COLUMN(EleData!CX$1),,,"EleData")),"")</f>
        <v>0.11945361522592414</v>
      </c>
    </row>
    <row r="6" spans="1:52" ht="13.5" thickBot="1" x14ac:dyDescent="0.25">
      <c r="A6" s="12"/>
      <c r="B6" s="12"/>
      <c r="C6" s="350" t="s">
        <v>192</v>
      </c>
      <c r="D6" s="347">
        <f ca="1">E2/D5*KnotenData!H4*D7</f>
        <v>3.1528514414120865</v>
      </c>
      <c r="E6" s="12"/>
      <c r="F6" s="12"/>
      <c r="G6" s="12"/>
      <c r="H6" s="12"/>
      <c r="I6" s="220">
        <f t="shared" ca="1" si="0"/>
        <v>2</v>
      </c>
      <c r="J6" s="216">
        <f ca="1">IF(ISNUMBER($I6),INDIRECT(ADDRESS(3+($I6-1)*6,COLUMN(EleData!CN$1),,,"EleData")),"")</f>
        <v>0.11945361522592417</v>
      </c>
      <c r="K6" s="206">
        <f ca="1">IF(ISNUMBER($I6),INDIRECT(ADDRESS(3+($I6-1)*6,COLUMN(EleData!CO$1),,,"EleData")),"")</f>
        <v>0.11875825370333175</v>
      </c>
      <c r="L6" s="206">
        <f ca="1">IF(ISNUMBER($I6),INDIRECT(ADDRESS(3+($I6-1)*6,COLUMN(EleData!CP$1),,,"EleData")),"")</f>
        <v>0.11556289218073934</v>
      </c>
      <c r="M6" s="206">
        <f ca="1">IF(ISNUMBER($I6),INDIRECT(ADDRESS(3+($I6-1)*6,COLUMN(EleData!CQ$1),,,"EleData")),"")</f>
        <v>0.1098675306581469</v>
      </c>
      <c r="N6" s="206">
        <f ca="1">IF(ISNUMBER($I6),INDIRECT(ADDRESS(3+($I6-1)*6,COLUMN(EleData!CR$1),,,"EleData")),"")</f>
        <v>0.10167216913555449</v>
      </c>
      <c r="O6" s="206">
        <f ca="1">IF(ISNUMBER($I6),INDIRECT(ADDRESS(3+($I6-1)*6,COLUMN(EleData!CS$1),,,"EleData")),"")</f>
        <v>9.0976807612962077E-2</v>
      </c>
      <c r="P6" s="206">
        <f ca="1">IF(ISNUMBER($I6),INDIRECT(ADDRESS(3+($I6-1)*6,COLUMN(EleData!CT$1),,,"EleData")),"")</f>
        <v>7.778144609036966E-2</v>
      </c>
      <c r="Q6" s="206">
        <f ca="1">IF(ISNUMBER($I6),INDIRECT(ADDRESS(3+($I6-1)*6,COLUMN(EleData!CU$1),,,"EleData")),"")</f>
        <v>6.2086084567777242E-2</v>
      </c>
      <c r="R6" s="206">
        <f ca="1">IF(ISNUMBER($I6),INDIRECT(ADDRESS(3+($I6-1)*6,COLUMN(EleData!CV$1),,,"EleData")),"")</f>
        <v>4.3890723045184807E-2</v>
      </c>
      <c r="S6" s="206">
        <f ca="1">IF(ISNUMBER($I6),INDIRECT(ADDRESS(3+($I6-1)*6,COLUMN(EleData!CW$1),,,"EleData")),"")</f>
        <v>2.3195361522592398E-2</v>
      </c>
      <c r="T6" s="217">
        <f ca="1">IF(ISNUMBER($I6),INDIRECT(ADDRESS(3+($I6-1)*6,COLUMN(EleData!CX$1),,,"EleData")),"")</f>
        <v>-1.7347234759768071E-17</v>
      </c>
    </row>
    <row r="7" spans="1:52" ht="13.5" thickBot="1" x14ac:dyDescent="0.25">
      <c r="A7" s="12"/>
      <c r="B7" s="12"/>
      <c r="C7" s="350" t="s">
        <v>187</v>
      </c>
      <c r="D7" s="347">
        <v>0.3</v>
      </c>
      <c r="E7" s="12"/>
      <c r="F7" s="12"/>
      <c r="G7" s="12"/>
      <c r="H7" s="12"/>
      <c r="I7" s="220" t="str">
        <f t="shared" ca="1" si="0"/>
        <v/>
      </c>
      <c r="J7" s="216" t="str">
        <f ca="1">IF(ISNUMBER($I7),INDIRECT(ADDRESS(3+($I7-1)*6,COLUMN(EleData!CN$1),,,"EleData")),"")</f>
        <v/>
      </c>
      <c r="K7" s="206" t="str">
        <f ca="1">IF(ISNUMBER($I7),INDIRECT(ADDRESS(3+($I7-1)*6,COLUMN(EleData!CO$1),,,"EleData")),"")</f>
        <v/>
      </c>
      <c r="L7" s="206" t="str">
        <f ca="1">IF(ISNUMBER($I7),INDIRECT(ADDRESS(3+($I7-1)*6,COLUMN(EleData!CP$1),,,"EleData")),"")</f>
        <v/>
      </c>
      <c r="M7" s="206" t="str">
        <f ca="1">IF(ISNUMBER($I7),INDIRECT(ADDRESS(3+($I7-1)*6,COLUMN(EleData!CQ$1),,,"EleData")),"")</f>
        <v/>
      </c>
      <c r="N7" s="206" t="str">
        <f ca="1">IF(ISNUMBER($I7),INDIRECT(ADDRESS(3+($I7-1)*6,COLUMN(EleData!CR$1),,,"EleData")),"")</f>
        <v/>
      </c>
      <c r="O7" s="206" t="str">
        <f ca="1">IF(ISNUMBER($I7),INDIRECT(ADDRESS(3+($I7-1)*6,COLUMN(EleData!CS$1),,,"EleData")),"")</f>
        <v/>
      </c>
      <c r="P7" s="206" t="str">
        <f ca="1">IF(ISNUMBER($I7),INDIRECT(ADDRESS(3+($I7-1)*6,COLUMN(EleData!CT$1),,,"EleData")),"")</f>
        <v/>
      </c>
      <c r="Q7" s="206" t="str">
        <f ca="1">IF(ISNUMBER($I7),INDIRECT(ADDRESS(3+($I7-1)*6,COLUMN(EleData!CU$1),,,"EleData")),"")</f>
        <v/>
      </c>
      <c r="R7" s="206" t="str">
        <f ca="1">IF(ISNUMBER($I7),INDIRECT(ADDRESS(3+($I7-1)*6,COLUMN(EleData!CV$1),,,"EleData")),"")</f>
        <v/>
      </c>
      <c r="S7" s="206" t="str">
        <f ca="1">IF(ISNUMBER($I7),INDIRECT(ADDRESS(3+($I7-1)*6,COLUMN(EleData!CW$1),,,"EleData")),"")</f>
        <v/>
      </c>
      <c r="T7" s="217" t="str">
        <f ca="1">IF(ISNUMBER($I7),INDIRECT(ADDRESS(3+($I7-1)*6,COLUMN(EleData!CX$1),,,"EleData")),"")</f>
        <v/>
      </c>
    </row>
    <row r="8" spans="1:52" x14ac:dyDescent="0.2">
      <c r="A8" s="12"/>
      <c r="B8" s="12"/>
      <c r="C8" s="12"/>
      <c r="D8" s="12"/>
      <c r="E8" s="12"/>
      <c r="F8" s="12"/>
      <c r="G8" s="12"/>
      <c r="H8" s="12"/>
      <c r="I8" s="220" t="str">
        <f t="shared" ca="1" si="0"/>
        <v/>
      </c>
      <c r="J8" s="216" t="str">
        <f ca="1">IF(ISNUMBER($I8),INDIRECT(ADDRESS(3+($I8-1)*6,COLUMN(EleData!CN$1),,,"EleData")),"")</f>
        <v/>
      </c>
      <c r="K8" s="206" t="str">
        <f ca="1">IF(ISNUMBER($I8),INDIRECT(ADDRESS(3+($I8-1)*6,COLUMN(EleData!CO$1),,,"EleData")),"")</f>
        <v/>
      </c>
      <c r="L8" s="206" t="str">
        <f ca="1">IF(ISNUMBER($I8),INDIRECT(ADDRESS(3+($I8-1)*6,COLUMN(EleData!CP$1),,,"EleData")),"")</f>
        <v/>
      </c>
      <c r="M8" s="206" t="str">
        <f ca="1">IF(ISNUMBER($I8),INDIRECT(ADDRESS(3+($I8-1)*6,COLUMN(EleData!CQ$1),,,"EleData")),"")</f>
        <v/>
      </c>
      <c r="N8" s="206" t="str">
        <f ca="1">IF(ISNUMBER($I8),INDIRECT(ADDRESS(3+($I8-1)*6,COLUMN(EleData!CR$1),,,"EleData")),"")</f>
        <v/>
      </c>
      <c r="O8" s="206" t="str">
        <f ca="1">IF(ISNUMBER($I8),INDIRECT(ADDRESS(3+($I8-1)*6,COLUMN(EleData!CS$1),,,"EleData")),"")</f>
        <v/>
      </c>
      <c r="P8" s="206" t="str">
        <f ca="1">IF(ISNUMBER($I8),INDIRECT(ADDRESS(3+($I8-1)*6,COLUMN(EleData!CT$1),,,"EleData")),"")</f>
        <v/>
      </c>
      <c r="Q8" s="206" t="str">
        <f ca="1">IF(ISNUMBER($I8),INDIRECT(ADDRESS(3+($I8-1)*6,COLUMN(EleData!CU$1),,,"EleData")),"")</f>
        <v/>
      </c>
      <c r="R8" s="206" t="str">
        <f ca="1">IF(ISNUMBER($I8),INDIRECT(ADDRESS(3+($I8-1)*6,COLUMN(EleData!CV$1),,,"EleData")),"")</f>
        <v/>
      </c>
      <c r="S8" s="206" t="str">
        <f ca="1">IF(ISNUMBER($I8),INDIRECT(ADDRESS(3+($I8-1)*6,COLUMN(EleData!CW$1),,,"EleData")),"")</f>
        <v/>
      </c>
      <c r="T8" s="217" t="str">
        <f ca="1">IF(ISNUMBER($I8),INDIRECT(ADDRESS(3+($I8-1)*6,COLUMN(EleData!CX$1),,,"EleData")),"")</f>
        <v/>
      </c>
    </row>
    <row r="9" spans="1:52" x14ac:dyDescent="0.2">
      <c r="A9" s="12"/>
      <c r="B9" s="12"/>
      <c r="C9" s="12"/>
      <c r="D9" s="12"/>
      <c r="E9" s="12"/>
      <c r="F9" s="12"/>
      <c r="G9" s="12"/>
      <c r="H9" s="12"/>
      <c r="I9" s="220" t="str">
        <f t="shared" ca="1" si="0"/>
        <v/>
      </c>
      <c r="J9" s="216" t="str">
        <f ca="1">IF(ISNUMBER($I9),INDIRECT(ADDRESS(3+($I9-1)*6,COLUMN(EleData!CN$1),,,"EleData")),"")</f>
        <v/>
      </c>
      <c r="K9" s="206" t="str">
        <f ca="1">IF(ISNUMBER($I9),INDIRECT(ADDRESS(3+($I9-1)*6,COLUMN(EleData!CO$1),,,"EleData")),"")</f>
        <v/>
      </c>
      <c r="L9" s="206" t="str">
        <f ca="1">IF(ISNUMBER($I9),INDIRECT(ADDRESS(3+($I9-1)*6,COLUMN(EleData!CP$1),,,"EleData")),"")</f>
        <v/>
      </c>
      <c r="M9" s="206" t="str">
        <f ca="1">IF(ISNUMBER($I9),INDIRECT(ADDRESS(3+($I9-1)*6,COLUMN(EleData!CQ$1),,,"EleData")),"")</f>
        <v/>
      </c>
      <c r="N9" s="206" t="str">
        <f ca="1">IF(ISNUMBER($I9),INDIRECT(ADDRESS(3+($I9-1)*6,COLUMN(EleData!CR$1),,,"EleData")),"")</f>
        <v/>
      </c>
      <c r="O9" s="206" t="str">
        <f ca="1">IF(ISNUMBER($I9),INDIRECT(ADDRESS(3+($I9-1)*6,COLUMN(EleData!CS$1),,,"EleData")),"")</f>
        <v/>
      </c>
      <c r="P9" s="206" t="str">
        <f ca="1">IF(ISNUMBER($I9),INDIRECT(ADDRESS(3+($I9-1)*6,COLUMN(EleData!CT$1),,,"EleData")),"")</f>
        <v/>
      </c>
      <c r="Q9" s="206" t="str">
        <f ca="1">IF(ISNUMBER($I9),INDIRECT(ADDRESS(3+($I9-1)*6,COLUMN(EleData!CU$1),,,"EleData")),"")</f>
        <v/>
      </c>
      <c r="R9" s="206" t="str">
        <f ca="1">IF(ISNUMBER($I9),INDIRECT(ADDRESS(3+($I9-1)*6,COLUMN(EleData!CV$1),,,"EleData")),"")</f>
        <v/>
      </c>
      <c r="S9" s="206" t="str">
        <f ca="1">IF(ISNUMBER($I9),INDIRECT(ADDRESS(3+($I9-1)*6,COLUMN(EleData!CW$1),,,"EleData")),"")</f>
        <v/>
      </c>
      <c r="T9" s="217" t="str">
        <f ca="1">IF(ISNUMBER($I9),INDIRECT(ADDRESS(3+($I9-1)*6,COLUMN(EleData!CX$1),,,"EleData")),"")</f>
        <v/>
      </c>
    </row>
    <row r="10" spans="1:52" x14ac:dyDescent="0.2">
      <c r="A10" s="12"/>
      <c r="B10" s="12"/>
      <c r="C10" s="12"/>
      <c r="D10" s="12"/>
      <c r="E10" s="12"/>
      <c r="F10" s="12"/>
      <c r="G10" s="12"/>
      <c r="H10" s="12"/>
      <c r="I10" s="220" t="str">
        <f t="shared" ca="1" si="0"/>
        <v/>
      </c>
      <c r="J10" s="216" t="str">
        <f ca="1">IF(ISNUMBER($I10),INDIRECT(ADDRESS(3+($I10-1)*6,COLUMN(EleData!CN$1),,,"EleData")),"")</f>
        <v/>
      </c>
      <c r="K10" s="206" t="str">
        <f ca="1">IF(ISNUMBER($I10),INDIRECT(ADDRESS(3+($I10-1)*6,COLUMN(EleData!CO$1),,,"EleData")),"")</f>
        <v/>
      </c>
      <c r="L10" s="206" t="str">
        <f ca="1">IF(ISNUMBER($I10),INDIRECT(ADDRESS(3+($I10-1)*6,COLUMN(EleData!CP$1),,,"EleData")),"")</f>
        <v/>
      </c>
      <c r="M10" s="206" t="str">
        <f ca="1">IF(ISNUMBER($I10),INDIRECT(ADDRESS(3+($I10-1)*6,COLUMN(EleData!CQ$1),,,"EleData")),"")</f>
        <v/>
      </c>
      <c r="N10" s="206" t="str">
        <f ca="1">IF(ISNUMBER($I10),INDIRECT(ADDRESS(3+($I10-1)*6,COLUMN(EleData!CR$1),,,"EleData")),"")</f>
        <v/>
      </c>
      <c r="O10" s="206" t="str">
        <f ca="1">IF(ISNUMBER($I10),INDIRECT(ADDRESS(3+($I10-1)*6,COLUMN(EleData!CS$1),,,"EleData")),"")</f>
        <v/>
      </c>
      <c r="P10" s="206" t="str">
        <f ca="1">IF(ISNUMBER($I10),INDIRECT(ADDRESS(3+($I10-1)*6,COLUMN(EleData!CT$1),,,"EleData")),"")</f>
        <v/>
      </c>
      <c r="Q10" s="206" t="str">
        <f ca="1">IF(ISNUMBER($I10),INDIRECT(ADDRESS(3+($I10-1)*6,COLUMN(EleData!CU$1),,,"EleData")),"")</f>
        <v/>
      </c>
      <c r="R10" s="206" t="str">
        <f ca="1">IF(ISNUMBER($I10),INDIRECT(ADDRESS(3+($I10-1)*6,COLUMN(EleData!CV$1),,,"EleData")),"")</f>
        <v/>
      </c>
      <c r="S10" s="206" t="str">
        <f ca="1">IF(ISNUMBER($I10),INDIRECT(ADDRESS(3+($I10-1)*6,COLUMN(EleData!CW$1),,,"EleData")),"")</f>
        <v/>
      </c>
      <c r="T10" s="217" t="str">
        <f ca="1">IF(ISNUMBER($I10),INDIRECT(ADDRESS(3+($I10-1)*6,COLUMN(EleData!CX$1),,,"EleData")),"")</f>
        <v/>
      </c>
    </row>
    <row r="11" spans="1:52" x14ac:dyDescent="0.2">
      <c r="A11" s="12"/>
      <c r="B11" s="12"/>
      <c r="C11" s="12"/>
      <c r="D11" s="12"/>
      <c r="E11" s="12"/>
      <c r="F11" s="12"/>
      <c r="G11" s="12"/>
      <c r="H11" s="12"/>
      <c r="I11" s="220" t="str">
        <f t="shared" ca="1" si="0"/>
        <v/>
      </c>
      <c r="J11" s="216" t="str">
        <f ca="1">IF(ISNUMBER($I11),INDIRECT(ADDRESS(3+($I11-1)*6,COLUMN(EleData!CN$1),,,"EleData")),"")</f>
        <v/>
      </c>
      <c r="K11" s="206" t="str">
        <f ca="1">IF(ISNUMBER($I11),INDIRECT(ADDRESS(3+($I11-1)*6,COLUMN(EleData!CO$1),,,"EleData")),"")</f>
        <v/>
      </c>
      <c r="L11" s="206" t="str">
        <f ca="1">IF(ISNUMBER($I11),INDIRECT(ADDRESS(3+($I11-1)*6,COLUMN(EleData!CP$1),,,"EleData")),"")</f>
        <v/>
      </c>
      <c r="M11" s="206" t="str">
        <f ca="1">IF(ISNUMBER($I11),INDIRECT(ADDRESS(3+($I11-1)*6,COLUMN(EleData!CQ$1),,,"EleData")),"")</f>
        <v/>
      </c>
      <c r="N11" s="206" t="str">
        <f ca="1">IF(ISNUMBER($I11),INDIRECT(ADDRESS(3+($I11-1)*6,COLUMN(EleData!CR$1),,,"EleData")),"")</f>
        <v/>
      </c>
      <c r="O11" s="206" t="str">
        <f ca="1">IF(ISNUMBER($I11),INDIRECT(ADDRESS(3+($I11-1)*6,COLUMN(EleData!CS$1),,,"EleData")),"")</f>
        <v/>
      </c>
      <c r="P11" s="206" t="str">
        <f ca="1">IF(ISNUMBER($I11),INDIRECT(ADDRESS(3+($I11-1)*6,COLUMN(EleData!CT$1),,,"EleData")),"")</f>
        <v/>
      </c>
      <c r="Q11" s="206" t="str">
        <f ca="1">IF(ISNUMBER($I11),INDIRECT(ADDRESS(3+($I11-1)*6,COLUMN(EleData!CU$1),,,"EleData")),"")</f>
        <v/>
      </c>
      <c r="R11" s="206" t="str">
        <f ca="1">IF(ISNUMBER($I11),INDIRECT(ADDRESS(3+($I11-1)*6,COLUMN(EleData!CV$1),,,"EleData")),"")</f>
        <v/>
      </c>
      <c r="S11" s="206" t="str">
        <f ca="1">IF(ISNUMBER($I11),INDIRECT(ADDRESS(3+($I11-1)*6,COLUMN(EleData!CW$1),,,"EleData")),"")</f>
        <v/>
      </c>
      <c r="T11" s="217" t="str">
        <f ca="1">IF(ISNUMBER($I11),INDIRECT(ADDRESS(3+($I11-1)*6,COLUMN(EleData!CX$1),,,"EleData")),"")</f>
        <v/>
      </c>
    </row>
    <row r="12" spans="1:52" x14ac:dyDescent="0.2">
      <c r="A12" s="12"/>
      <c r="B12" s="12"/>
      <c r="C12" s="12"/>
      <c r="D12" s="12"/>
      <c r="E12" s="12"/>
      <c r="F12" s="12"/>
      <c r="G12" s="12"/>
      <c r="H12" s="12"/>
      <c r="I12" s="220" t="str">
        <f t="shared" ca="1" si="0"/>
        <v/>
      </c>
      <c r="J12" s="216" t="str">
        <f ca="1">IF(ISNUMBER($I12),INDIRECT(ADDRESS(3+($I12-1)*6,COLUMN(EleData!CN$1),,,"EleData")),"")</f>
        <v/>
      </c>
      <c r="K12" s="206" t="str">
        <f ca="1">IF(ISNUMBER($I12),INDIRECT(ADDRESS(3+($I12-1)*6,COLUMN(EleData!CO$1),,,"EleData")),"")</f>
        <v/>
      </c>
      <c r="L12" s="206" t="str">
        <f ca="1">IF(ISNUMBER($I12),INDIRECT(ADDRESS(3+($I12-1)*6,COLUMN(EleData!CP$1),,,"EleData")),"")</f>
        <v/>
      </c>
      <c r="M12" s="206" t="str">
        <f ca="1">IF(ISNUMBER($I12),INDIRECT(ADDRESS(3+($I12-1)*6,COLUMN(EleData!CQ$1),,,"EleData")),"")</f>
        <v/>
      </c>
      <c r="N12" s="206" t="str">
        <f ca="1">IF(ISNUMBER($I12),INDIRECT(ADDRESS(3+($I12-1)*6,COLUMN(EleData!CR$1),,,"EleData")),"")</f>
        <v/>
      </c>
      <c r="O12" s="206" t="str">
        <f ca="1">IF(ISNUMBER($I12),INDIRECT(ADDRESS(3+($I12-1)*6,COLUMN(EleData!CS$1),,,"EleData")),"")</f>
        <v/>
      </c>
      <c r="P12" s="206" t="str">
        <f ca="1">IF(ISNUMBER($I12),INDIRECT(ADDRESS(3+($I12-1)*6,COLUMN(EleData!CT$1),,,"EleData")),"")</f>
        <v/>
      </c>
      <c r="Q12" s="206" t="str">
        <f ca="1">IF(ISNUMBER($I12),INDIRECT(ADDRESS(3+($I12-1)*6,COLUMN(EleData!CU$1),,,"EleData")),"")</f>
        <v/>
      </c>
      <c r="R12" s="206" t="str">
        <f ca="1">IF(ISNUMBER($I12),INDIRECT(ADDRESS(3+($I12-1)*6,COLUMN(EleData!CV$1),,,"EleData")),"")</f>
        <v/>
      </c>
      <c r="S12" s="206" t="str">
        <f ca="1">IF(ISNUMBER($I12),INDIRECT(ADDRESS(3+($I12-1)*6,COLUMN(EleData!CW$1),,,"EleData")),"")</f>
        <v/>
      </c>
      <c r="T12" s="217" t="str">
        <f ca="1">IF(ISNUMBER($I12),INDIRECT(ADDRESS(3+($I12-1)*6,COLUMN(EleData!CX$1),,,"EleData")),"")</f>
        <v/>
      </c>
    </row>
    <row r="13" spans="1:52" x14ac:dyDescent="0.2">
      <c r="A13" s="12"/>
      <c r="B13" s="12"/>
      <c r="C13" s="12"/>
      <c r="D13" s="12"/>
      <c r="E13" s="12"/>
      <c r="F13" s="12"/>
      <c r="G13" s="12"/>
      <c r="H13" s="12"/>
      <c r="I13" s="220" t="str">
        <f t="shared" ca="1" si="0"/>
        <v/>
      </c>
      <c r="J13" s="216" t="str">
        <f ca="1">IF(ISNUMBER($I13),INDIRECT(ADDRESS(3+($I13-1)*6,COLUMN(EleData!CN$1),,,"EleData")),"")</f>
        <v/>
      </c>
      <c r="K13" s="206" t="str">
        <f ca="1">IF(ISNUMBER($I13),INDIRECT(ADDRESS(3+($I13-1)*6,COLUMN(EleData!CO$1),,,"EleData")),"")</f>
        <v/>
      </c>
      <c r="L13" s="206" t="str">
        <f ca="1">IF(ISNUMBER($I13),INDIRECT(ADDRESS(3+($I13-1)*6,COLUMN(EleData!CP$1),,,"EleData")),"")</f>
        <v/>
      </c>
      <c r="M13" s="206" t="str">
        <f ca="1">IF(ISNUMBER($I13),INDIRECT(ADDRESS(3+($I13-1)*6,COLUMN(EleData!CQ$1),,,"EleData")),"")</f>
        <v/>
      </c>
      <c r="N13" s="206" t="str">
        <f ca="1">IF(ISNUMBER($I13),INDIRECT(ADDRESS(3+($I13-1)*6,COLUMN(EleData!CR$1),,,"EleData")),"")</f>
        <v/>
      </c>
      <c r="O13" s="206" t="str">
        <f ca="1">IF(ISNUMBER($I13),INDIRECT(ADDRESS(3+($I13-1)*6,COLUMN(EleData!CS$1),,,"EleData")),"")</f>
        <v/>
      </c>
      <c r="P13" s="206" t="str">
        <f ca="1">IF(ISNUMBER($I13),INDIRECT(ADDRESS(3+($I13-1)*6,COLUMN(EleData!CT$1),,,"EleData")),"")</f>
        <v/>
      </c>
      <c r="Q13" s="206" t="str">
        <f ca="1">IF(ISNUMBER($I13),INDIRECT(ADDRESS(3+($I13-1)*6,COLUMN(EleData!CU$1),,,"EleData")),"")</f>
        <v/>
      </c>
      <c r="R13" s="206" t="str">
        <f ca="1">IF(ISNUMBER($I13),INDIRECT(ADDRESS(3+($I13-1)*6,COLUMN(EleData!CV$1),,,"EleData")),"")</f>
        <v/>
      </c>
      <c r="S13" s="206" t="str">
        <f ca="1">IF(ISNUMBER($I13),INDIRECT(ADDRESS(3+($I13-1)*6,COLUMN(EleData!CW$1),,,"EleData")),"")</f>
        <v/>
      </c>
      <c r="T13" s="217" t="str">
        <f ca="1">IF(ISNUMBER($I13),INDIRECT(ADDRESS(3+($I13-1)*6,COLUMN(EleData!CX$1),,,"EleData")),"")</f>
        <v/>
      </c>
    </row>
    <row r="14" spans="1:52" x14ac:dyDescent="0.2">
      <c r="A14" s="12"/>
      <c r="B14" s="12"/>
      <c r="C14" s="12"/>
      <c r="D14" s="12"/>
      <c r="E14" s="12"/>
      <c r="F14" s="12"/>
      <c r="G14" s="12"/>
      <c r="H14" s="12"/>
      <c r="I14" s="220" t="str">
        <f t="shared" ca="1" si="0"/>
        <v/>
      </c>
      <c r="J14" s="216" t="str">
        <f ca="1">IF(ISNUMBER($I14),INDIRECT(ADDRESS(3+($I14-1)*6,COLUMN(EleData!CN$1),,,"EleData")),"")</f>
        <v/>
      </c>
      <c r="K14" s="206" t="str">
        <f ca="1">IF(ISNUMBER($I14),INDIRECT(ADDRESS(3+($I14-1)*6,COLUMN(EleData!CO$1),,,"EleData")),"")</f>
        <v/>
      </c>
      <c r="L14" s="206" t="str">
        <f ca="1">IF(ISNUMBER($I14),INDIRECT(ADDRESS(3+($I14-1)*6,COLUMN(EleData!CP$1),,,"EleData")),"")</f>
        <v/>
      </c>
      <c r="M14" s="206" t="str">
        <f ca="1">IF(ISNUMBER($I14),INDIRECT(ADDRESS(3+($I14-1)*6,COLUMN(EleData!CQ$1),,,"EleData")),"")</f>
        <v/>
      </c>
      <c r="N14" s="206" t="str">
        <f ca="1">IF(ISNUMBER($I14),INDIRECT(ADDRESS(3+($I14-1)*6,COLUMN(EleData!CR$1),,,"EleData")),"")</f>
        <v/>
      </c>
      <c r="O14" s="206" t="str">
        <f ca="1">IF(ISNUMBER($I14),INDIRECT(ADDRESS(3+($I14-1)*6,COLUMN(EleData!CS$1),,,"EleData")),"")</f>
        <v/>
      </c>
      <c r="P14" s="206" t="str">
        <f ca="1">IF(ISNUMBER($I14),INDIRECT(ADDRESS(3+($I14-1)*6,COLUMN(EleData!CT$1),,,"EleData")),"")</f>
        <v/>
      </c>
      <c r="Q14" s="206" t="str">
        <f ca="1">IF(ISNUMBER($I14),INDIRECT(ADDRESS(3+($I14-1)*6,COLUMN(EleData!CU$1),,,"EleData")),"")</f>
        <v/>
      </c>
      <c r="R14" s="206" t="str">
        <f ca="1">IF(ISNUMBER($I14),INDIRECT(ADDRESS(3+($I14-1)*6,COLUMN(EleData!CV$1),,,"EleData")),"")</f>
        <v/>
      </c>
      <c r="S14" s="206" t="str">
        <f ca="1">IF(ISNUMBER($I14),INDIRECT(ADDRESS(3+($I14-1)*6,COLUMN(EleData!CW$1),,,"EleData")),"")</f>
        <v/>
      </c>
      <c r="T14" s="217" t="str">
        <f ca="1">IF(ISNUMBER($I14),INDIRECT(ADDRESS(3+($I14-1)*6,COLUMN(EleData!CX$1),,,"EleData")),"")</f>
        <v/>
      </c>
    </row>
    <row r="15" spans="1:52" x14ac:dyDescent="0.2">
      <c r="A15" s="12"/>
      <c r="B15" s="12"/>
      <c r="C15" s="12"/>
      <c r="D15" s="12"/>
      <c r="E15" s="12"/>
      <c r="F15" s="12"/>
      <c r="G15" s="12"/>
      <c r="H15" s="12"/>
      <c r="I15" s="220" t="str">
        <f t="shared" ca="1" si="0"/>
        <v/>
      </c>
      <c r="J15" s="216" t="str">
        <f ca="1">IF(ISNUMBER($I15),INDIRECT(ADDRESS(3+($I15-1)*6,COLUMN(EleData!CN$1),,,"EleData")),"")</f>
        <v/>
      </c>
      <c r="K15" s="206" t="str">
        <f ca="1">IF(ISNUMBER($I15),INDIRECT(ADDRESS(3+($I15-1)*6,COLUMN(EleData!CO$1),,,"EleData")),"")</f>
        <v/>
      </c>
      <c r="L15" s="206" t="str">
        <f ca="1">IF(ISNUMBER($I15),INDIRECT(ADDRESS(3+($I15-1)*6,COLUMN(EleData!CP$1),,,"EleData")),"")</f>
        <v/>
      </c>
      <c r="M15" s="206" t="str">
        <f ca="1">IF(ISNUMBER($I15),INDIRECT(ADDRESS(3+($I15-1)*6,COLUMN(EleData!CQ$1),,,"EleData")),"")</f>
        <v/>
      </c>
      <c r="N15" s="206" t="str">
        <f ca="1">IF(ISNUMBER($I15),INDIRECT(ADDRESS(3+($I15-1)*6,COLUMN(EleData!CR$1),,,"EleData")),"")</f>
        <v/>
      </c>
      <c r="O15" s="206" t="str">
        <f ca="1">IF(ISNUMBER($I15),INDIRECT(ADDRESS(3+($I15-1)*6,COLUMN(EleData!CS$1),,,"EleData")),"")</f>
        <v/>
      </c>
      <c r="P15" s="206" t="str">
        <f ca="1">IF(ISNUMBER($I15),INDIRECT(ADDRESS(3+($I15-1)*6,COLUMN(EleData!CT$1),,,"EleData")),"")</f>
        <v/>
      </c>
      <c r="Q15" s="206" t="str">
        <f ca="1">IF(ISNUMBER($I15),INDIRECT(ADDRESS(3+($I15-1)*6,COLUMN(EleData!CU$1),,,"EleData")),"")</f>
        <v/>
      </c>
      <c r="R15" s="206" t="str">
        <f ca="1">IF(ISNUMBER($I15),INDIRECT(ADDRESS(3+($I15-1)*6,COLUMN(EleData!CV$1),,,"EleData")),"")</f>
        <v/>
      </c>
      <c r="S15" s="206" t="str">
        <f ca="1">IF(ISNUMBER($I15),INDIRECT(ADDRESS(3+($I15-1)*6,COLUMN(EleData!CW$1),,,"EleData")),"")</f>
        <v/>
      </c>
      <c r="T15" s="217" t="str">
        <f ca="1">IF(ISNUMBER($I15),INDIRECT(ADDRESS(3+($I15-1)*6,COLUMN(EleData!CX$1),,,"EleData")),"")</f>
        <v/>
      </c>
    </row>
    <row r="16" spans="1:52" x14ac:dyDescent="0.2">
      <c r="A16" s="12"/>
      <c r="B16" s="12"/>
      <c r="C16" s="12"/>
      <c r="D16" s="12"/>
      <c r="E16" s="12"/>
      <c r="F16" s="12"/>
      <c r="G16" s="12"/>
      <c r="H16" s="12"/>
      <c r="I16" s="220" t="str">
        <f t="shared" ca="1" si="0"/>
        <v/>
      </c>
      <c r="J16" s="216" t="str">
        <f ca="1">IF(ISNUMBER($I16),INDIRECT(ADDRESS(3+($I16-1)*6,COLUMN(EleData!CN$1),,,"EleData")),"")</f>
        <v/>
      </c>
      <c r="K16" s="206" t="str">
        <f ca="1">IF(ISNUMBER($I16),INDIRECT(ADDRESS(3+($I16-1)*6,COLUMN(EleData!CO$1),,,"EleData")),"")</f>
        <v/>
      </c>
      <c r="L16" s="206" t="str">
        <f ca="1">IF(ISNUMBER($I16),INDIRECT(ADDRESS(3+($I16-1)*6,COLUMN(EleData!CP$1),,,"EleData")),"")</f>
        <v/>
      </c>
      <c r="M16" s="206" t="str">
        <f ca="1">IF(ISNUMBER($I16),INDIRECT(ADDRESS(3+($I16-1)*6,COLUMN(EleData!CQ$1),,,"EleData")),"")</f>
        <v/>
      </c>
      <c r="N16" s="206" t="str">
        <f ca="1">IF(ISNUMBER($I16),INDIRECT(ADDRESS(3+($I16-1)*6,COLUMN(EleData!CR$1),,,"EleData")),"")</f>
        <v/>
      </c>
      <c r="O16" s="206" t="str">
        <f ca="1">IF(ISNUMBER($I16),INDIRECT(ADDRESS(3+($I16-1)*6,COLUMN(EleData!CS$1),,,"EleData")),"")</f>
        <v/>
      </c>
      <c r="P16" s="206" t="str">
        <f ca="1">IF(ISNUMBER($I16),INDIRECT(ADDRESS(3+($I16-1)*6,COLUMN(EleData!CT$1),,,"EleData")),"")</f>
        <v/>
      </c>
      <c r="Q16" s="206" t="str">
        <f ca="1">IF(ISNUMBER($I16),INDIRECT(ADDRESS(3+($I16-1)*6,COLUMN(EleData!CU$1),,,"EleData")),"")</f>
        <v/>
      </c>
      <c r="R16" s="206" t="str">
        <f ca="1">IF(ISNUMBER($I16),INDIRECT(ADDRESS(3+($I16-1)*6,COLUMN(EleData!CV$1),,,"EleData")),"")</f>
        <v/>
      </c>
      <c r="S16" s="206" t="str">
        <f ca="1">IF(ISNUMBER($I16),INDIRECT(ADDRESS(3+($I16-1)*6,COLUMN(EleData!CW$1),,,"EleData")),"")</f>
        <v/>
      </c>
      <c r="T16" s="217" t="str">
        <f ca="1">IF(ISNUMBER($I16),INDIRECT(ADDRESS(3+($I16-1)*6,COLUMN(EleData!CX$1),,,"EleData")),"")</f>
        <v/>
      </c>
    </row>
    <row r="17" spans="1:24" x14ac:dyDescent="0.2">
      <c r="A17" s="12"/>
      <c r="B17" s="12"/>
      <c r="C17" s="12"/>
      <c r="D17" s="12"/>
      <c r="E17" s="12"/>
      <c r="F17" s="12"/>
      <c r="G17" s="12"/>
      <c r="H17" s="12"/>
      <c r="I17" s="220" t="str">
        <f t="shared" ca="1" si="0"/>
        <v/>
      </c>
      <c r="J17" s="216" t="str">
        <f ca="1">IF(ISNUMBER($I17),INDIRECT(ADDRESS(3+($I17-1)*6,COLUMN(EleData!CN$1),,,"EleData")),"")</f>
        <v/>
      </c>
      <c r="K17" s="206" t="str">
        <f ca="1">IF(ISNUMBER($I17),INDIRECT(ADDRESS(3+($I17-1)*6,COLUMN(EleData!CO$1),,,"EleData")),"")</f>
        <v/>
      </c>
      <c r="L17" s="206" t="str">
        <f ca="1">IF(ISNUMBER($I17),INDIRECT(ADDRESS(3+($I17-1)*6,COLUMN(EleData!CP$1),,,"EleData")),"")</f>
        <v/>
      </c>
      <c r="M17" s="206" t="str">
        <f ca="1">IF(ISNUMBER($I17),INDIRECT(ADDRESS(3+($I17-1)*6,COLUMN(EleData!CQ$1),,,"EleData")),"")</f>
        <v/>
      </c>
      <c r="N17" s="206" t="str">
        <f ca="1">IF(ISNUMBER($I17),INDIRECT(ADDRESS(3+($I17-1)*6,COLUMN(EleData!CR$1),,,"EleData")),"")</f>
        <v/>
      </c>
      <c r="O17" s="206" t="str">
        <f ca="1">IF(ISNUMBER($I17),INDIRECT(ADDRESS(3+($I17-1)*6,COLUMN(EleData!CS$1),,,"EleData")),"")</f>
        <v/>
      </c>
      <c r="P17" s="206" t="str">
        <f ca="1">IF(ISNUMBER($I17),INDIRECT(ADDRESS(3+($I17-1)*6,COLUMN(EleData!CT$1),,,"EleData")),"")</f>
        <v/>
      </c>
      <c r="Q17" s="206" t="str">
        <f ca="1">IF(ISNUMBER($I17),INDIRECT(ADDRESS(3+($I17-1)*6,COLUMN(EleData!CU$1),,,"EleData")),"")</f>
        <v/>
      </c>
      <c r="R17" s="206" t="str">
        <f ca="1">IF(ISNUMBER($I17),INDIRECT(ADDRESS(3+($I17-1)*6,COLUMN(EleData!CV$1),,,"EleData")),"")</f>
        <v/>
      </c>
      <c r="S17" s="206" t="str">
        <f ca="1">IF(ISNUMBER($I17),INDIRECT(ADDRESS(3+($I17-1)*6,COLUMN(EleData!CW$1),,,"EleData")),"")</f>
        <v/>
      </c>
      <c r="T17" s="217" t="str">
        <f ca="1">IF(ISNUMBER($I17),INDIRECT(ADDRESS(3+($I17-1)*6,COLUMN(EleData!CX$1),,,"EleData")),"")</f>
        <v/>
      </c>
    </row>
    <row r="18" spans="1:24" x14ac:dyDescent="0.2">
      <c r="A18" s="12"/>
      <c r="B18" s="12"/>
      <c r="C18" s="12"/>
      <c r="D18" s="12"/>
      <c r="E18" s="12"/>
      <c r="F18" s="12"/>
      <c r="G18" s="12"/>
      <c r="H18" s="12"/>
      <c r="I18" s="220" t="str">
        <f t="shared" ca="1" si="0"/>
        <v/>
      </c>
      <c r="J18" s="216" t="str">
        <f ca="1">IF(ISNUMBER($I18),INDIRECT(ADDRESS(3+($I18-1)*6,COLUMN(EleData!CN$1),,,"EleData")),"")</f>
        <v/>
      </c>
      <c r="K18" s="206" t="str">
        <f ca="1">IF(ISNUMBER($I18),INDIRECT(ADDRESS(3+($I18-1)*6,COLUMN(EleData!CO$1),,,"EleData")),"")</f>
        <v/>
      </c>
      <c r="L18" s="206" t="str">
        <f ca="1">IF(ISNUMBER($I18),INDIRECT(ADDRESS(3+($I18-1)*6,COLUMN(EleData!CP$1),,,"EleData")),"")</f>
        <v/>
      </c>
      <c r="M18" s="206" t="str">
        <f ca="1">IF(ISNUMBER($I18),INDIRECT(ADDRESS(3+($I18-1)*6,COLUMN(EleData!CQ$1),,,"EleData")),"")</f>
        <v/>
      </c>
      <c r="N18" s="206" t="str">
        <f ca="1">IF(ISNUMBER($I18),INDIRECT(ADDRESS(3+($I18-1)*6,COLUMN(EleData!CR$1),,,"EleData")),"")</f>
        <v/>
      </c>
      <c r="O18" s="206" t="str">
        <f ca="1">IF(ISNUMBER($I18),INDIRECT(ADDRESS(3+($I18-1)*6,COLUMN(EleData!CS$1),,,"EleData")),"")</f>
        <v/>
      </c>
      <c r="P18" s="206" t="str">
        <f ca="1">IF(ISNUMBER($I18),INDIRECT(ADDRESS(3+($I18-1)*6,COLUMN(EleData!CT$1),,,"EleData")),"")</f>
        <v/>
      </c>
      <c r="Q18" s="206" t="str">
        <f ca="1">IF(ISNUMBER($I18),INDIRECT(ADDRESS(3+($I18-1)*6,COLUMN(EleData!CU$1),,,"EleData")),"")</f>
        <v/>
      </c>
      <c r="R18" s="206" t="str">
        <f ca="1">IF(ISNUMBER($I18),INDIRECT(ADDRESS(3+($I18-1)*6,COLUMN(EleData!CV$1),,,"EleData")),"")</f>
        <v/>
      </c>
      <c r="S18" s="206" t="str">
        <f ca="1">IF(ISNUMBER($I18),INDIRECT(ADDRESS(3+($I18-1)*6,COLUMN(EleData!CW$1),,,"EleData")),"")</f>
        <v/>
      </c>
      <c r="T18" s="217" t="str">
        <f ca="1">IF(ISNUMBER($I18),INDIRECT(ADDRESS(3+($I18-1)*6,COLUMN(EleData!CX$1),,,"EleData")),"")</f>
        <v/>
      </c>
    </row>
    <row r="19" spans="1:24" x14ac:dyDescent="0.2">
      <c r="A19" s="12"/>
      <c r="B19" s="12"/>
      <c r="C19" s="12"/>
      <c r="D19" s="12"/>
      <c r="E19" s="12"/>
      <c r="F19" s="12"/>
      <c r="G19" s="12"/>
      <c r="H19" s="12"/>
      <c r="I19" s="220" t="str">
        <f t="shared" ca="1" si="0"/>
        <v/>
      </c>
      <c r="J19" s="216" t="str">
        <f ca="1">IF(ISNUMBER($I19),INDIRECT(ADDRESS(3+($I19-1)*6,COLUMN(EleData!CN$1),,,"EleData")),"")</f>
        <v/>
      </c>
      <c r="K19" s="206" t="str">
        <f ca="1">IF(ISNUMBER($I19),INDIRECT(ADDRESS(3+($I19-1)*6,COLUMN(EleData!CO$1),,,"EleData")),"")</f>
        <v/>
      </c>
      <c r="L19" s="206" t="str">
        <f ca="1">IF(ISNUMBER($I19),INDIRECT(ADDRESS(3+($I19-1)*6,COLUMN(EleData!CP$1),,,"EleData")),"")</f>
        <v/>
      </c>
      <c r="M19" s="206" t="str">
        <f ca="1">IF(ISNUMBER($I19),INDIRECT(ADDRESS(3+($I19-1)*6,COLUMN(EleData!CQ$1),,,"EleData")),"")</f>
        <v/>
      </c>
      <c r="N19" s="206" t="str">
        <f ca="1">IF(ISNUMBER($I19),INDIRECT(ADDRESS(3+($I19-1)*6,COLUMN(EleData!CR$1),,,"EleData")),"")</f>
        <v/>
      </c>
      <c r="O19" s="206" t="str">
        <f ca="1">IF(ISNUMBER($I19),INDIRECT(ADDRESS(3+($I19-1)*6,COLUMN(EleData!CS$1),,,"EleData")),"")</f>
        <v/>
      </c>
      <c r="P19" s="206" t="str">
        <f ca="1">IF(ISNUMBER($I19),INDIRECT(ADDRESS(3+($I19-1)*6,COLUMN(EleData!CT$1),,,"EleData")),"")</f>
        <v/>
      </c>
      <c r="Q19" s="206" t="str">
        <f ca="1">IF(ISNUMBER($I19),INDIRECT(ADDRESS(3+($I19-1)*6,COLUMN(EleData!CU$1),,,"EleData")),"")</f>
        <v/>
      </c>
      <c r="R19" s="206" t="str">
        <f ca="1">IF(ISNUMBER($I19),INDIRECT(ADDRESS(3+($I19-1)*6,COLUMN(EleData!CV$1),,,"EleData")),"")</f>
        <v/>
      </c>
      <c r="S19" s="206" t="str">
        <f ca="1">IF(ISNUMBER($I19),INDIRECT(ADDRESS(3+($I19-1)*6,COLUMN(EleData!CW$1),,,"EleData")),"")</f>
        <v/>
      </c>
      <c r="T19" s="217" t="str">
        <f ca="1">IF(ISNUMBER($I19),INDIRECT(ADDRESS(3+($I19-1)*6,COLUMN(EleData!CX$1),,,"EleData")),"")</f>
        <v/>
      </c>
    </row>
    <row r="20" spans="1:24" x14ac:dyDescent="0.2">
      <c r="A20" s="12"/>
      <c r="B20" s="12"/>
      <c r="C20" s="12"/>
      <c r="D20" s="12"/>
      <c r="E20" s="12"/>
      <c r="F20" s="12"/>
      <c r="G20" s="12"/>
      <c r="H20" s="12"/>
      <c r="I20" s="220" t="str">
        <f t="shared" ca="1" si="0"/>
        <v/>
      </c>
      <c r="J20" s="216" t="str">
        <f ca="1">IF(ISNUMBER($I20),INDIRECT(ADDRESS(3+($I20-1)*6,COLUMN(EleData!CN$1),,,"EleData")),"")</f>
        <v/>
      </c>
      <c r="K20" s="206" t="str">
        <f ca="1">IF(ISNUMBER($I20),INDIRECT(ADDRESS(3+($I20-1)*6,COLUMN(EleData!CO$1),,,"EleData")),"")</f>
        <v/>
      </c>
      <c r="L20" s="206" t="str">
        <f ca="1">IF(ISNUMBER($I20),INDIRECT(ADDRESS(3+($I20-1)*6,COLUMN(EleData!CP$1),,,"EleData")),"")</f>
        <v/>
      </c>
      <c r="M20" s="206" t="str">
        <f ca="1">IF(ISNUMBER($I20),INDIRECT(ADDRESS(3+($I20-1)*6,COLUMN(EleData!CQ$1),,,"EleData")),"")</f>
        <v/>
      </c>
      <c r="N20" s="206" t="str">
        <f ca="1">IF(ISNUMBER($I20),INDIRECT(ADDRESS(3+($I20-1)*6,COLUMN(EleData!CR$1),,,"EleData")),"")</f>
        <v/>
      </c>
      <c r="O20" s="206" t="str">
        <f ca="1">IF(ISNUMBER($I20),INDIRECT(ADDRESS(3+($I20-1)*6,COLUMN(EleData!CS$1),,,"EleData")),"")</f>
        <v/>
      </c>
      <c r="P20" s="206" t="str">
        <f ca="1">IF(ISNUMBER($I20),INDIRECT(ADDRESS(3+($I20-1)*6,COLUMN(EleData!CT$1),,,"EleData")),"")</f>
        <v/>
      </c>
      <c r="Q20" s="206" t="str">
        <f ca="1">IF(ISNUMBER($I20),INDIRECT(ADDRESS(3+($I20-1)*6,COLUMN(EleData!CU$1),,,"EleData")),"")</f>
        <v/>
      </c>
      <c r="R20" s="206" t="str">
        <f ca="1">IF(ISNUMBER($I20),INDIRECT(ADDRESS(3+($I20-1)*6,COLUMN(EleData!CV$1),,,"EleData")),"")</f>
        <v/>
      </c>
      <c r="S20" s="206" t="str">
        <f ca="1">IF(ISNUMBER($I20),INDIRECT(ADDRESS(3+($I20-1)*6,COLUMN(EleData!CW$1),,,"EleData")),"")</f>
        <v/>
      </c>
      <c r="T20" s="217" t="str">
        <f ca="1">IF(ISNUMBER($I20),INDIRECT(ADDRESS(3+($I20-1)*6,COLUMN(EleData!CX$1),,,"EleData")),"")</f>
        <v/>
      </c>
    </row>
    <row r="21" spans="1:24" x14ac:dyDescent="0.2">
      <c r="A21" s="12"/>
      <c r="B21" s="12"/>
      <c r="C21" s="12"/>
      <c r="D21" s="12"/>
      <c r="E21" s="12"/>
      <c r="F21" s="12"/>
      <c r="G21" s="12"/>
      <c r="H21" s="12"/>
      <c r="I21" s="220" t="str">
        <f t="shared" ca="1" si="0"/>
        <v/>
      </c>
      <c r="J21" s="216" t="str">
        <f ca="1">IF(ISNUMBER($I21),INDIRECT(ADDRESS(3+($I21-1)*6,COLUMN(EleData!CN$1),,,"EleData")),"")</f>
        <v/>
      </c>
      <c r="K21" s="206" t="str">
        <f ca="1">IF(ISNUMBER($I21),INDIRECT(ADDRESS(3+($I21-1)*6,COLUMN(EleData!CO$1),,,"EleData")),"")</f>
        <v/>
      </c>
      <c r="L21" s="206" t="str">
        <f ca="1">IF(ISNUMBER($I21),INDIRECT(ADDRESS(3+($I21-1)*6,COLUMN(EleData!CP$1),,,"EleData")),"")</f>
        <v/>
      </c>
      <c r="M21" s="206" t="str">
        <f ca="1">IF(ISNUMBER($I21),INDIRECT(ADDRESS(3+($I21-1)*6,COLUMN(EleData!CQ$1),,,"EleData")),"")</f>
        <v/>
      </c>
      <c r="N21" s="206" t="str">
        <f ca="1">IF(ISNUMBER($I21),INDIRECT(ADDRESS(3+($I21-1)*6,COLUMN(EleData!CR$1),,,"EleData")),"")</f>
        <v/>
      </c>
      <c r="O21" s="206" t="str">
        <f ca="1">IF(ISNUMBER($I21),INDIRECT(ADDRESS(3+($I21-1)*6,COLUMN(EleData!CS$1),,,"EleData")),"")</f>
        <v/>
      </c>
      <c r="P21" s="206" t="str">
        <f ca="1">IF(ISNUMBER($I21),INDIRECT(ADDRESS(3+($I21-1)*6,COLUMN(EleData!CT$1),,,"EleData")),"")</f>
        <v/>
      </c>
      <c r="Q21" s="206" t="str">
        <f ca="1">IF(ISNUMBER($I21),INDIRECT(ADDRESS(3+($I21-1)*6,COLUMN(EleData!CU$1),,,"EleData")),"")</f>
        <v/>
      </c>
      <c r="R21" s="206" t="str">
        <f ca="1">IF(ISNUMBER($I21),INDIRECT(ADDRESS(3+($I21-1)*6,COLUMN(EleData!CV$1),,,"EleData")),"")</f>
        <v/>
      </c>
      <c r="S21" s="206" t="str">
        <f ca="1">IF(ISNUMBER($I21),INDIRECT(ADDRESS(3+($I21-1)*6,COLUMN(EleData!CW$1),,,"EleData")),"")</f>
        <v/>
      </c>
      <c r="T21" s="217" t="str">
        <f ca="1">IF(ISNUMBER($I21),INDIRECT(ADDRESS(3+($I21-1)*6,COLUMN(EleData!CX$1),,,"EleData")),"")</f>
        <v/>
      </c>
    </row>
    <row r="22" spans="1:24" x14ac:dyDescent="0.2">
      <c r="A22" s="12"/>
      <c r="B22" s="12"/>
      <c r="C22" s="12"/>
      <c r="D22" s="12"/>
      <c r="E22" s="12"/>
      <c r="F22" s="12"/>
      <c r="G22" s="12"/>
      <c r="H22" s="92"/>
      <c r="I22" s="220" t="str">
        <f t="shared" ca="1" si="0"/>
        <v/>
      </c>
      <c r="J22" s="216" t="str">
        <f ca="1">IF(ISNUMBER($I22),INDIRECT(ADDRESS(3+($I22-1)*6,COLUMN(EleData!CN$1),,,"EleData")),"")</f>
        <v/>
      </c>
      <c r="K22" s="206" t="str">
        <f ca="1">IF(ISNUMBER($I22),INDIRECT(ADDRESS(3+($I22-1)*6,COLUMN(EleData!CO$1),,,"EleData")),"")</f>
        <v/>
      </c>
      <c r="L22" s="206" t="str">
        <f ca="1">IF(ISNUMBER($I22),INDIRECT(ADDRESS(3+($I22-1)*6,COLUMN(EleData!CP$1),,,"EleData")),"")</f>
        <v/>
      </c>
      <c r="M22" s="206" t="str">
        <f ca="1">IF(ISNUMBER($I22),INDIRECT(ADDRESS(3+($I22-1)*6,COLUMN(EleData!CQ$1),,,"EleData")),"")</f>
        <v/>
      </c>
      <c r="N22" s="206" t="str">
        <f ca="1">IF(ISNUMBER($I22),INDIRECT(ADDRESS(3+($I22-1)*6,COLUMN(EleData!CR$1),,,"EleData")),"")</f>
        <v/>
      </c>
      <c r="O22" s="206" t="str">
        <f ca="1">IF(ISNUMBER($I22),INDIRECT(ADDRESS(3+($I22-1)*6,COLUMN(EleData!CS$1),,,"EleData")),"")</f>
        <v/>
      </c>
      <c r="P22" s="206" t="str">
        <f ca="1">IF(ISNUMBER($I22),INDIRECT(ADDRESS(3+($I22-1)*6,COLUMN(EleData!CT$1),,,"EleData")),"")</f>
        <v/>
      </c>
      <c r="Q22" s="206" t="str">
        <f ca="1">IF(ISNUMBER($I22),INDIRECT(ADDRESS(3+($I22-1)*6,COLUMN(EleData!CU$1),,,"EleData")),"")</f>
        <v/>
      </c>
      <c r="R22" s="206" t="str">
        <f ca="1">IF(ISNUMBER($I22),INDIRECT(ADDRESS(3+($I22-1)*6,COLUMN(EleData!CV$1),,,"EleData")),"")</f>
        <v/>
      </c>
      <c r="S22" s="206" t="str">
        <f ca="1">IF(ISNUMBER($I22),INDIRECT(ADDRESS(3+($I22-1)*6,COLUMN(EleData!CW$1),,,"EleData")),"")</f>
        <v/>
      </c>
      <c r="T22" s="217" t="str">
        <f ca="1">IF(ISNUMBER($I22),INDIRECT(ADDRESS(3+($I22-1)*6,COLUMN(EleData!CX$1),,,"EleData")),"")</f>
        <v/>
      </c>
      <c r="X22" s="12"/>
    </row>
    <row r="23" spans="1:24" x14ac:dyDescent="0.2">
      <c r="A23" s="12"/>
      <c r="B23" s="12"/>
      <c r="C23" s="12"/>
      <c r="D23" s="12"/>
      <c r="E23" s="12"/>
      <c r="F23" s="12"/>
      <c r="G23" s="12"/>
      <c r="H23" s="12"/>
      <c r="I23" s="220" t="str">
        <f t="shared" ca="1" si="0"/>
        <v/>
      </c>
      <c r="J23" s="216" t="str">
        <f ca="1">IF(ISNUMBER($I23),INDIRECT(ADDRESS(3+($I23-1)*6,COLUMN(EleData!CN$1),,,"EleData")),"")</f>
        <v/>
      </c>
      <c r="K23" s="206" t="str">
        <f ca="1">IF(ISNUMBER($I23),INDIRECT(ADDRESS(3+($I23-1)*6,COLUMN(EleData!CO$1),,,"EleData")),"")</f>
        <v/>
      </c>
      <c r="L23" s="206" t="str">
        <f ca="1">IF(ISNUMBER($I23),INDIRECT(ADDRESS(3+($I23-1)*6,COLUMN(EleData!CP$1),,,"EleData")),"")</f>
        <v/>
      </c>
      <c r="M23" s="206" t="str">
        <f ca="1">IF(ISNUMBER($I23),INDIRECT(ADDRESS(3+($I23-1)*6,COLUMN(EleData!CQ$1),,,"EleData")),"")</f>
        <v/>
      </c>
      <c r="N23" s="206" t="str">
        <f ca="1">IF(ISNUMBER($I23),INDIRECT(ADDRESS(3+($I23-1)*6,COLUMN(EleData!CR$1),,,"EleData")),"")</f>
        <v/>
      </c>
      <c r="O23" s="206" t="str">
        <f ca="1">IF(ISNUMBER($I23),INDIRECT(ADDRESS(3+($I23-1)*6,COLUMN(EleData!CS$1),,,"EleData")),"")</f>
        <v/>
      </c>
      <c r="P23" s="206" t="str">
        <f ca="1">IF(ISNUMBER($I23),INDIRECT(ADDRESS(3+($I23-1)*6,COLUMN(EleData!CT$1),,,"EleData")),"")</f>
        <v/>
      </c>
      <c r="Q23" s="206" t="str">
        <f ca="1">IF(ISNUMBER($I23),INDIRECT(ADDRESS(3+($I23-1)*6,COLUMN(EleData!CU$1),,,"EleData")),"")</f>
        <v/>
      </c>
      <c r="R23" s="206" t="str">
        <f ca="1">IF(ISNUMBER($I23),INDIRECT(ADDRESS(3+($I23-1)*6,COLUMN(EleData!CV$1),,,"EleData")),"")</f>
        <v/>
      </c>
      <c r="S23" s="206" t="str">
        <f ca="1">IF(ISNUMBER($I23),INDIRECT(ADDRESS(3+($I23-1)*6,COLUMN(EleData!CW$1),,,"EleData")),"")</f>
        <v/>
      </c>
      <c r="T23" s="217" t="str">
        <f ca="1">IF(ISNUMBER($I23),INDIRECT(ADDRESS(3+($I23-1)*6,COLUMN(EleData!CX$1),,,"EleData")),"")</f>
        <v/>
      </c>
      <c r="X23" s="12"/>
    </row>
    <row r="24" spans="1:24" ht="13.5" thickBot="1" x14ac:dyDescent="0.25">
      <c r="A24" s="12"/>
      <c r="B24" s="12"/>
      <c r="C24" s="12"/>
      <c r="D24" s="12"/>
      <c r="E24" s="12"/>
      <c r="F24" s="12"/>
      <c r="G24" s="12"/>
      <c r="H24" s="12"/>
      <c r="I24" s="221" t="str">
        <f t="shared" ca="1" si="0"/>
        <v/>
      </c>
      <c r="J24" s="218" t="str">
        <f ca="1">IF(ISNUMBER($I24),INDIRECT(ADDRESS(3+($I24-1)*6,COLUMN(EleData!CN$1),,,"EleData")),"")</f>
        <v/>
      </c>
      <c r="K24" s="295" t="str">
        <f ca="1">IF(ISNUMBER($I24),INDIRECT(ADDRESS(3+($I24-1)*6,COLUMN(EleData!CO$1),,,"EleData")),"")</f>
        <v/>
      </c>
      <c r="L24" s="295" t="str">
        <f ca="1">IF(ISNUMBER($I24),INDIRECT(ADDRESS(3+($I24-1)*6,COLUMN(EleData!CP$1),,,"EleData")),"")</f>
        <v/>
      </c>
      <c r="M24" s="295" t="str">
        <f ca="1">IF(ISNUMBER($I24),INDIRECT(ADDRESS(3+($I24-1)*6,COLUMN(EleData!CQ$1),,,"EleData")),"")</f>
        <v/>
      </c>
      <c r="N24" s="295" t="str">
        <f ca="1">IF(ISNUMBER($I24),INDIRECT(ADDRESS(3+($I24-1)*6,COLUMN(EleData!CR$1),,,"EleData")),"")</f>
        <v/>
      </c>
      <c r="O24" s="295" t="str">
        <f ca="1">IF(ISNUMBER($I24),INDIRECT(ADDRESS(3+($I24-1)*6,COLUMN(EleData!CS$1),,,"EleData")),"")</f>
        <v/>
      </c>
      <c r="P24" s="295" t="str">
        <f ca="1">IF(ISNUMBER($I24),INDIRECT(ADDRESS(3+($I24-1)*6,COLUMN(EleData!CT$1),,,"EleData")),"")</f>
        <v/>
      </c>
      <c r="Q24" s="295" t="str">
        <f ca="1">IF(ISNUMBER($I24),INDIRECT(ADDRESS(3+($I24-1)*6,COLUMN(EleData!CU$1),,,"EleData")),"")</f>
        <v/>
      </c>
      <c r="R24" s="295" t="str">
        <f ca="1">IF(ISNUMBER($I24),INDIRECT(ADDRESS(3+($I24-1)*6,COLUMN(EleData!CV$1),,,"EleData")),"")</f>
        <v/>
      </c>
      <c r="S24" s="295" t="str">
        <f ca="1">IF(ISNUMBER($I24),INDIRECT(ADDRESS(3+($I24-1)*6,COLUMN(EleData!CW$1),,,"EleData")),"")</f>
        <v/>
      </c>
      <c r="T24" s="219" t="str">
        <f ca="1">IF(ISNUMBER($I24),INDIRECT(ADDRESS(3+($I24-1)*6,COLUMN(EleData!CX$1),,,"EleData")),"")</f>
        <v/>
      </c>
      <c r="X24" s="12"/>
    </row>
    <row r="25" spans="1:24" x14ac:dyDescent="0.2">
      <c r="A25" s="12"/>
      <c r="B25" s="12"/>
      <c r="C25" s="12"/>
      <c r="D25" s="12"/>
      <c r="E25" s="12"/>
      <c r="F25" s="12"/>
      <c r="G25" s="12"/>
      <c r="H25" s="12"/>
      <c r="I25" s="12"/>
      <c r="J25" s="12"/>
      <c r="K25" s="12"/>
      <c r="L25" s="12"/>
      <c r="M25" s="12"/>
      <c r="N25" s="12"/>
      <c r="X25" s="12"/>
    </row>
    <row r="26" spans="1:24" x14ac:dyDescent="0.2">
      <c r="M26" s="12"/>
      <c r="X26" s="12"/>
    </row>
    <row r="27" spans="1:24" x14ac:dyDescent="0.2">
      <c r="X27" s="12"/>
    </row>
    <row r="28" spans="1:24" x14ac:dyDescent="0.2">
      <c r="J28" s="92"/>
      <c r="K28" s="92"/>
      <c r="L28" s="92"/>
      <c r="M28" s="92"/>
      <c r="N28" s="92"/>
      <c r="O28" s="92"/>
      <c r="P28" s="92"/>
      <c r="Q28" s="92"/>
      <c r="R28" s="92"/>
      <c r="S28" s="92"/>
      <c r="T28" s="92"/>
      <c r="U28" s="92"/>
      <c r="X28" s="12"/>
    </row>
    <row r="29" spans="1:24" x14ac:dyDescent="0.2">
      <c r="J29" s="92"/>
      <c r="K29" s="92"/>
      <c r="L29" s="92"/>
      <c r="M29" s="92"/>
      <c r="N29" s="92"/>
      <c r="O29" s="92"/>
      <c r="P29" s="92"/>
      <c r="Q29" s="92"/>
      <c r="R29" s="92"/>
      <c r="S29" s="92"/>
      <c r="T29" s="92"/>
      <c r="U29" s="92"/>
      <c r="X29" s="12"/>
    </row>
    <row r="30" spans="1:24" x14ac:dyDescent="0.2">
      <c r="J30" s="92"/>
      <c r="K30" s="92"/>
      <c r="L30" s="92"/>
      <c r="M30" s="92"/>
      <c r="N30" s="92"/>
      <c r="O30" s="92"/>
      <c r="P30" s="92"/>
      <c r="Q30" s="92"/>
      <c r="R30" s="92"/>
      <c r="S30" s="92"/>
      <c r="T30" s="92"/>
      <c r="U30" s="92"/>
      <c r="X30" s="12"/>
    </row>
    <row r="31" spans="1:24" x14ac:dyDescent="0.2">
      <c r="J31" s="92"/>
      <c r="K31" s="201"/>
      <c r="L31" s="92"/>
      <c r="M31" s="92"/>
      <c r="N31" s="92"/>
      <c r="O31" s="92"/>
      <c r="P31" s="92"/>
      <c r="Q31" s="92"/>
      <c r="R31" s="92"/>
      <c r="S31" s="92"/>
      <c r="T31" s="92"/>
      <c r="U31" s="92"/>
    </row>
    <row r="32" spans="1:24" x14ac:dyDescent="0.2">
      <c r="K32" s="314"/>
      <c r="L32" s="12"/>
      <c r="M32" s="12"/>
      <c r="N32" s="12"/>
      <c r="O32" s="12"/>
      <c r="P32" s="12"/>
    </row>
    <row r="33" spans="2:16" x14ac:dyDescent="0.2">
      <c r="K33" s="12"/>
      <c r="L33" s="12"/>
      <c r="M33" s="12"/>
      <c r="N33" s="12"/>
      <c r="O33" s="12"/>
      <c r="P33" s="12"/>
    </row>
    <row r="34" spans="2:16" x14ac:dyDescent="0.2">
      <c r="K34" s="12"/>
      <c r="L34" s="12"/>
      <c r="M34" s="12"/>
      <c r="N34" s="12"/>
      <c r="O34" s="12"/>
      <c r="P34" s="12"/>
    </row>
    <row r="35" spans="2:16" x14ac:dyDescent="0.2">
      <c r="K35" s="12"/>
      <c r="L35" s="12"/>
      <c r="M35" s="12"/>
      <c r="N35" s="12"/>
      <c r="O35" s="12"/>
      <c r="P35" s="12"/>
    </row>
    <row r="36" spans="2:16" x14ac:dyDescent="0.2">
      <c r="B36" s="12"/>
      <c r="C36" s="12"/>
      <c r="K36" s="12"/>
      <c r="L36" s="12"/>
      <c r="M36" s="12"/>
      <c r="N36" s="12"/>
      <c r="O36" s="12"/>
      <c r="P36" s="12"/>
    </row>
    <row r="37" spans="2:16" x14ac:dyDescent="0.2">
      <c r="K37" s="12"/>
      <c r="L37" s="12"/>
      <c r="M37" s="12"/>
      <c r="N37" s="12"/>
      <c r="O37" s="12"/>
      <c r="P37" s="12"/>
    </row>
    <row r="38" spans="2:16" x14ac:dyDescent="0.2">
      <c r="K38" s="12"/>
      <c r="L38" s="12"/>
      <c r="M38" s="12"/>
      <c r="N38" s="12"/>
      <c r="O38" s="12"/>
      <c r="P38" s="12"/>
    </row>
    <row r="39" spans="2:16" x14ac:dyDescent="0.2">
      <c r="K39" s="12"/>
      <c r="L39" s="12"/>
      <c r="M39" s="12"/>
      <c r="N39" s="12"/>
      <c r="O39" s="12"/>
      <c r="P39" s="12"/>
    </row>
    <row r="40" spans="2:16" x14ac:dyDescent="0.2">
      <c r="K40" s="12"/>
      <c r="L40" s="12"/>
      <c r="M40" s="12"/>
      <c r="N40" s="12"/>
      <c r="O40" s="12"/>
      <c r="P40" s="12"/>
    </row>
    <row r="41" spans="2:16" x14ac:dyDescent="0.2">
      <c r="K41" s="12"/>
      <c r="L41" s="12"/>
      <c r="M41" s="12"/>
      <c r="N41" s="12"/>
      <c r="O41" s="12"/>
      <c r="P41" s="12"/>
    </row>
    <row r="42" spans="2:16" x14ac:dyDescent="0.2">
      <c r="K42" s="12"/>
      <c r="L42" s="12"/>
      <c r="M42" s="12"/>
      <c r="N42" s="12"/>
      <c r="O42" s="12"/>
      <c r="P42" s="12"/>
    </row>
    <row r="43" spans="2:16" x14ac:dyDescent="0.2">
      <c r="K43" s="12"/>
      <c r="L43" s="12"/>
      <c r="M43" s="314"/>
      <c r="N43" s="12"/>
      <c r="O43" s="12"/>
      <c r="P43" s="12"/>
    </row>
    <row r="44" spans="2:16" x14ac:dyDescent="0.2">
      <c r="K44" s="12"/>
      <c r="L44" s="12"/>
      <c r="M44" s="12"/>
      <c r="N44" s="12"/>
      <c r="O44" s="12"/>
      <c r="P44" s="12"/>
    </row>
    <row r="73" spans="1:30" x14ac:dyDescent="0.2">
      <c r="A73">
        <v>1</v>
      </c>
      <c r="B73">
        <v>2</v>
      </c>
      <c r="C73">
        <v>3</v>
      </c>
      <c r="D73">
        <v>4</v>
      </c>
      <c r="E73">
        <v>5</v>
      </c>
      <c r="F73">
        <v>6</v>
      </c>
      <c r="G73">
        <v>7</v>
      </c>
      <c r="H73">
        <v>8</v>
      </c>
      <c r="I73">
        <v>9</v>
      </c>
      <c r="J73">
        <v>10</v>
      </c>
      <c r="K73">
        <v>11</v>
      </c>
      <c r="L73">
        <v>12</v>
      </c>
      <c r="M73">
        <v>13</v>
      </c>
      <c r="N73">
        <v>14</v>
      </c>
      <c r="O73">
        <v>15</v>
      </c>
      <c r="P73">
        <v>16</v>
      </c>
      <c r="Q73">
        <v>17</v>
      </c>
      <c r="R73">
        <v>18</v>
      </c>
      <c r="S73">
        <v>19</v>
      </c>
      <c r="T73">
        <v>20</v>
      </c>
      <c r="U73">
        <v>21</v>
      </c>
      <c r="V73">
        <v>22</v>
      </c>
      <c r="W73">
        <v>23</v>
      </c>
      <c r="X73">
        <v>24</v>
      </c>
      <c r="Y73">
        <v>25</v>
      </c>
      <c r="Z73">
        <v>26</v>
      </c>
      <c r="AA73">
        <v>27</v>
      </c>
      <c r="AB73">
        <v>28</v>
      </c>
      <c r="AC73">
        <v>29</v>
      </c>
      <c r="AD73">
        <v>30</v>
      </c>
    </row>
    <row r="79" spans="1:30" x14ac:dyDescent="0.2">
      <c r="A79">
        <f>IF(ISBLANK(System!B2),"",System!B2)</f>
        <v>1</v>
      </c>
      <c r="B79" t="str">
        <f t="shared" ref="B79:B84" si="1">IF(A2="","",B2)</f>
        <v/>
      </c>
      <c r="C79">
        <f t="array" ref="C79:AD79">IF(A2="",0,GlobBendMom(B2,System!C2:D2,System!K2:L2,System!M2:N2,System!E2:I2,#REF!))</f>
        <v>0</v>
      </c>
      <c r="D79">
        <v>0</v>
      </c>
      <c r="E79">
        <v>0</v>
      </c>
      <c r="F79">
        <v>0</v>
      </c>
      <c r="G79">
        <v>0</v>
      </c>
      <c r="H79">
        <v>0</v>
      </c>
      <c r="I79">
        <v>0</v>
      </c>
      <c r="J79">
        <v>0</v>
      </c>
      <c r="K79">
        <v>0</v>
      </c>
      <c r="L79">
        <v>0</v>
      </c>
      <c r="M79" s="12">
        <v>0</v>
      </c>
      <c r="N79">
        <v>0</v>
      </c>
      <c r="O79">
        <v>0</v>
      </c>
      <c r="P79" s="30">
        <v>0</v>
      </c>
      <c r="Q79">
        <v>0</v>
      </c>
      <c r="R79">
        <v>0</v>
      </c>
      <c r="S79">
        <v>0</v>
      </c>
      <c r="T79">
        <v>0</v>
      </c>
      <c r="U79">
        <v>0</v>
      </c>
      <c r="V79">
        <v>0</v>
      </c>
      <c r="W79">
        <v>0</v>
      </c>
      <c r="X79" s="12">
        <v>0</v>
      </c>
      <c r="Y79">
        <v>0</v>
      </c>
      <c r="Z79">
        <v>0</v>
      </c>
      <c r="AA79">
        <v>0</v>
      </c>
      <c r="AB79">
        <v>0</v>
      </c>
      <c r="AC79">
        <v>0</v>
      </c>
      <c r="AD79" s="30">
        <v>0</v>
      </c>
    </row>
    <row r="80" spans="1:30" x14ac:dyDescent="0.2">
      <c r="A80">
        <f>IF(ISBLANK(System!B3),"",System!B3)</f>
        <v>2</v>
      </c>
      <c r="B80" t="str">
        <f t="shared" si="1"/>
        <v/>
      </c>
      <c r="C80">
        <f t="array" ref="C80:AD80">IF(A3="",0,GlobBendMom(B3,System!C3:D3,System!K3:L3,System!M3:N3,System!E3:I3,#REF!))</f>
        <v>0</v>
      </c>
      <c r="D80">
        <v>0</v>
      </c>
      <c r="E80">
        <v>0</v>
      </c>
      <c r="F80">
        <v>0</v>
      </c>
      <c r="G80">
        <v>0</v>
      </c>
      <c r="H80">
        <v>0</v>
      </c>
      <c r="I80">
        <v>0</v>
      </c>
      <c r="J80">
        <v>0</v>
      </c>
      <c r="K80">
        <v>0</v>
      </c>
      <c r="L80">
        <v>0</v>
      </c>
      <c r="M80" s="12">
        <v>0</v>
      </c>
      <c r="N80">
        <v>0</v>
      </c>
      <c r="O80">
        <v>0</v>
      </c>
      <c r="P80" s="30">
        <v>0</v>
      </c>
      <c r="Q80">
        <v>0</v>
      </c>
      <c r="R80">
        <v>0</v>
      </c>
      <c r="S80">
        <v>0</v>
      </c>
      <c r="T80">
        <v>0</v>
      </c>
      <c r="U80">
        <v>0</v>
      </c>
      <c r="V80">
        <v>0</v>
      </c>
      <c r="W80">
        <v>0</v>
      </c>
      <c r="X80" s="12">
        <v>0</v>
      </c>
      <c r="Y80">
        <v>0</v>
      </c>
      <c r="Z80">
        <v>0</v>
      </c>
      <c r="AA80">
        <v>0</v>
      </c>
      <c r="AB80">
        <v>0</v>
      </c>
      <c r="AC80">
        <v>0</v>
      </c>
      <c r="AD80" s="30">
        <v>0</v>
      </c>
    </row>
    <row r="81" spans="1:30" x14ac:dyDescent="0.2">
      <c r="A81">
        <f>IF(ISBLANK(System!B4),"",System!B4)</f>
        <v>3</v>
      </c>
      <c r="B81" t="str">
        <f t="shared" si="1"/>
        <v/>
      </c>
      <c r="C81">
        <f t="array" ref="C81:AD81">IF(A4="",0,GlobBendMom(B4,System!C4:D4,System!K4:L4,System!M4:N4,System!E4:I4,#REF!))</f>
        <v>0</v>
      </c>
      <c r="D81">
        <v>0</v>
      </c>
      <c r="E81">
        <v>0</v>
      </c>
      <c r="F81">
        <v>0</v>
      </c>
      <c r="G81">
        <v>0</v>
      </c>
      <c r="H81">
        <v>0</v>
      </c>
      <c r="I81">
        <v>0</v>
      </c>
      <c r="J81">
        <v>0</v>
      </c>
      <c r="K81">
        <v>0</v>
      </c>
      <c r="L81">
        <v>0</v>
      </c>
      <c r="M81" s="12">
        <v>0</v>
      </c>
      <c r="N81">
        <v>0</v>
      </c>
      <c r="O81">
        <v>0</v>
      </c>
      <c r="P81" s="30">
        <v>0</v>
      </c>
      <c r="Q81">
        <v>0</v>
      </c>
      <c r="R81">
        <v>0</v>
      </c>
      <c r="S81">
        <v>0</v>
      </c>
      <c r="T81">
        <v>0</v>
      </c>
      <c r="U81">
        <v>0</v>
      </c>
      <c r="V81">
        <v>0</v>
      </c>
      <c r="W81">
        <v>0</v>
      </c>
      <c r="X81" s="12">
        <v>0</v>
      </c>
      <c r="Y81">
        <v>0</v>
      </c>
      <c r="Z81">
        <v>0</v>
      </c>
      <c r="AA81">
        <v>0</v>
      </c>
      <c r="AB81">
        <v>0</v>
      </c>
      <c r="AC81">
        <v>0</v>
      </c>
      <c r="AD81" s="30">
        <v>0</v>
      </c>
    </row>
    <row r="82" spans="1:30" x14ac:dyDescent="0.2">
      <c r="A82">
        <f>IF(ISBLANK(System!B5),"",System!B5)</f>
        <v>4</v>
      </c>
      <c r="B82" t="str">
        <f t="shared" si="1"/>
        <v/>
      </c>
      <c r="C82">
        <f t="array" ref="C82:AD82">IF(A5="",0,GlobBendMom(B5,System!C5:D5,System!K5:L5,System!M5:N5,System!E5:I5,#REF!))</f>
        <v>0</v>
      </c>
      <c r="D82">
        <v>0</v>
      </c>
      <c r="E82">
        <v>0</v>
      </c>
      <c r="F82">
        <v>0</v>
      </c>
      <c r="G82">
        <v>0</v>
      </c>
      <c r="H82">
        <v>0</v>
      </c>
      <c r="I82">
        <v>0</v>
      </c>
      <c r="J82">
        <v>0</v>
      </c>
      <c r="K82">
        <v>0</v>
      </c>
      <c r="L82">
        <v>0</v>
      </c>
      <c r="M82" s="12">
        <v>0</v>
      </c>
      <c r="N82">
        <v>0</v>
      </c>
      <c r="O82">
        <v>0</v>
      </c>
      <c r="P82" s="30">
        <v>0</v>
      </c>
      <c r="Q82">
        <v>0</v>
      </c>
      <c r="R82">
        <v>0</v>
      </c>
      <c r="S82">
        <v>0</v>
      </c>
      <c r="T82">
        <v>0</v>
      </c>
      <c r="U82">
        <v>0</v>
      </c>
      <c r="V82">
        <v>0</v>
      </c>
      <c r="W82">
        <v>0</v>
      </c>
      <c r="X82" s="12">
        <v>0</v>
      </c>
      <c r="Y82">
        <v>0</v>
      </c>
      <c r="Z82">
        <v>0</v>
      </c>
      <c r="AA82">
        <v>0</v>
      </c>
      <c r="AB82">
        <v>0</v>
      </c>
      <c r="AC82">
        <v>0</v>
      </c>
      <c r="AD82" s="30">
        <v>0</v>
      </c>
    </row>
    <row r="83" spans="1:30" x14ac:dyDescent="0.2">
      <c r="A83">
        <f>IF(ISBLANK(System!B6),"",System!B6)</f>
        <v>5</v>
      </c>
      <c r="B83" t="str">
        <f t="shared" si="1"/>
        <v/>
      </c>
      <c r="C83">
        <f t="array" ref="C83:AD83">IF(A6="",0,GlobBendMom(B6,System!C6:D6,System!K6:L6,System!M6:N6,System!E6:I6,#REF!))</f>
        <v>0</v>
      </c>
      <c r="D83">
        <v>0</v>
      </c>
      <c r="E83">
        <v>0</v>
      </c>
      <c r="F83">
        <v>0</v>
      </c>
      <c r="G83">
        <v>0</v>
      </c>
      <c r="H83">
        <v>0</v>
      </c>
      <c r="I83">
        <v>0</v>
      </c>
      <c r="J83">
        <v>0</v>
      </c>
      <c r="K83">
        <v>0</v>
      </c>
      <c r="L83">
        <v>0</v>
      </c>
      <c r="M83" s="12">
        <v>0</v>
      </c>
      <c r="N83">
        <v>0</v>
      </c>
      <c r="O83">
        <v>0</v>
      </c>
      <c r="P83" s="30">
        <v>0</v>
      </c>
      <c r="Q83">
        <v>0</v>
      </c>
      <c r="R83">
        <v>0</v>
      </c>
      <c r="S83">
        <v>0</v>
      </c>
      <c r="T83">
        <v>0</v>
      </c>
      <c r="U83">
        <v>0</v>
      </c>
      <c r="V83">
        <v>0</v>
      </c>
      <c r="W83">
        <v>0</v>
      </c>
      <c r="X83" s="12">
        <v>0</v>
      </c>
      <c r="Y83">
        <v>0</v>
      </c>
      <c r="Z83">
        <v>0</v>
      </c>
      <c r="AA83">
        <v>0</v>
      </c>
      <c r="AB83">
        <v>0</v>
      </c>
      <c r="AC83">
        <v>0</v>
      </c>
      <c r="AD83" s="30">
        <v>0</v>
      </c>
    </row>
    <row r="84" spans="1:30" x14ac:dyDescent="0.2">
      <c r="A84">
        <f>IF(ISBLANK(System!B7),"",System!B7)</f>
        <v>6</v>
      </c>
      <c r="B84" t="str">
        <f t="shared" si="1"/>
        <v/>
      </c>
      <c r="C84">
        <f t="array" ref="C84:AD84">IF(A7="",0,GlobBendMom(B7,System!C7:D7,System!K7:L7,System!M7:N7,System!E7:I7,#REF!))</f>
        <v>0</v>
      </c>
      <c r="D84">
        <v>0</v>
      </c>
      <c r="E84">
        <v>0</v>
      </c>
      <c r="F84">
        <v>0</v>
      </c>
      <c r="G84">
        <v>0</v>
      </c>
      <c r="H84">
        <v>0</v>
      </c>
      <c r="I84">
        <v>0</v>
      </c>
      <c r="J84">
        <v>0</v>
      </c>
      <c r="K84">
        <v>0</v>
      </c>
      <c r="L84">
        <v>0</v>
      </c>
      <c r="M84" s="12">
        <v>0</v>
      </c>
      <c r="N84">
        <v>0</v>
      </c>
      <c r="O84">
        <v>0</v>
      </c>
      <c r="P84" s="30">
        <v>0</v>
      </c>
      <c r="Q84">
        <v>0</v>
      </c>
      <c r="R84">
        <v>0</v>
      </c>
      <c r="S84">
        <v>0</v>
      </c>
      <c r="T84">
        <v>0</v>
      </c>
      <c r="U84">
        <v>0</v>
      </c>
      <c r="V84">
        <v>0</v>
      </c>
      <c r="W84">
        <v>0</v>
      </c>
      <c r="X84" s="12">
        <v>0</v>
      </c>
      <c r="Y84">
        <v>0</v>
      </c>
      <c r="Z84">
        <v>0</v>
      </c>
      <c r="AA84">
        <v>0</v>
      </c>
      <c r="AB84">
        <v>0</v>
      </c>
      <c r="AC84">
        <v>0</v>
      </c>
      <c r="AD84" s="30">
        <v>0</v>
      </c>
    </row>
    <row r="85" spans="1:30" x14ac:dyDescent="0.2">
      <c r="A85">
        <f>IF(ISBLANK(System!B8),"",System!B8)</f>
        <v>7</v>
      </c>
      <c r="B85" t="str">
        <f t="shared" ref="B85:B98" si="2">IF(A8="","",B8)</f>
        <v/>
      </c>
      <c r="C85">
        <f t="array" ref="C85:AD85">IF(A8="",0,GlobBendMom(B8,System!C8:D8,System!K8:L8,System!M8:N8,System!E8:I8,#REF!))</f>
        <v>0</v>
      </c>
      <c r="D85">
        <v>0</v>
      </c>
      <c r="E85">
        <v>0</v>
      </c>
      <c r="F85">
        <v>0</v>
      </c>
      <c r="G85">
        <v>0</v>
      </c>
      <c r="H85">
        <v>0</v>
      </c>
      <c r="I85">
        <v>0</v>
      </c>
      <c r="J85">
        <v>0</v>
      </c>
      <c r="K85">
        <v>0</v>
      </c>
      <c r="L85">
        <v>0</v>
      </c>
      <c r="M85" s="12">
        <v>0</v>
      </c>
      <c r="N85">
        <v>0</v>
      </c>
      <c r="O85">
        <v>0</v>
      </c>
      <c r="P85" s="30">
        <v>0</v>
      </c>
      <c r="Q85">
        <v>0</v>
      </c>
      <c r="R85">
        <v>0</v>
      </c>
      <c r="S85">
        <v>0</v>
      </c>
      <c r="T85">
        <v>0</v>
      </c>
      <c r="U85">
        <v>0</v>
      </c>
      <c r="V85">
        <v>0</v>
      </c>
      <c r="W85">
        <v>0</v>
      </c>
      <c r="X85" s="12">
        <v>0</v>
      </c>
      <c r="Y85">
        <v>0</v>
      </c>
      <c r="Z85">
        <v>0</v>
      </c>
      <c r="AA85">
        <v>0</v>
      </c>
      <c r="AB85">
        <v>0</v>
      </c>
      <c r="AC85">
        <v>0</v>
      </c>
      <c r="AD85" s="30">
        <v>0</v>
      </c>
    </row>
    <row r="86" spans="1:30" x14ac:dyDescent="0.2">
      <c r="A86">
        <f>IF(ISBLANK(System!B9),"",System!B9)</f>
        <v>8</v>
      </c>
      <c r="B86" t="str">
        <f t="shared" si="2"/>
        <v/>
      </c>
      <c r="C86">
        <f t="array" ref="C86:AD86">IF(A9="",0,GlobBendMom(B9,System!C9:D9,System!K9:L9,System!M9:N9,System!E9:I9,#REF!))</f>
        <v>0</v>
      </c>
      <c r="D86">
        <v>0</v>
      </c>
      <c r="E86">
        <v>0</v>
      </c>
      <c r="F86">
        <v>0</v>
      </c>
      <c r="G86">
        <v>0</v>
      </c>
      <c r="H86">
        <v>0</v>
      </c>
      <c r="I86">
        <v>0</v>
      </c>
      <c r="J86">
        <v>0</v>
      </c>
      <c r="K86">
        <v>0</v>
      </c>
      <c r="L86">
        <v>0</v>
      </c>
      <c r="M86" s="12">
        <v>0</v>
      </c>
      <c r="N86">
        <v>0</v>
      </c>
      <c r="O86">
        <v>0</v>
      </c>
      <c r="P86" s="30">
        <v>0</v>
      </c>
      <c r="Q86">
        <v>0</v>
      </c>
      <c r="R86">
        <v>0</v>
      </c>
      <c r="S86">
        <v>0</v>
      </c>
      <c r="T86">
        <v>0</v>
      </c>
      <c r="U86">
        <v>0</v>
      </c>
      <c r="V86">
        <v>0</v>
      </c>
      <c r="W86">
        <v>0</v>
      </c>
      <c r="X86" s="12">
        <v>0</v>
      </c>
      <c r="Y86">
        <v>0</v>
      </c>
      <c r="Z86">
        <v>0</v>
      </c>
      <c r="AA86">
        <v>0</v>
      </c>
      <c r="AB86">
        <v>0</v>
      </c>
      <c r="AC86">
        <v>0</v>
      </c>
      <c r="AD86" s="30">
        <v>0</v>
      </c>
    </row>
    <row r="87" spans="1:30" x14ac:dyDescent="0.2">
      <c r="A87">
        <f>IF(ISBLANK(System!B10),"",System!B10)</f>
        <v>9</v>
      </c>
      <c r="B87" t="str">
        <f t="shared" si="2"/>
        <v/>
      </c>
      <c r="C87">
        <f t="array" ref="C87:AD87">IF(A10="",0,GlobBendMom(B10,System!C10:D10,System!K10:L10,System!M10:N10,System!E10:I10,#REF!))</f>
        <v>0</v>
      </c>
      <c r="D87">
        <v>0</v>
      </c>
      <c r="E87">
        <v>0</v>
      </c>
      <c r="F87">
        <v>0</v>
      </c>
      <c r="G87">
        <v>0</v>
      </c>
      <c r="H87">
        <v>0</v>
      </c>
      <c r="I87">
        <v>0</v>
      </c>
      <c r="J87">
        <v>0</v>
      </c>
      <c r="K87">
        <v>0</v>
      </c>
      <c r="L87">
        <v>0</v>
      </c>
      <c r="M87" s="12">
        <v>0</v>
      </c>
      <c r="N87">
        <v>0</v>
      </c>
      <c r="O87">
        <v>0</v>
      </c>
      <c r="P87" s="30">
        <v>0</v>
      </c>
      <c r="Q87">
        <v>0</v>
      </c>
      <c r="R87">
        <v>0</v>
      </c>
      <c r="S87">
        <v>0</v>
      </c>
      <c r="T87">
        <v>0</v>
      </c>
      <c r="U87">
        <v>0</v>
      </c>
      <c r="V87">
        <v>0</v>
      </c>
      <c r="W87">
        <v>0</v>
      </c>
      <c r="X87" s="12">
        <v>0</v>
      </c>
      <c r="Y87">
        <v>0</v>
      </c>
      <c r="Z87">
        <v>0</v>
      </c>
      <c r="AA87">
        <v>0</v>
      </c>
      <c r="AB87">
        <v>0</v>
      </c>
      <c r="AC87">
        <v>0</v>
      </c>
      <c r="AD87" s="30">
        <v>0</v>
      </c>
    </row>
    <row r="88" spans="1:30" x14ac:dyDescent="0.2">
      <c r="A88">
        <f>IF(ISBLANK(System!B11),"",System!B11)</f>
        <v>10</v>
      </c>
      <c r="B88" t="str">
        <f t="shared" si="2"/>
        <v/>
      </c>
      <c r="C88">
        <f t="array" ref="C88:AD88">IF(A11="",0,GlobBendMom(B11,System!C11:D11,System!K11:L11,System!M11:N11,System!E11:I11,#REF!))</f>
        <v>0</v>
      </c>
      <c r="D88">
        <v>0</v>
      </c>
      <c r="E88">
        <v>0</v>
      </c>
      <c r="F88">
        <v>0</v>
      </c>
      <c r="G88">
        <v>0</v>
      </c>
      <c r="H88">
        <v>0</v>
      </c>
      <c r="I88">
        <v>0</v>
      </c>
      <c r="J88">
        <v>0</v>
      </c>
      <c r="K88">
        <v>0</v>
      </c>
      <c r="L88">
        <v>0</v>
      </c>
      <c r="M88" s="12">
        <v>0</v>
      </c>
      <c r="N88">
        <v>0</v>
      </c>
      <c r="O88">
        <v>0</v>
      </c>
      <c r="P88" s="30">
        <v>0</v>
      </c>
      <c r="Q88">
        <v>0</v>
      </c>
      <c r="R88">
        <v>0</v>
      </c>
      <c r="S88">
        <v>0</v>
      </c>
      <c r="T88">
        <v>0</v>
      </c>
      <c r="U88">
        <v>0</v>
      </c>
      <c r="V88">
        <v>0</v>
      </c>
      <c r="W88">
        <v>0</v>
      </c>
      <c r="X88" s="12">
        <v>0</v>
      </c>
      <c r="Y88">
        <v>0</v>
      </c>
      <c r="Z88">
        <v>0</v>
      </c>
      <c r="AA88">
        <v>0</v>
      </c>
      <c r="AB88">
        <v>0</v>
      </c>
      <c r="AC88">
        <v>0</v>
      </c>
      <c r="AD88" s="30">
        <v>0</v>
      </c>
    </row>
    <row r="89" spans="1:30" x14ac:dyDescent="0.2">
      <c r="A89">
        <f>IF(ISBLANK(System!B12),"",System!B12)</f>
        <v>11</v>
      </c>
      <c r="B89" t="str">
        <f t="shared" si="2"/>
        <v/>
      </c>
      <c r="C89">
        <f t="array" ref="C89:AD89">IF(A12="",0,GlobBendMom(B12,System!C12:D12,System!K12:L12,System!M12:N12,System!E12:I12,#REF!))</f>
        <v>0</v>
      </c>
      <c r="D89">
        <v>0</v>
      </c>
      <c r="E89">
        <v>0</v>
      </c>
      <c r="F89">
        <v>0</v>
      </c>
      <c r="G89">
        <v>0</v>
      </c>
      <c r="H89">
        <v>0</v>
      </c>
      <c r="I89">
        <v>0</v>
      </c>
      <c r="J89">
        <v>0</v>
      </c>
      <c r="K89">
        <v>0</v>
      </c>
      <c r="L89">
        <v>0</v>
      </c>
      <c r="M89" s="12">
        <v>0</v>
      </c>
      <c r="N89">
        <v>0</v>
      </c>
      <c r="O89">
        <v>0</v>
      </c>
      <c r="P89" s="30">
        <v>0</v>
      </c>
      <c r="Q89">
        <v>0</v>
      </c>
      <c r="R89">
        <v>0</v>
      </c>
      <c r="S89">
        <v>0</v>
      </c>
      <c r="T89">
        <v>0</v>
      </c>
      <c r="U89">
        <v>0</v>
      </c>
      <c r="V89">
        <v>0</v>
      </c>
      <c r="W89">
        <v>0</v>
      </c>
      <c r="X89" s="12">
        <v>0</v>
      </c>
      <c r="Y89">
        <v>0</v>
      </c>
      <c r="Z89">
        <v>0</v>
      </c>
      <c r="AA89">
        <v>0</v>
      </c>
      <c r="AB89">
        <v>0</v>
      </c>
      <c r="AC89">
        <v>0</v>
      </c>
      <c r="AD89" s="30">
        <v>0</v>
      </c>
    </row>
    <row r="90" spans="1:30" x14ac:dyDescent="0.2">
      <c r="A90">
        <f>IF(ISBLANK(System!B13),"",System!B13)</f>
        <v>12</v>
      </c>
      <c r="B90" t="str">
        <f t="shared" si="2"/>
        <v/>
      </c>
      <c r="C90">
        <f t="array" ref="C90:AD90">IF(A13="",0,GlobBendMom(B13,System!C13:D13,System!K13:L13,System!M13:N13,System!E13:I13,#REF!))</f>
        <v>0</v>
      </c>
      <c r="D90">
        <v>0</v>
      </c>
      <c r="E90">
        <v>0</v>
      </c>
      <c r="F90">
        <v>0</v>
      </c>
      <c r="G90">
        <v>0</v>
      </c>
      <c r="H90">
        <v>0</v>
      </c>
      <c r="I90">
        <v>0</v>
      </c>
      <c r="J90">
        <v>0</v>
      </c>
      <c r="K90">
        <v>0</v>
      </c>
      <c r="L90">
        <v>0</v>
      </c>
      <c r="M90" s="12">
        <v>0</v>
      </c>
      <c r="N90">
        <v>0</v>
      </c>
      <c r="O90">
        <v>0</v>
      </c>
      <c r="P90" s="30">
        <v>0</v>
      </c>
      <c r="Q90">
        <v>0</v>
      </c>
      <c r="R90">
        <v>0</v>
      </c>
      <c r="S90">
        <v>0</v>
      </c>
      <c r="T90">
        <v>0</v>
      </c>
      <c r="U90">
        <v>0</v>
      </c>
      <c r="V90">
        <v>0</v>
      </c>
      <c r="W90">
        <v>0</v>
      </c>
      <c r="X90" s="12">
        <v>0</v>
      </c>
      <c r="Y90">
        <v>0</v>
      </c>
      <c r="Z90">
        <v>0</v>
      </c>
      <c r="AA90">
        <v>0</v>
      </c>
      <c r="AB90">
        <v>0</v>
      </c>
      <c r="AC90">
        <v>0</v>
      </c>
      <c r="AD90" s="30">
        <v>0</v>
      </c>
    </row>
    <row r="91" spans="1:30" x14ac:dyDescent="0.2">
      <c r="A91">
        <f>IF(ISBLANK(System!B14),"",System!B14)</f>
        <v>13</v>
      </c>
      <c r="B91" t="str">
        <f t="shared" si="2"/>
        <v/>
      </c>
      <c r="C91">
        <f t="array" ref="C91:AD91">IF(A14="",0,GlobBendMom(B14,System!C14:D14,System!K14:L14,System!M14:N14,System!E14:I14,#REF!))</f>
        <v>0</v>
      </c>
      <c r="D91">
        <v>0</v>
      </c>
      <c r="E91">
        <v>0</v>
      </c>
      <c r="F91">
        <v>0</v>
      </c>
      <c r="G91">
        <v>0</v>
      </c>
      <c r="H91">
        <v>0</v>
      </c>
      <c r="I91">
        <v>0</v>
      </c>
      <c r="J91">
        <v>0</v>
      </c>
      <c r="K91">
        <v>0</v>
      </c>
      <c r="L91">
        <v>0</v>
      </c>
      <c r="M91" s="12">
        <v>0</v>
      </c>
      <c r="N91">
        <v>0</v>
      </c>
      <c r="O91">
        <v>0</v>
      </c>
      <c r="P91" s="30">
        <v>0</v>
      </c>
      <c r="Q91">
        <v>0</v>
      </c>
      <c r="R91">
        <v>0</v>
      </c>
      <c r="S91">
        <v>0</v>
      </c>
      <c r="T91">
        <v>0</v>
      </c>
      <c r="U91">
        <v>0</v>
      </c>
      <c r="V91">
        <v>0</v>
      </c>
      <c r="W91">
        <v>0</v>
      </c>
      <c r="X91" s="12">
        <v>0</v>
      </c>
      <c r="Y91">
        <v>0</v>
      </c>
      <c r="Z91">
        <v>0</v>
      </c>
      <c r="AA91">
        <v>0</v>
      </c>
      <c r="AB91">
        <v>0</v>
      </c>
      <c r="AC91">
        <v>0</v>
      </c>
      <c r="AD91" s="30">
        <v>0</v>
      </c>
    </row>
    <row r="92" spans="1:30" x14ac:dyDescent="0.2">
      <c r="A92">
        <f>IF(ISBLANK(System!B15),"",System!B15)</f>
        <v>14</v>
      </c>
      <c r="B92" t="str">
        <f t="shared" si="2"/>
        <v/>
      </c>
      <c r="C92">
        <f t="array" ref="C92:AD92">IF(A15="",0,GlobBendMom(B15,System!C15:D15,System!K15:L15,System!M15:N15,System!E15:I15,#REF!))</f>
        <v>0</v>
      </c>
      <c r="D92">
        <v>0</v>
      </c>
      <c r="E92">
        <v>0</v>
      </c>
      <c r="F92">
        <v>0</v>
      </c>
      <c r="G92">
        <v>0</v>
      </c>
      <c r="H92">
        <v>0</v>
      </c>
      <c r="I92">
        <v>0</v>
      </c>
      <c r="J92">
        <v>0</v>
      </c>
      <c r="K92">
        <v>0</v>
      </c>
      <c r="L92">
        <v>0</v>
      </c>
      <c r="M92" s="12">
        <v>0</v>
      </c>
      <c r="N92">
        <v>0</v>
      </c>
      <c r="O92">
        <v>0</v>
      </c>
      <c r="P92" s="30">
        <v>0</v>
      </c>
      <c r="Q92">
        <v>0</v>
      </c>
      <c r="R92">
        <v>0</v>
      </c>
      <c r="S92">
        <v>0</v>
      </c>
      <c r="T92">
        <v>0</v>
      </c>
      <c r="U92">
        <v>0</v>
      </c>
      <c r="V92">
        <v>0</v>
      </c>
      <c r="W92">
        <v>0</v>
      </c>
      <c r="X92" s="12">
        <v>0</v>
      </c>
      <c r="Y92">
        <v>0</v>
      </c>
      <c r="Z92">
        <v>0</v>
      </c>
      <c r="AA92">
        <v>0</v>
      </c>
      <c r="AB92">
        <v>0</v>
      </c>
      <c r="AC92">
        <v>0</v>
      </c>
      <c r="AD92" s="30">
        <v>0</v>
      </c>
    </row>
    <row r="93" spans="1:30" x14ac:dyDescent="0.2">
      <c r="A93">
        <f>IF(ISBLANK(System!B16),"",System!B16)</f>
        <v>15</v>
      </c>
      <c r="B93" t="str">
        <f t="shared" si="2"/>
        <v/>
      </c>
      <c r="C93">
        <f t="array" ref="C93:AD93">IF(A16="",0,GlobBendMom(B16,System!C16:D16,System!K16:L16,System!M16:N16,System!E16:I16,#REF!))</f>
        <v>0</v>
      </c>
      <c r="D93">
        <v>0</v>
      </c>
      <c r="E93">
        <v>0</v>
      </c>
      <c r="F93">
        <v>0</v>
      </c>
      <c r="G93">
        <v>0</v>
      </c>
      <c r="H93">
        <v>0</v>
      </c>
      <c r="I93">
        <v>0</v>
      </c>
      <c r="J93">
        <v>0</v>
      </c>
      <c r="K93">
        <v>0</v>
      </c>
      <c r="L93">
        <v>0</v>
      </c>
      <c r="M93" s="12">
        <v>0</v>
      </c>
      <c r="N93">
        <v>0</v>
      </c>
      <c r="O93">
        <v>0</v>
      </c>
      <c r="P93" s="30">
        <v>0</v>
      </c>
      <c r="Q93">
        <v>0</v>
      </c>
      <c r="R93">
        <v>0</v>
      </c>
      <c r="S93">
        <v>0</v>
      </c>
      <c r="T93">
        <v>0</v>
      </c>
      <c r="U93">
        <v>0</v>
      </c>
      <c r="V93">
        <v>0</v>
      </c>
      <c r="W93">
        <v>0</v>
      </c>
      <c r="X93" s="12">
        <v>0</v>
      </c>
      <c r="Y93">
        <v>0</v>
      </c>
      <c r="Z93">
        <v>0</v>
      </c>
      <c r="AA93">
        <v>0</v>
      </c>
      <c r="AB93">
        <v>0</v>
      </c>
      <c r="AC93">
        <v>0</v>
      </c>
      <c r="AD93" s="30">
        <v>0</v>
      </c>
    </row>
    <row r="94" spans="1:30" x14ac:dyDescent="0.2">
      <c r="A94">
        <f>IF(ISBLANK(System!B17),"",System!B17)</f>
        <v>16</v>
      </c>
      <c r="B94" t="str">
        <f t="shared" si="2"/>
        <v/>
      </c>
      <c r="C94">
        <f t="array" ref="C94:AD94">IF(A17="",0,GlobBendMom(B17,System!C17:D17,System!K17:L17,System!M17:N17,System!E17:I17,#REF!))</f>
        <v>0</v>
      </c>
      <c r="D94">
        <v>0</v>
      </c>
      <c r="E94">
        <v>0</v>
      </c>
      <c r="F94">
        <v>0</v>
      </c>
      <c r="G94">
        <v>0</v>
      </c>
      <c r="H94">
        <v>0</v>
      </c>
      <c r="I94">
        <v>0</v>
      </c>
      <c r="J94">
        <v>0</v>
      </c>
      <c r="K94">
        <v>0</v>
      </c>
      <c r="L94">
        <v>0</v>
      </c>
      <c r="M94" s="12">
        <v>0</v>
      </c>
      <c r="N94">
        <v>0</v>
      </c>
      <c r="O94">
        <v>0</v>
      </c>
      <c r="P94" s="30">
        <v>0</v>
      </c>
      <c r="Q94">
        <v>0</v>
      </c>
      <c r="R94">
        <v>0</v>
      </c>
      <c r="S94">
        <v>0</v>
      </c>
      <c r="T94">
        <v>0</v>
      </c>
      <c r="U94">
        <v>0</v>
      </c>
      <c r="V94">
        <v>0</v>
      </c>
      <c r="W94">
        <v>0</v>
      </c>
      <c r="X94" s="12">
        <v>0</v>
      </c>
      <c r="Y94">
        <v>0</v>
      </c>
      <c r="Z94">
        <v>0</v>
      </c>
      <c r="AA94">
        <v>0</v>
      </c>
      <c r="AB94">
        <v>0</v>
      </c>
      <c r="AC94">
        <v>0</v>
      </c>
      <c r="AD94" s="30">
        <v>0</v>
      </c>
    </row>
    <row r="95" spans="1:30" x14ac:dyDescent="0.2">
      <c r="A95">
        <f>IF(ISBLANK(System!B18),"",System!B18)</f>
        <v>17</v>
      </c>
      <c r="B95" t="str">
        <f t="shared" si="2"/>
        <v/>
      </c>
      <c r="C95">
        <f t="array" ref="C95:AD95">IF(A18="",0,GlobBendMom(B18,System!C18:D18,System!K18:L18,System!M18:N18,System!E18:I18,#REF!))</f>
        <v>0</v>
      </c>
      <c r="D95">
        <v>0</v>
      </c>
      <c r="E95">
        <v>0</v>
      </c>
      <c r="F95">
        <v>0</v>
      </c>
      <c r="G95">
        <v>0</v>
      </c>
      <c r="H95">
        <v>0</v>
      </c>
      <c r="I95">
        <v>0</v>
      </c>
      <c r="J95">
        <v>0</v>
      </c>
      <c r="K95">
        <v>0</v>
      </c>
      <c r="L95">
        <v>0</v>
      </c>
      <c r="M95" s="12">
        <v>0</v>
      </c>
      <c r="N95">
        <v>0</v>
      </c>
      <c r="O95">
        <v>0</v>
      </c>
      <c r="P95" s="30">
        <v>0</v>
      </c>
      <c r="Q95">
        <v>0</v>
      </c>
      <c r="R95">
        <v>0</v>
      </c>
      <c r="S95">
        <v>0</v>
      </c>
      <c r="T95">
        <v>0</v>
      </c>
      <c r="U95">
        <v>0</v>
      </c>
      <c r="V95">
        <v>0</v>
      </c>
      <c r="W95">
        <v>0</v>
      </c>
      <c r="X95" s="12">
        <v>0</v>
      </c>
      <c r="Y95">
        <v>0</v>
      </c>
      <c r="Z95">
        <v>0</v>
      </c>
      <c r="AA95">
        <v>0</v>
      </c>
      <c r="AB95">
        <v>0</v>
      </c>
      <c r="AC95">
        <v>0</v>
      </c>
      <c r="AD95" s="30">
        <v>0</v>
      </c>
    </row>
    <row r="96" spans="1:30" x14ac:dyDescent="0.2">
      <c r="A96">
        <f>IF(ISBLANK(System!B19),"",System!B19)</f>
        <v>18</v>
      </c>
      <c r="B96" t="str">
        <f t="shared" si="2"/>
        <v/>
      </c>
      <c r="C96">
        <f t="array" ref="C96:AD96">IF(A19="",0,GlobBendMom(B19,System!C19:D19,System!K19:L19,System!M19:N19,System!E19:I19,#REF!))</f>
        <v>0</v>
      </c>
      <c r="D96">
        <v>0</v>
      </c>
      <c r="E96">
        <v>0</v>
      </c>
      <c r="F96">
        <v>0</v>
      </c>
      <c r="G96">
        <v>0</v>
      </c>
      <c r="H96">
        <v>0</v>
      </c>
      <c r="I96">
        <v>0</v>
      </c>
      <c r="J96">
        <v>0</v>
      </c>
      <c r="K96">
        <v>0</v>
      </c>
      <c r="L96">
        <v>0</v>
      </c>
      <c r="M96" s="12">
        <v>0</v>
      </c>
      <c r="N96">
        <v>0</v>
      </c>
      <c r="O96">
        <v>0</v>
      </c>
      <c r="P96" s="30">
        <v>0</v>
      </c>
      <c r="Q96">
        <v>0</v>
      </c>
      <c r="R96">
        <v>0</v>
      </c>
      <c r="S96">
        <v>0</v>
      </c>
      <c r="T96">
        <v>0</v>
      </c>
      <c r="U96">
        <v>0</v>
      </c>
      <c r="V96">
        <v>0</v>
      </c>
      <c r="W96">
        <v>0</v>
      </c>
      <c r="X96" s="12">
        <v>0</v>
      </c>
      <c r="Y96">
        <v>0</v>
      </c>
      <c r="Z96">
        <v>0</v>
      </c>
      <c r="AA96">
        <v>0</v>
      </c>
      <c r="AB96">
        <v>0</v>
      </c>
      <c r="AC96">
        <v>0</v>
      </c>
      <c r="AD96" s="30">
        <v>0</v>
      </c>
    </row>
    <row r="97" spans="1:30" x14ac:dyDescent="0.2">
      <c r="A97">
        <f>IF(ISBLANK(System!B20),"",System!B20)</f>
        <v>19</v>
      </c>
      <c r="B97" t="str">
        <f t="shared" si="2"/>
        <v/>
      </c>
      <c r="C97">
        <f t="array" ref="C97:AD97">IF(A20="",0,GlobBendMom(B20,System!C20:D20,System!K20:L20,System!M20:N20,System!E20:I20,#REF!))</f>
        <v>0</v>
      </c>
      <c r="D97">
        <v>0</v>
      </c>
      <c r="E97">
        <v>0</v>
      </c>
      <c r="F97">
        <v>0</v>
      </c>
      <c r="G97">
        <v>0</v>
      </c>
      <c r="H97">
        <v>0</v>
      </c>
      <c r="I97">
        <v>0</v>
      </c>
      <c r="J97">
        <v>0</v>
      </c>
      <c r="K97">
        <v>0</v>
      </c>
      <c r="L97">
        <v>0</v>
      </c>
      <c r="M97" s="12">
        <v>0</v>
      </c>
      <c r="N97">
        <v>0</v>
      </c>
      <c r="O97">
        <v>0</v>
      </c>
      <c r="P97" s="30">
        <v>0</v>
      </c>
      <c r="Q97">
        <v>0</v>
      </c>
      <c r="R97">
        <v>0</v>
      </c>
      <c r="S97">
        <v>0</v>
      </c>
      <c r="T97">
        <v>0</v>
      </c>
      <c r="U97">
        <v>0</v>
      </c>
      <c r="V97">
        <v>0</v>
      </c>
      <c r="W97">
        <v>0</v>
      </c>
      <c r="X97" s="12">
        <v>0</v>
      </c>
      <c r="Y97">
        <v>0</v>
      </c>
      <c r="Z97">
        <v>0</v>
      </c>
      <c r="AA97">
        <v>0</v>
      </c>
      <c r="AB97">
        <v>0</v>
      </c>
      <c r="AC97">
        <v>0</v>
      </c>
      <c r="AD97" s="30">
        <v>0</v>
      </c>
    </row>
    <row r="98" spans="1:30" x14ac:dyDescent="0.2">
      <c r="A98">
        <f>IF(ISBLANK(System!B21),"",System!B21)</f>
        <v>20</v>
      </c>
      <c r="B98" t="str">
        <f t="shared" si="2"/>
        <v/>
      </c>
      <c r="C98">
        <f t="array" ref="C98:AD98">IF(A21="",0,GlobBendMom(B21,System!C21:D21,System!K21:L21,System!M21:N21,System!E21:I21,#REF!))</f>
        <v>0</v>
      </c>
      <c r="D98">
        <v>0</v>
      </c>
      <c r="E98">
        <v>0</v>
      </c>
      <c r="F98">
        <v>0</v>
      </c>
      <c r="G98">
        <v>0</v>
      </c>
      <c r="H98">
        <v>0</v>
      </c>
      <c r="I98">
        <v>0</v>
      </c>
      <c r="J98">
        <v>0</v>
      </c>
      <c r="K98">
        <v>0</v>
      </c>
      <c r="L98">
        <v>0</v>
      </c>
      <c r="M98" s="12">
        <v>0</v>
      </c>
      <c r="N98">
        <v>0</v>
      </c>
      <c r="O98">
        <v>0</v>
      </c>
      <c r="P98" s="30">
        <v>0</v>
      </c>
      <c r="Q98">
        <v>0</v>
      </c>
      <c r="R98">
        <v>0</v>
      </c>
      <c r="S98">
        <v>0</v>
      </c>
      <c r="T98">
        <v>0</v>
      </c>
      <c r="U98">
        <v>0</v>
      </c>
      <c r="V98">
        <v>0</v>
      </c>
      <c r="W98">
        <v>0</v>
      </c>
      <c r="X98" s="12">
        <v>0</v>
      </c>
      <c r="Y98">
        <v>0</v>
      </c>
      <c r="Z98">
        <v>0</v>
      </c>
      <c r="AA98">
        <v>0</v>
      </c>
      <c r="AB98">
        <v>0</v>
      </c>
      <c r="AC98">
        <v>0</v>
      </c>
      <c r="AD98" s="30">
        <v>0</v>
      </c>
    </row>
    <row r="99" spans="1:30" x14ac:dyDescent="0.2">
      <c r="M99" s="12"/>
      <c r="X99" s="12"/>
    </row>
    <row r="100" spans="1:30" x14ac:dyDescent="0.2">
      <c r="X100" s="12"/>
    </row>
  </sheetData>
  <sheetProtection password="C690"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Z100"/>
  <sheetViews>
    <sheetView zoomScale="75" zoomScaleNormal="75" workbookViewId="0">
      <selection activeCell="I45" sqref="I45"/>
    </sheetView>
  </sheetViews>
  <sheetFormatPr baseColWidth="10" defaultRowHeight="12.75" x14ac:dyDescent="0.2"/>
  <cols>
    <col min="1" max="1" width="4.5703125" customWidth="1"/>
    <col min="2" max="2" width="12" bestFit="1" customWidth="1"/>
    <col min="3" max="3" width="12.42578125" bestFit="1" customWidth="1"/>
    <col min="4" max="6" width="12.28515625" bestFit="1" customWidth="1"/>
    <col min="7" max="7" width="12.28515625" customWidth="1"/>
    <col min="8" max="8" width="3.5703125" customWidth="1"/>
    <col min="9" max="9" width="7.85546875" bestFit="1" customWidth="1"/>
    <col min="10" max="12" width="12.28515625" bestFit="1" customWidth="1"/>
    <col min="13" max="13" width="12.42578125" bestFit="1" customWidth="1"/>
    <col min="14" max="15" width="12.5703125" bestFit="1" customWidth="1"/>
    <col min="16" max="16" width="12" bestFit="1" customWidth="1"/>
    <col min="17" max="18" width="12.5703125" bestFit="1" customWidth="1"/>
    <col min="19" max="20" width="12" bestFit="1" customWidth="1"/>
    <col min="21" max="22" width="12.28515625" bestFit="1" customWidth="1"/>
    <col min="23" max="23" width="12.140625" bestFit="1" customWidth="1"/>
    <col min="24" max="24" width="14.42578125" bestFit="1" customWidth="1"/>
    <col min="25" max="26" width="14.7109375" bestFit="1" customWidth="1"/>
    <col min="27" max="27" width="11.7109375" bestFit="1" customWidth="1"/>
    <col min="28" max="28" width="14.85546875" bestFit="1" customWidth="1"/>
    <col min="29" max="30" width="11.7109375" bestFit="1" customWidth="1"/>
  </cols>
  <sheetData>
    <row r="1" spans="1:52" ht="13.5" thickBot="1" x14ac:dyDescent="0.25">
      <c r="A1" s="12"/>
      <c r="B1" s="12"/>
      <c r="C1" s="12"/>
      <c r="D1" s="12"/>
      <c r="E1" s="12"/>
      <c r="F1" s="12"/>
      <c r="G1" s="12"/>
      <c r="H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spans="1:52" ht="13.5" thickBot="1" x14ac:dyDescent="0.25">
      <c r="A2" s="12"/>
      <c r="B2" s="313" t="s">
        <v>60</v>
      </c>
      <c r="C2" s="12"/>
      <c r="D2" s="298" t="s">
        <v>49</v>
      </c>
      <c r="E2" s="400">
        <v>1</v>
      </c>
      <c r="F2" s="340" t="s">
        <v>115</v>
      </c>
      <c r="G2" s="400">
        <v>1</v>
      </c>
      <c r="H2" s="12"/>
      <c r="I2" s="200" t="s">
        <v>112</v>
      </c>
    </row>
    <row r="3" spans="1:52" ht="13.5" thickBot="1" x14ac:dyDescent="0.25">
      <c r="A3" s="12"/>
      <c r="B3" s="12"/>
      <c r="C3" s="12"/>
      <c r="D3" s="12"/>
      <c r="E3" s="12"/>
      <c r="F3" s="12"/>
      <c r="G3" s="12"/>
      <c r="H3" s="12"/>
    </row>
    <row r="4" spans="1:52" ht="13.5" thickBot="1" x14ac:dyDescent="0.25">
      <c r="A4" s="12"/>
      <c r="B4" s="12"/>
      <c r="C4" s="12"/>
      <c r="D4" s="12"/>
      <c r="E4" s="12"/>
      <c r="F4" s="12"/>
      <c r="G4" s="12"/>
      <c r="H4" s="12"/>
      <c r="I4" s="318" t="s">
        <v>6</v>
      </c>
      <c r="J4" s="322">
        <v>0</v>
      </c>
      <c r="K4" s="323">
        <v>0.1</v>
      </c>
      <c r="L4" s="323">
        <v>0.2</v>
      </c>
      <c r="M4" s="323">
        <v>0.3</v>
      </c>
      <c r="N4" s="323">
        <v>0.4</v>
      </c>
      <c r="O4" s="323">
        <v>0.5</v>
      </c>
      <c r="P4" s="323">
        <v>0.6</v>
      </c>
      <c r="Q4" s="323">
        <v>0.7</v>
      </c>
      <c r="R4" s="323">
        <v>0.8</v>
      </c>
      <c r="S4" s="323">
        <v>0.9</v>
      </c>
      <c r="T4" s="324">
        <v>1</v>
      </c>
    </row>
    <row r="5" spans="1:52" ht="13.5" thickBot="1" x14ac:dyDescent="0.25">
      <c r="A5" s="12"/>
      <c r="B5" s="12"/>
      <c r="C5" s="350" t="s">
        <v>188</v>
      </c>
      <c r="D5" s="348">
        <f ca="1">MAX(EleData!DW:DW)</f>
        <v>0.48890723045184847</v>
      </c>
      <c r="E5" s="12"/>
      <c r="F5" s="12"/>
      <c r="G5" s="12"/>
      <c r="H5" s="12"/>
      <c r="I5" s="319">
        <f t="shared" ref="I5:I24" ca="1" si="0">IF(ISNUMBER(INDIRECT("System!C" &amp;ROW(A2))),INDIRECT("System!B"&amp;ROW(A2)),"")</f>
        <v>1</v>
      </c>
      <c r="J5" s="214">
        <f ca="1">IF(ISNUMBER($I5),INDIRECT(ADDRESS(3+($I5-1)*6,COLUMN(EleData!DG$1),,,"EleData")),"")</f>
        <v>0.16893292272699931</v>
      </c>
      <c r="K5" s="315">
        <f ca="1">IF(ISNUMBER($I5),INDIRECT(ADDRESS(3+($I5-1)*6,COLUMN(EleData!DH$1),,,"EleData")),"")</f>
        <v>0.16893292272699931</v>
      </c>
      <c r="L5" s="315">
        <f ca="1">IF(ISNUMBER($I5),INDIRECT(ADDRESS(3+($I5-1)*6,COLUMN(EleData!DI$1),,,"EleData")),"")</f>
        <v>0.16893292272699933</v>
      </c>
      <c r="M5" s="315">
        <f ca="1">IF(ISNUMBER($I5),INDIRECT(ADDRESS(3+($I5-1)*6,COLUMN(EleData!DJ$1),,,"EleData")),"")</f>
        <v>0.16893292272699931</v>
      </c>
      <c r="N5" s="315">
        <f ca="1">IF(ISNUMBER($I5),INDIRECT(ADDRESS(3+($I5-1)*6,COLUMN(EleData!DK$1),,,"EleData")),"")</f>
        <v>0.16893292272699931</v>
      </c>
      <c r="O5" s="315">
        <f ca="1">IF(ISNUMBER($I5),INDIRECT(ADDRESS(3+($I5-1)*6,COLUMN(EleData!DL$1),,,"EleData")),"")</f>
        <v>0.16893292272699931</v>
      </c>
      <c r="P5" s="315">
        <f ca="1">IF(ISNUMBER($I5),INDIRECT(ADDRESS(3+($I5-1)*6,COLUMN(EleData!DM$1),,,"EleData")),"")</f>
        <v>0.16893292272699931</v>
      </c>
      <c r="Q5" s="315">
        <f ca="1">IF(ISNUMBER($I5),INDIRECT(ADDRESS(3+($I5-1)*6,COLUMN(EleData!DN$1),,,"EleData")),"")</f>
        <v>0.16893292272699931</v>
      </c>
      <c r="R5" s="315">
        <f ca="1">IF(ISNUMBER($I5),INDIRECT(ADDRESS(3+($I5-1)*6,COLUMN(EleData!DO$1),,,"EleData")),"")</f>
        <v>0.16893292272699931</v>
      </c>
      <c r="S5" s="315">
        <f ca="1">IF(ISNUMBER($I5),INDIRECT(ADDRESS(3+($I5-1)*6,COLUMN(EleData!DP$1),,,"EleData")),"")</f>
        <v>0.16893292272699931</v>
      </c>
      <c r="T5" s="215">
        <f ca="1">IF(ISNUMBER($I5),INDIRECT(ADDRESS(3+($I5-1)*6,COLUMN(EleData!DQ$1),,,"EleData")),"")</f>
        <v>0.16893292272699931</v>
      </c>
    </row>
    <row r="6" spans="1:52" ht="13.5" thickBot="1" x14ac:dyDescent="0.25">
      <c r="A6" s="12"/>
      <c r="B6" s="12"/>
      <c r="C6" s="350" t="s">
        <v>192</v>
      </c>
      <c r="D6" s="347">
        <f ca="1">E2/D5*KnotenData!H4*D7</f>
        <v>0.38516458694921302</v>
      </c>
      <c r="E6" s="12"/>
      <c r="F6" s="12"/>
      <c r="G6" s="12"/>
      <c r="H6" s="12"/>
      <c r="I6" s="320">
        <f t="shared" ca="1" si="0"/>
        <v>2</v>
      </c>
      <c r="J6" s="216">
        <f ca="1">IF(ISNUMBER($I6),INDIRECT(ADDRESS(3+($I6-1)*6,COLUMN(EleData!DG$1),,,"EleData")),"")</f>
        <v>1.1092769548151526E-2</v>
      </c>
      <c r="K6" s="206">
        <f ca="1">IF(ISNUMBER($I6),INDIRECT(ADDRESS(3+($I6-1)*6,COLUMN(EleData!DH$1),,,"EleData")),"")</f>
        <v>-3.8907230451848476E-2</v>
      </c>
      <c r="L6" s="206">
        <f ca="1">IF(ISNUMBER($I6),INDIRECT(ADDRESS(3+($I6-1)*6,COLUMN(EleData!DI$1),,,"EleData")),"")</f>
        <v>-8.8907230451848479E-2</v>
      </c>
      <c r="M6" s="206">
        <f ca="1">IF(ISNUMBER($I6),INDIRECT(ADDRESS(3+($I6-1)*6,COLUMN(EleData!DJ$1),,,"EleData")),"")</f>
        <v>-0.13890723045184847</v>
      </c>
      <c r="N6" s="206">
        <f ca="1">IF(ISNUMBER($I6),INDIRECT(ADDRESS(3+($I6-1)*6,COLUMN(EleData!DK$1),,,"EleData")),"")</f>
        <v>-0.18890723045184848</v>
      </c>
      <c r="O6" s="206">
        <f ca="1">IF(ISNUMBER($I6),INDIRECT(ADDRESS(3+($I6-1)*6,COLUMN(EleData!DL$1),,,"EleData")),"")</f>
        <v>-0.23890723045184847</v>
      </c>
      <c r="P6" s="206">
        <f ca="1">IF(ISNUMBER($I6),INDIRECT(ADDRESS(3+($I6-1)*6,COLUMN(EleData!DM$1),,,"EleData")),"")</f>
        <v>-0.28890723045184846</v>
      </c>
      <c r="Q6" s="206">
        <f ca="1">IF(ISNUMBER($I6),INDIRECT(ADDRESS(3+($I6-1)*6,COLUMN(EleData!DN$1),,,"EleData")),"")</f>
        <v>-0.33890723045184845</v>
      </c>
      <c r="R6" s="206">
        <f ca="1">IF(ISNUMBER($I6),INDIRECT(ADDRESS(3+($I6-1)*6,COLUMN(EleData!DO$1),,,"EleData")),"")</f>
        <v>-0.3889072304518485</v>
      </c>
      <c r="S6" s="206">
        <f ca="1">IF(ISNUMBER($I6),INDIRECT(ADDRESS(3+($I6-1)*6,COLUMN(EleData!DP$1),,,"EleData")),"")</f>
        <v>-0.43890723045184848</v>
      </c>
      <c r="T6" s="217">
        <f ca="1">IF(ISNUMBER($I6),INDIRECT(ADDRESS(3+($I6-1)*6,COLUMN(EleData!DQ$1),,,"EleData")),"")</f>
        <v>-0.48890723045184847</v>
      </c>
    </row>
    <row r="7" spans="1:52" ht="13.5" thickBot="1" x14ac:dyDescent="0.25">
      <c r="A7" s="12"/>
      <c r="B7" s="12"/>
      <c r="C7" s="350" t="s">
        <v>187</v>
      </c>
      <c r="D7" s="347">
        <v>0.3</v>
      </c>
      <c r="E7" s="12"/>
      <c r="F7" s="12"/>
      <c r="G7" s="12"/>
      <c r="H7" s="12"/>
      <c r="I7" s="320" t="str">
        <f t="shared" ca="1" si="0"/>
        <v/>
      </c>
      <c r="J7" s="216" t="str">
        <f ca="1">IF(ISNUMBER($I7),INDIRECT(ADDRESS(3+($I7-1)*6,COLUMN(EleData!DG$1),,,"EleData")),"")</f>
        <v/>
      </c>
      <c r="K7" s="206" t="str">
        <f ca="1">IF(ISNUMBER($I7),INDIRECT(ADDRESS(3+($I7-1)*6,COLUMN(EleData!DH$1),,,"EleData")),"")</f>
        <v/>
      </c>
      <c r="L7" s="206" t="str">
        <f ca="1">IF(ISNUMBER($I7),INDIRECT(ADDRESS(3+($I7-1)*6,COLUMN(EleData!DI$1),,,"EleData")),"")</f>
        <v/>
      </c>
      <c r="M7" s="206" t="str">
        <f ca="1">IF(ISNUMBER($I7),INDIRECT(ADDRESS(3+($I7-1)*6,COLUMN(EleData!DJ$1),,,"EleData")),"")</f>
        <v/>
      </c>
      <c r="N7" s="206" t="str">
        <f ca="1">IF(ISNUMBER($I7),INDIRECT(ADDRESS(3+($I7-1)*6,COLUMN(EleData!DK$1),,,"EleData")),"")</f>
        <v/>
      </c>
      <c r="O7" s="206" t="str">
        <f ca="1">IF(ISNUMBER($I7),INDIRECT(ADDRESS(3+($I7-1)*6,COLUMN(EleData!DL$1),,,"EleData")),"")</f>
        <v/>
      </c>
      <c r="P7" s="206" t="str">
        <f ca="1">IF(ISNUMBER($I7),INDIRECT(ADDRESS(3+($I7-1)*6,COLUMN(EleData!DM$1),,,"EleData")),"")</f>
        <v/>
      </c>
      <c r="Q7" s="206" t="str">
        <f ca="1">IF(ISNUMBER($I7),INDIRECT(ADDRESS(3+($I7-1)*6,COLUMN(EleData!DN$1),,,"EleData")),"")</f>
        <v/>
      </c>
      <c r="R7" s="206" t="str">
        <f ca="1">IF(ISNUMBER($I7),INDIRECT(ADDRESS(3+($I7-1)*6,COLUMN(EleData!DO$1),,,"EleData")),"")</f>
        <v/>
      </c>
      <c r="S7" s="206" t="str">
        <f ca="1">IF(ISNUMBER($I7),INDIRECT(ADDRESS(3+($I7-1)*6,COLUMN(EleData!DP$1),,,"EleData")),"")</f>
        <v/>
      </c>
      <c r="T7" s="217" t="str">
        <f ca="1">IF(ISNUMBER($I7),INDIRECT(ADDRESS(3+($I7-1)*6,COLUMN(EleData!DQ$1),,,"EleData")),"")</f>
        <v/>
      </c>
    </row>
    <row r="8" spans="1:52" x14ac:dyDescent="0.2">
      <c r="A8" s="12"/>
      <c r="B8" s="12"/>
      <c r="C8" s="12"/>
      <c r="D8" s="12"/>
      <c r="E8" s="12"/>
      <c r="F8" s="12"/>
      <c r="G8" s="12"/>
      <c r="H8" s="12"/>
      <c r="I8" s="320" t="str">
        <f t="shared" ca="1" si="0"/>
        <v/>
      </c>
      <c r="J8" s="216" t="str">
        <f ca="1">IF(ISNUMBER($I8),INDIRECT(ADDRESS(3+($I8-1)*6,COLUMN(EleData!DG$1),,,"EleData")),"")</f>
        <v/>
      </c>
      <c r="K8" s="206" t="str">
        <f ca="1">IF(ISNUMBER($I8),INDIRECT(ADDRESS(3+($I8-1)*6,COLUMN(EleData!DH$1),,,"EleData")),"")</f>
        <v/>
      </c>
      <c r="L8" s="206" t="str">
        <f ca="1">IF(ISNUMBER($I8),INDIRECT(ADDRESS(3+($I8-1)*6,COLUMN(EleData!DI$1),,,"EleData")),"")</f>
        <v/>
      </c>
      <c r="M8" s="206" t="str">
        <f ca="1">IF(ISNUMBER($I8),INDIRECT(ADDRESS(3+($I8-1)*6,COLUMN(EleData!DJ$1),,,"EleData")),"")</f>
        <v/>
      </c>
      <c r="N8" s="206" t="str">
        <f ca="1">IF(ISNUMBER($I8),INDIRECT(ADDRESS(3+($I8-1)*6,COLUMN(EleData!DK$1),,,"EleData")),"")</f>
        <v/>
      </c>
      <c r="O8" s="206" t="str">
        <f ca="1">IF(ISNUMBER($I8),INDIRECT(ADDRESS(3+($I8-1)*6,COLUMN(EleData!DL$1),,,"EleData")),"")</f>
        <v/>
      </c>
      <c r="P8" s="206" t="str">
        <f ca="1">IF(ISNUMBER($I8),INDIRECT(ADDRESS(3+($I8-1)*6,COLUMN(EleData!DM$1),,,"EleData")),"")</f>
        <v/>
      </c>
      <c r="Q8" s="206" t="str">
        <f ca="1">IF(ISNUMBER($I8),INDIRECT(ADDRESS(3+($I8-1)*6,COLUMN(EleData!DN$1),,,"EleData")),"")</f>
        <v/>
      </c>
      <c r="R8" s="206" t="str">
        <f ca="1">IF(ISNUMBER($I8),INDIRECT(ADDRESS(3+($I8-1)*6,COLUMN(EleData!DO$1),,,"EleData")),"")</f>
        <v/>
      </c>
      <c r="S8" s="206" t="str">
        <f ca="1">IF(ISNUMBER($I8),INDIRECT(ADDRESS(3+($I8-1)*6,COLUMN(EleData!DP$1),,,"EleData")),"")</f>
        <v/>
      </c>
      <c r="T8" s="217" t="str">
        <f ca="1">IF(ISNUMBER($I8),INDIRECT(ADDRESS(3+($I8-1)*6,COLUMN(EleData!DQ$1),,,"EleData")),"")</f>
        <v/>
      </c>
    </row>
    <row r="9" spans="1:52" x14ac:dyDescent="0.2">
      <c r="A9" s="12"/>
      <c r="B9" s="12"/>
      <c r="C9" s="12"/>
      <c r="D9" s="12"/>
      <c r="E9" s="12"/>
      <c r="F9" s="12"/>
      <c r="G9" s="12"/>
      <c r="H9" s="12"/>
      <c r="I9" s="320" t="str">
        <f t="shared" ca="1" si="0"/>
        <v/>
      </c>
      <c r="J9" s="216" t="str">
        <f ca="1">IF(ISNUMBER($I9),INDIRECT(ADDRESS(3+($I9-1)*6,COLUMN(EleData!DG$1),,,"EleData")),"")</f>
        <v/>
      </c>
      <c r="K9" s="206" t="str">
        <f ca="1">IF(ISNUMBER($I9),INDIRECT(ADDRESS(3+($I9-1)*6,COLUMN(EleData!DH$1),,,"EleData")),"")</f>
        <v/>
      </c>
      <c r="L9" s="206" t="str">
        <f ca="1">IF(ISNUMBER($I9),INDIRECT(ADDRESS(3+($I9-1)*6,COLUMN(EleData!DI$1),,,"EleData")),"")</f>
        <v/>
      </c>
      <c r="M9" s="206" t="str">
        <f ca="1">IF(ISNUMBER($I9),INDIRECT(ADDRESS(3+($I9-1)*6,COLUMN(EleData!DJ$1),,,"EleData")),"")</f>
        <v/>
      </c>
      <c r="N9" s="206" t="str">
        <f ca="1">IF(ISNUMBER($I9),INDIRECT(ADDRESS(3+($I9-1)*6,COLUMN(EleData!DK$1),,,"EleData")),"")</f>
        <v/>
      </c>
      <c r="O9" s="206" t="str">
        <f ca="1">IF(ISNUMBER($I9),INDIRECT(ADDRESS(3+($I9-1)*6,COLUMN(EleData!DL$1),,,"EleData")),"")</f>
        <v/>
      </c>
      <c r="P9" s="206" t="str">
        <f ca="1">IF(ISNUMBER($I9),INDIRECT(ADDRESS(3+($I9-1)*6,COLUMN(EleData!DM$1),,,"EleData")),"")</f>
        <v/>
      </c>
      <c r="Q9" s="206" t="str">
        <f ca="1">IF(ISNUMBER($I9),INDIRECT(ADDRESS(3+($I9-1)*6,COLUMN(EleData!DN$1),,,"EleData")),"")</f>
        <v/>
      </c>
      <c r="R9" s="206" t="str">
        <f ca="1">IF(ISNUMBER($I9),INDIRECT(ADDRESS(3+($I9-1)*6,COLUMN(EleData!DO$1),,,"EleData")),"")</f>
        <v/>
      </c>
      <c r="S9" s="206" t="str">
        <f ca="1">IF(ISNUMBER($I9),INDIRECT(ADDRESS(3+($I9-1)*6,COLUMN(EleData!DP$1),,,"EleData")),"")</f>
        <v/>
      </c>
      <c r="T9" s="217" t="str">
        <f ca="1">IF(ISNUMBER($I9),INDIRECT(ADDRESS(3+($I9-1)*6,COLUMN(EleData!DQ$1),,,"EleData")),"")</f>
        <v/>
      </c>
    </row>
    <row r="10" spans="1:52" x14ac:dyDescent="0.2">
      <c r="A10" s="12"/>
      <c r="B10" s="12"/>
      <c r="C10" s="12"/>
      <c r="D10" s="12"/>
      <c r="E10" s="12"/>
      <c r="F10" s="12"/>
      <c r="G10" s="12"/>
      <c r="H10" s="12"/>
      <c r="I10" s="320" t="str">
        <f t="shared" ca="1" si="0"/>
        <v/>
      </c>
      <c r="J10" s="216" t="str">
        <f ca="1">IF(ISNUMBER($I10),INDIRECT(ADDRESS(3+($I10-1)*6,COLUMN(EleData!DG$1),,,"EleData")),"")</f>
        <v/>
      </c>
      <c r="K10" s="206" t="str">
        <f ca="1">IF(ISNUMBER($I10),INDIRECT(ADDRESS(3+($I10-1)*6,COLUMN(EleData!DH$1),,,"EleData")),"")</f>
        <v/>
      </c>
      <c r="L10" s="206" t="str">
        <f ca="1">IF(ISNUMBER($I10),INDIRECT(ADDRESS(3+($I10-1)*6,COLUMN(EleData!DI$1),,,"EleData")),"")</f>
        <v/>
      </c>
      <c r="M10" s="206" t="str">
        <f ca="1">IF(ISNUMBER($I10),INDIRECT(ADDRESS(3+($I10-1)*6,COLUMN(EleData!DJ$1),,,"EleData")),"")</f>
        <v/>
      </c>
      <c r="N10" s="206" t="str">
        <f ca="1">IF(ISNUMBER($I10),INDIRECT(ADDRESS(3+($I10-1)*6,COLUMN(EleData!DK$1),,,"EleData")),"")</f>
        <v/>
      </c>
      <c r="O10" s="206" t="str">
        <f ca="1">IF(ISNUMBER($I10),INDIRECT(ADDRESS(3+($I10-1)*6,COLUMN(EleData!DL$1),,,"EleData")),"")</f>
        <v/>
      </c>
      <c r="P10" s="206" t="str">
        <f ca="1">IF(ISNUMBER($I10),INDIRECT(ADDRESS(3+($I10-1)*6,COLUMN(EleData!DM$1),,,"EleData")),"")</f>
        <v/>
      </c>
      <c r="Q10" s="206" t="str">
        <f ca="1">IF(ISNUMBER($I10),INDIRECT(ADDRESS(3+($I10-1)*6,COLUMN(EleData!DN$1),,,"EleData")),"")</f>
        <v/>
      </c>
      <c r="R10" s="206" t="str">
        <f ca="1">IF(ISNUMBER($I10),INDIRECT(ADDRESS(3+($I10-1)*6,COLUMN(EleData!DO$1),,,"EleData")),"")</f>
        <v/>
      </c>
      <c r="S10" s="206" t="str">
        <f ca="1">IF(ISNUMBER($I10),INDIRECT(ADDRESS(3+($I10-1)*6,COLUMN(EleData!DP$1),,,"EleData")),"")</f>
        <v/>
      </c>
      <c r="T10" s="217" t="str">
        <f ca="1">IF(ISNUMBER($I10),INDIRECT(ADDRESS(3+($I10-1)*6,COLUMN(EleData!DQ$1),,,"EleData")),"")</f>
        <v/>
      </c>
    </row>
    <row r="11" spans="1:52" x14ac:dyDescent="0.2">
      <c r="A11" s="12"/>
      <c r="B11" s="12"/>
      <c r="C11" s="12"/>
      <c r="D11" s="12"/>
      <c r="E11" s="12"/>
      <c r="F11" s="12"/>
      <c r="G11" s="12"/>
      <c r="H11" s="12"/>
      <c r="I11" s="320" t="str">
        <f t="shared" ca="1" si="0"/>
        <v/>
      </c>
      <c r="J11" s="216" t="str">
        <f ca="1">IF(ISNUMBER($I11),INDIRECT(ADDRESS(3+($I11-1)*6,COLUMN(EleData!DG$1),,,"EleData")),"")</f>
        <v/>
      </c>
      <c r="K11" s="206" t="str">
        <f ca="1">IF(ISNUMBER($I11),INDIRECT(ADDRESS(3+($I11-1)*6,COLUMN(EleData!DH$1),,,"EleData")),"")</f>
        <v/>
      </c>
      <c r="L11" s="206" t="str">
        <f ca="1">IF(ISNUMBER($I11),INDIRECT(ADDRESS(3+($I11-1)*6,COLUMN(EleData!DI$1),,,"EleData")),"")</f>
        <v/>
      </c>
      <c r="M11" s="206" t="str">
        <f ca="1">IF(ISNUMBER($I11),INDIRECT(ADDRESS(3+($I11-1)*6,COLUMN(EleData!DJ$1),,,"EleData")),"")</f>
        <v/>
      </c>
      <c r="N11" s="206" t="str">
        <f ca="1">IF(ISNUMBER($I11),INDIRECT(ADDRESS(3+($I11-1)*6,COLUMN(EleData!DK$1),,,"EleData")),"")</f>
        <v/>
      </c>
      <c r="O11" s="206" t="str">
        <f ca="1">IF(ISNUMBER($I11),INDIRECT(ADDRESS(3+($I11-1)*6,COLUMN(EleData!DL$1),,,"EleData")),"")</f>
        <v/>
      </c>
      <c r="P11" s="206" t="str">
        <f ca="1">IF(ISNUMBER($I11),INDIRECT(ADDRESS(3+($I11-1)*6,COLUMN(EleData!DM$1),,,"EleData")),"")</f>
        <v/>
      </c>
      <c r="Q11" s="206" t="str">
        <f ca="1">IF(ISNUMBER($I11),INDIRECT(ADDRESS(3+($I11-1)*6,COLUMN(EleData!DN$1),,,"EleData")),"")</f>
        <v/>
      </c>
      <c r="R11" s="206" t="str">
        <f ca="1">IF(ISNUMBER($I11),INDIRECT(ADDRESS(3+($I11-1)*6,COLUMN(EleData!DO$1),,,"EleData")),"")</f>
        <v/>
      </c>
      <c r="S11" s="206" t="str">
        <f ca="1">IF(ISNUMBER($I11),INDIRECT(ADDRESS(3+($I11-1)*6,COLUMN(EleData!DP$1),,,"EleData")),"")</f>
        <v/>
      </c>
      <c r="T11" s="217" t="str">
        <f ca="1">IF(ISNUMBER($I11),INDIRECT(ADDRESS(3+($I11-1)*6,COLUMN(EleData!DQ$1),,,"EleData")),"")</f>
        <v/>
      </c>
    </row>
    <row r="12" spans="1:52" x14ac:dyDescent="0.2">
      <c r="A12" s="12"/>
      <c r="B12" s="12"/>
      <c r="C12" s="12"/>
      <c r="D12" s="12"/>
      <c r="E12" s="12"/>
      <c r="F12" s="12"/>
      <c r="G12" s="12"/>
      <c r="H12" s="12"/>
      <c r="I12" s="320" t="str">
        <f t="shared" ca="1" si="0"/>
        <v/>
      </c>
      <c r="J12" s="216" t="str">
        <f ca="1">IF(ISNUMBER($I12),INDIRECT(ADDRESS(3+($I12-1)*6,COLUMN(EleData!DG$1),,,"EleData")),"")</f>
        <v/>
      </c>
      <c r="K12" s="206" t="str">
        <f ca="1">IF(ISNUMBER($I12),INDIRECT(ADDRESS(3+($I12-1)*6,COLUMN(EleData!DH$1),,,"EleData")),"")</f>
        <v/>
      </c>
      <c r="L12" s="206" t="str">
        <f ca="1">IF(ISNUMBER($I12),INDIRECT(ADDRESS(3+($I12-1)*6,COLUMN(EleData!DI$1),,,"EleData")),"")</f>
        <v/>
      </c>
      <c r="M12" s="206" t="str">
        <f ca="1">IF(ISNUMBER($I12),INDIRECT(ADDRESS(3+($I12-1)*6,COLUMN(EleData!DJ$1),,,"EleData")),"")</f>
        <v/>
      </c>
      <c r="N12" s="206" t="str">
        <f ca="1">IF(ISNUMBER($I12),INDIRECT(ADDRESS(3+($I12-1)*6,COLUMN(EleData!DK$1),,,"EleData")),"")</f>
        <v/>
      </c>
      <c r="O12" s="206" t="str">
        <f ca="1">IF(ISNUMBER($I12),INDIRECT(ADDRESS(3+($I12-1)*6,COLUMN(EleData!DL$1),,,"EleData")),"")</f>
        <v/>
      </c>
      <c r="P12" s="206" t="str">
        <f ca="1">IF(ISNUMBER($I12),INDIRECT(ADDRESS(3+($I12-1)*6,COLUMN(EleData!DM$1),,,"EleData")),"")</f>
        <v/>
      </c>
      <c r="Q12" s="206" t="str">
        <f ca="1">IF(ISNUMBER($I12),INDIRECT(ADDRESS(3+($I12-1)*6,COLUMN(EleData!DN$1),,,"EleData")),"")</f>
        <v/>
      </c>
      <c r="R12" s="206" t="str">
        <f ca="1">IF(ISNUMBER($I12),INDIRECT(ADDRESS(3+($I12-1)*6,COLUMN(EleData!DO$1),,,"EleData")),"")</f>
        <v/>
      </c>
      <c r="S12" s="206" t="str">
        <f ca="1">IF(ISNUMBER($I12),INDIRECT(ADDRESS(3+($I12-1)*6,COLUMN(EleData!DP$1),,,"EleData")),"")</f>
        <v/>
      </c>
      <c r="T12" s="217" t="str">
        <f ca="1">IF(ISNUMBER($I12),INDIRECT(ADDRESS(3+($I12-1)*6,COLUMN(EleData!DQ$1),,,"EleData")),"")</f>
        <v/>
      </c>
    </row>
    <row r="13" spans="1:52" x14ac:dyDescent="0.2">
      <c r="A13" s="12"/>
      <c r="B13" s="12"/>
      <c r="C13" s="12"/>
      <c r="D13" s="12"/>
      <c r="E13" s="12"/>
      <c r="F13" s="12"/>
      <c r="G13" s="12"/>
      <c r="H13" s="12"/>
      <c r="I13" s="320" t="str">
        <f t="shared" ca="1" si="0"/>
        <v/>
      </c>
      <c r="J13" s="216" t="str">
        <f ca="1">IF(ISNUMBER($I13),INDIRECT(ADDRESS(3+($I13-1)*6,COLUMN(EleData!DG$1),,,"EleData")),"")</f>
        <v/>
      </c>
      <c r="K13" s="206" t="str">
        <f ca="1">IF(ISNUMBER($I13),INDIRECT(ADDRESS(3+($I13-1)*6,COLUMN(EleData!DH$1),,,"EleData")),"")</f>
        <v/>
      </c>
      <c r="L13" s="206" t="str">
        <f ca="1">IF(ISNUMBER($I13),INDIRECT(ADDRESS(3+($I13-1)*6,COLUMN(EleData!DI$1),,,"EleData")),"")</f>
        <v/>
      </c>
      <c r="M13" s="206" t="str">
        <f ca="1">IF(ISNUMBER($I13),INDIRECT(ADDRESS(3+($I13-1)*6,COLUMN(EleData!DJ$1),,,"EleData")),"")</f>
        <v/>
      </c>
      <c r="N13" s="206" t="str">
        <f ca="1">IF(ISNUMBER($I13),INDIRECT(ADDRESS(3+($I13-1)*6,COLUMN(EleData!DK$1),,,"EleData")),"")</f>
        <v/>
      </c>
      <c r="O13" s="206" t="str">
        <f ca="1">IF(ISNUMBER($I13),INDIRECT(ADDRESS(3+($I13-1)*6,COLUMN(EleData!DL$1),,,"EleData")),"")</f>
        <v/>
      </c>
      <c r="P13" s="206" t="str">
        <f ca="1">IF(ISNUMBER($I13),INDIRECT(ADDRESS(3+($I13-1)*6,COLUMN(EleData!DM$1),,,"EleData")),"")</f>
        <v/>
      </c>
      <c r="Q13" s="206" t="str">
        <f ca="1">IF(ISNUMBER($I13),INDIRECT(ADDRESS(3+($I13-1)*6,COLUMN(EleData!DN$1),,,"EleData")),"")</f>
        <v/>
      </c>
      <c r="R13" s="206" t="str">
        <f ca="1">IF(ISNUMBER($I13),INDIRECT(ADDRESS(3+($I13-1)*6,COLUMN(EleData!DO$1),,,"EleData")),"")</f>
        <v/>
      </c>
      <c r="S13" s="206" t="str">
        <f ca="1">IF(ISNUMBER($I13),INDIRECT(ADDRESS(3+($I13-1)*6,COLUMN(EleData!DP$1),,,"EleData")),"")</f>
        <v/>
      </c>
      <c r="T13" s="217" t="str">
        <f ca="1">IF(ISNUMBER($I13),INDIRECT(ADDRESS(3+($I13-1)*6,COLUMN(EleData!DQ$1),,,"EleData")),"")</f>
        <v/>
      </c>
    </row>
    <row r="14" spans="1:52" x14ac:dyDescent="0.2">
      <c r="A14" s="12"/>
      <c r="B14" s="12"/>
      <c r="C14" s="12"/>
      <c r="D14" s="12"/>
      <c r="E14" s="12"/>
      <c r="F14" s="12"/>
      <c r="G14" s="12"/>
      <c r="H14" s="12"/>
      <c r="I14" s="320" t="str">
        <f t="shared" ca="1" si="0"/>
        <v/>
      </c>
      <c r="J14" s="216" t="str">
        <f ca="1">IF(ISNUMBER($I14),INDIRECT(ADDRESS(3+($I14-1)*6,COLUMN(EleData!DG$1),,,"EleData")),"")</f>
        <v/>
      </c>
      <c r="K14" s="206" t="str">
        <f ca="1">IF(ISNUMBER($I14),INDIRECT(ADDRESS(3+($I14-1)*6,COLUMN(EleData!DH$1),,,"EleData")),"")</f>
        <v/>
      </c>
      <c r="L14" s="206" t="str">
        <f ca="1">IF(ISNUMBER($I14),INDIRECT(ADDRESS(3+($I14-1)*6,COLUMN(EleData!DI$1),,,"EleData")),"")</f>
        <v/>
      </c>
      <c r="M14" s="206" t="str">
        <f ca="1">IF(ISNUMBER($I14),INDIRECT(ADDRESS(3+($I14-1)*6,COLUMN(EleData!DJ$1),,,"EleData")),"")</f>
        <v/>
      </c>
      <c r="N14" s="206" t="str">
        <f ca="1">IF(ISNUMBER($I14),INDIRECT(ADDRESS(3+($I14-1)*6,COLUMN(EleData!DK$1),,,"EleData")),"")</f>
        <v/>
      </c>
      <c r="O14" s="206" t="str">
        <f ca="1">IF(ISNUMBER($I14),INDIRECT(ADDRESS(3+($I14-1)*6,COLUMN(EleData!DL$1),,,"EleData")),"")</f>
        <v/>
      </c>
      <c r="P14" s="206" t="str">
        <f ca="1">IF(ISNUMBER($I14),INDIRECT(ADDRESS(3+($I14-1)*6,COLUMN(EleData!DM$1),,,"EleData")),"")</f>
        <v/>
      </c>
      <c r="Q14" s="206" t="str">
        <f ca="1">IF(ISNUMBER($I14),INDIRECT(ADDRESS(3+($I14-1)*6,COLUMN(EleData!DN$1),,,"EleData")),"")</f>
        <v/>
      </c>
      <c r="R14" s="206" t="str">
        <f ca="1">IF(ISNUMBER($I14),INDIRECT(ADDRESS(3+($I14-1)*6,COLUMN(EleData!DO$1),,,"EleData")),"")</f>
        <v/>
      </c>
      <c r="S14" s="206" t="str">
        <f ca="1">IF(ISNUMBER($I14),INDIRECT(ADDRESS(3+($I14-1)*6,COLUMN(EleData!DP$1),,,"EleData")),"")</f>
        <v/>
      </c>
      <c r="T14" s="217" t="str">
        <f ca="1">IF(ISNUMBER($I14),INDIRECT(ADDRESS(3+($I14-1)*6,COLUMN(EleData!DQ$1),,,"EleData")),"")</f>
        <v/>
      </c>
    </row>
    <row r="15" spans="1:52" x14ac:dyDescent="0.2">
      <c r="A15" s="12"/>
      <c r="B15" s="12"/>
      <c r="C15" s="12"/>
      <c r="D15" s="12"/>
      <c r="E15" s="12"/>
      <c r="F15" s="12"/>
      <c r="G15" s="12"/>
      <c r="H15" s="12"/>
      <c r="I15" s="320" t="str">
        <f t="shared" ca="1" si="0"/>
        <v/>
      </c>
      <c r="J15" s="216" t="str">
        <f ca="1">IF(ISNUMBER($I15),INDIRECT(ADDRESS(3+($I15-1)*6,COLUMN(EleData!DG$1),,,"EleData")),"")</f>
        <v/>
      </c>
      <c r="K15" s="206" t="str">
        <f ca="1">IF(ISNUMBER($I15),INDIRECT(ADDRESS(3+($I15-1)*6,COLUMN(EleData!DH$1),,,"EleData")),"")</f>
        <v/>
      </c>
      <c r="L15" s="206" t="str">
        <f ca="1">IF(ISNUMBER($I15),INDIRECT(ADDRESS(3+($I15-1)*6,COLUMN(EleData!DI$1),,,"EleData")),"")</f>
        <v/>
      </c>
      <c r="M15" s="206" t="str">
        <f ca="1">IF(ISNUMBER($I15),INDIRECT(ADDRESS(3+($I15-1)*6,COLUMN(EleData!DJ$1),,,"EleData")),"")</f>
        <v/>
      </c>
      <c r="N15" s="206" t="str">
        <f ca="1">IF(ISNUMBER($I15),INDIRECT(ADDRESS(3+($I15-1)*6,COLUMN(EleData!DK$1),,,"EleData")),"")</f>
        <v/>
      </c>
      <c r="O15" s="206" t="str">
        <f ca="1">IF(ISNUMBER($I15),INDIRECT(ADDRESS(3+($I15-1)*6,COLUMN(EleData!DL$1),,,"EleData")),"")</f>
        <v/>
      </c>
      <c r="P15" s="206" t="str">
        <f ca="1">IF(ISNUMBER($I15),INDIRECT(ADDRESS(3+($I15-1)*6,COLUMN(EleData!DM$1),,,"EleData")),"")</f>
        <v/>
      </c>
      <c r="Q15" s="206" t="str">
        <f ca="1">IF(ISNUMBER($I15),INDIRECT(ADDRESS(3+($I15-1)*6,COLUMN(EleData!DN$1),,,"EleData")),"")</f>
        <v/>
      </c>
      <c r="R15" s="206" t="str">
        <f ca="1">IF(ISNUMBER($I15),INDIRECT(ADDRESS(3+($I15-1)*6,COLUMN(EleData!DO$1),,,"EleData")),"")</f>
        <v/>
      </c>
      <c r="S15" s="206" t="str">
        <f ca="1">IF(ISNUMBER($I15),INDIRECT(ADDRESS(3+($I15-1)*6,COLUMN(EleData!DP$1),,,"EleData")),"")</f>
        <v/>
      </c>
      <c r="T15" s="217" t="str">
        <f ca="1">IF(ISNUMBER($I15),INDIRECT(ADDRESS(3+($I15-1)*6,COLUMN(EleData!DQ$1),,,"EleData")),"")</f>
        <v/>
      </c>
    </row>
    <row r="16" spans="1:52" x14ac:dyDescent="0.2">
      <c r="A16" s="12"/>
      <c r="B16" s="12"/>
      <c r="C16" s="12"/>
      <c r="D16" s="12"/>
      <c r="E16" s="12"/>
      <c r="F16" s="12"/>
      <c r="G16" s="12"/>
      <c r="H16" s="12"/>
      <c r="I16" s="320" t="str">
        <f t="shared" ca="1" si="0"/>
        <v/>
      </c>
      <c r="J16" s="216" t="str">
        <f ca="1">IF(ISNUMBER($I16),INDIRECT(ADDRESS(3+($I16-1)*6,COLUMN(EleData!DG$1),,,"EleData")),"")</f>
        <v/>
      </c>
      <c r="K16" s="206" t="str">
        <f ca="1">IF(ISNUMBER($I16),INDIRECT(ADDRESS(3+($I16-1)*6,COLUMN(EleData!DH$1),,,"EleData")),"")</f>
        <v/>
      </c>
      <c r="L16" s="206" t="str">
        <f ca="1">IF(ISNUMBER($I16),INDIRECT(ADDRESS(3+($I16-1)*6,COLUMN(EleData!DI$1),,,"EleData")),"")</f>
        <v/>
      </c>
      <c r="M16" s="206" t="str">
        <f ca="1">IF(ISNUMBER($I16),INDIRECT(ADDRESS(3+($I16-1)*6,COLUMN(EleData!DJ$1),,,"EleData")),"")</f>
        <v/>
      </c>
      <c r="N16" s="206" t="str">
        <f ca="1">IF(ISNUMBER($I16),INDIRECT(ADDRESS(3+($I16-1)*6,COLUMN(EleData!DK$1),,,"EleData")),"")</f>
        <v/>
      </c>
      <c r="O16" s="206" t="str">
        <f ca="1">IF(ISNUMBER($I16),INDIRECT(ADDRESS(3+($I16-1)*6,COLUMN(EleData!DL$1),,,"EleData")),"")</f>
        <v/>
      </c>
      <c r="P16" s="206" t="str">
        <f ca="1">IF(ISNUMBER($I16),INDIRECT(ADDRESS(3+($I16-1)*6,COLUMN(EleData!DM$1),,,"EleData")),"")</f>
        <v/>
      </c>
      <c r="Q16" s="206" t="str">
        <f ca="1">IF(ISNUMBER($I16),INDIRECT(ADDRESS(3+($I16-1)*6,COLUMN(EleData!DN$1),,,"EleData")),"")</f>
        <v/>
      </c>
      <c r="R16" s="206" t="str">
        <f ca="1">IF(ISNUMBER($I16),INDIRECT(ADDRESS(3+($I16-1)*6,COLUMN(EleData!DO$1),,,"EleData")),"")</f>
        <v/>
      </c>
      <c r="S16" s="206" t="str">
        <f ca="1">IF(ISNUMBER($I16),INDIRECT(ADDRESS(3+($I16-1)*6,COLUMN(EleData!DP$1),,,"EleData")),"")</f>
        <v/>
      </c>
      <c r="T16" s="217" t="str">
        <f ca="1">IF(ISNUMBER($I16),INDIRECT(ADDRESS(3+($I16-1)*6,COLUMN(EleData!DQ$1),,,"EleData")),"")</f>
        <v/>
      </c>
    </row>
    <row r="17" spans="1:24" x14ac:dyDescent="0.2">
      <c r="A17" s="12"/>
      <c r="B17" s="12"/>
      <c r="C17" s="12"/>
      <c r="D17" s="12"/>
      <c r="E17" s="12"/>
      <c r="F17" s="12"/>
      <c r="G17" s="12"/>
      <c r="H17" s="12"/>
      <c r="I17" s="320" t="str">
        <f t="shared" ca="1" si="0"/>
        <v/>
      </c>
      <c r="J17" s="216" t="str">
        <f ca="1">IF(ISNUMBER($I17),INDIRECT(ADDRESS(3+($I17-1)*6,COLUMN(EleData!DG$1),,,"EleData")),"")</f>
        <v/>
      </c>
      <c r="K17" s="206" t="str">
        <f ca="1">IF(ISNUMBER($I17),INDIRECT(ADDRESS(3+($I17-1)*6,COLUMN(EleData!DH$1),,,"EleData")),"")</f>
        <v/>
      </c>
      <c r="L17" s="206" t="str">
        <f ca="1">IF(ISNUMBER($I17),INDIRECT(ADDRESS(3+($I17-1)*6,COLUMN(EleData!DI$1),,,"EleData")),"")</f>
        <v/>
      </c>
      <c r="M17" s="206" t="str">
        <f ca="1">IF(ISNUMBER($I17),INDIRECT(ADDRESS(3+($I17-1)*6,COLUMN(EleData!DJ$1),,,"EleData")),"")</f>
        <v/>
      </c>
      <c r="N17" s="206" t="str">
        <f ca="1">IF(ISNUMBER($I17),INDIRECT(ADDRESS(3+($I17-1)*6,COLUMN(EleData!DK$1),,,"EleData")),"")</f>
        <v/>
      </c>
      <c r="O17" s="206" t="str">
        <f ca="1">IF(ISNUMBER($I17),INDIRECT(ADDRESS(3+($I17-1)*6,COLUMN(EleData!DL$1),,,"EleData")),"")</f>
        <v/>
      </c>
      <c r="P17" s="206" t="str">
        <f ca="1">IF(ISNUMBER($I17),INDIRECT(ADDRESS(3+($I17-1)*6,COLUMN(EleData!DM$1),,,"EleData")),"")</f>
        <v/>
      </c>
      <c r="Q17" s="206" t="str">
        <f ca="1">IF(ISNUMBER($I17),INDIRECT(ADDRESS(3+($I17-1)*6,COLUMN(EleData!DN$1),,,"EleData")),"")</f>
        <v/>
      </c>
      <c r="R17" s="206" t="str">
        <f ca="1">IF(ISNUMBER($I17),INDIRECT(ADDRESS(3+($I17-1)*6,COLUMN(EleData!DO$1),,,"EleData")),"")</f>
        <v/>
      </c>
      <c r="S17" s="206" t="str">
        <f ca="1">IF(ISNUMBER($I17),INDIRECT(ADDRESS(3+($I17-1)*6,COLUMN(EleData!DP$1),,,"EleData")),"")</f>
        <v/>
      </c>
      <c r="T17" s="217" t="str">
        <f ca="1">IF(ISNUMBER($I17),INDIRECT(ADDRESS(3+($I17-1)*6,COLUMN(EleData!DQ$1),,,"EleData")),"")</f>
        <v/>
      </c>
    </row>
    <row r="18" spans="1:24" x14ac:dyDescent="0.2">
      <c r="A18" s="12"/>
      <c r="B18" s="12"/>
      <c r="C18" s="12"/>
      <c r="D18" s="12"/>
      <c r="E18" s="12"/>
      <c r="F18" s="12"/>
      <c r="G18" s="12"/>
      <c r="H18" s="12"/>
      <c r="I18" s="320" t="str">
        <f t="shared" ca="1" si="0"/>
        <v/>
      </c>
      <c r="J18" s="216" t="str">
        <f ca="1">IF(ISNUMBER($I18),INDIRECT(ADDRESS(3+($I18-1)*6,COLUMN(EleData!DG$1),,,"EleData")),"")</f>
        <v/>
      </c>
      <c r="K18" s="206" t="str">
        <f ca="1">IF(ISNUMBER($I18),INDIRECT(ADDRESS(3+($I18-1)*6,COLUMN(EleData!DH$1),,,"EleData")),"")</f>
        <v/>
      </c>
      <c r="L18" s="206" t="str">
        <f ca="1">IF(ISNUMBER($I18),INDIRECT(ADDRESS(3+($I18-1)*6,COLUMN(EleData!DI$1),,,"EleData")),"")</f>
        <v/>
      </c>
      <c r="M18" s="206" t="str">
        <f ca="1">IF(ISNUMBER($I18),INDIRECT(ADDRESS(3+($I18-1)*6,COLUMN(EleData!DJ$1),,,"EleData")),"")</f>
        <v/>
      </c>
      <c r="N18" s="206" t="str">
        <f ca="1">IF(ISNUMBER($I18),INDIRECT(ADDRESS(3+($I18-1)*6,COLUMN(EleData!DK$1),,,"EleData")),"")</f>
        <v/>
      </c>
      <c r="O18" s="206" t="str">
        <f ca="1">IF(ISNUMBER($I18),INDIRECT(ADDRESS(3+($I18-1)*6,COLUMN(EleData!DL$1),,,"EleData")),"")</f>
        <v/>
      </c>
      <c r="P18" s="206" t="str">
        <f ca="1">IF(ISNUMBER($I18),INDIRECT(ADDRESS(3+($I18-1)*6,COLUMN(EleData!DM$1),,,"EleData")),"")</f>
        <v/>
      </c>
      <c r="Q18" s="206" t="str">
        <f ca="1">IF(ISNUMBER($I18),INDIRECT(ADDRESS(3+($I18-1)*6,COLUMN(EleData!DN$1),,,"EleData")),"")</f>
        <v/>
      </c>
      <c r="R18" s="206" t="str">
        <f ca="1">IF(ISNUMBER($I18),INDIRECT(ADDRESS(3+($I18-1)*6,COLUMN(EleData!DO$1),,,"EleData")),"")</f>
        <v/>
      </c>
      <c r="S18" s="206" t="str">
        <f ca="1">IF(ISNUMBER($I18),INDIRECT(ADDRESS(3+($I18-1)*6,COLUMN(EleData!DP$1),,,"EleData")),"")</f>
        <v/>
      </c>
      <c r="T18" s="217" t="str">
        <f ca="1">IF(ISNUMBER($I18),INDIRECT(ADDRESS(3+($I18-1)*6,COLUMN(EleData!DQ$1),,,"EleData")),"")</f>
        <v/>
      </c>
    </row>
    <row r="19" spans="1:24" x14ac:dyDescent="0.2">
      <c r="A19" s="12"/>
      <c r="B19" s="12"/>
      <c r="C19" s="12"/>
      <c r="D19" s="12"/>
      <c r="E19" s="12"/>
      <c r="F19" s="12"/>
      <c r="G19" s="12"/>
      <c r="H19" s="12"/>
      <c r="I19" s="320" t="str">
        <f t="shared" ca="1" si="0"/>
        <v/>
      </c>
      <c r="J19" s="216" t="str">
        <f ca="1">IF(ISNUMBER($I19),INDIRECT(ADDRESS(3+($I19-1)*6,COLUMN(EleData!DG$1),,,"EleData")),"")</f>
        <v/>
      </c>
      <c r="K19" s="206" t="str">
        <f ca="1">IF(ISNUMBER($I19),INDIRECT(ADDRESS(3+($I19-1)*6,COLUMN(EleData!DH$1),,,"EleData")),"")</f>
        <v/>
      </c>
      <c r="L19" s="206" t="str">
        <f ca="1">IF(ISNUMBER($I19),INDIRECT(ADDRESS(3+($I19-1)*6,COLUMN(EleData!DI$1),,,"EleData")),"")</f>
        <v/>
      </c>
      <c r="M19" s="206" t="str">
        <f ca="1">IF(ISNUMBER($I19),INDIRECT(ADDRESS(3+($I19-1)*6,COLUMN(EleData!DJ$1),,,"EleData")),"")</f>
        <v/>
      </c>
      <c r="N19" s="206" t="str">
        <f ca="1">IF(ISNUMBER($I19),INDIRECT(ADDRESS(3+($I19-1)*6,COLUMN(EleData!DK$1),,,"EleData")),"")</f>
        <v/>
      </c>
      <c r="O19" s="206" t="str">
        <f ca="1">IF(ISNUMBER($I19),INDIRECT(ADDRESS(3+($I19-1)*6,COLUMN(EleData!DL$1),,,"EleData")),"")</f>
        <v/>
      </c>
      <c r="P19" s="206" t="str">
        <f ca="1">IF(ISNUMBER($I19),INDIRECT(ADDRESS(3+($I19-1)*6,COLUMN(EleData!DM$1),,,"EleData")),"")</f>
        <v/>
      </c>
      <c r="Q19" s="206" t="str">
        <f ca="1">IF(ISNUMBER($I19),INDIRECT(ADDRESS(3+($I19-1)*6,COLUMN(EleData!DN$1),,,"EleData")),"")</f>
        <v/>
      </c>
      <c r="R19" s="206" t="str">
        <f ca="1">IF(ISNUMBER($I19),INDIRECT(ADDRESS(3+($I19-1)*6,COLUMN(EleData!DO$1),,,"EleData")),"")</f>
        <v/>
      </c>
      <c r="S19" s="206" t="str">
        <f ca="1">IF(ISNUMBER($I19),INDIRECT(ADDRESS(3+($I19-1)*6,COLUMN(EleData!DP$1),,,"EleData")),"")</f>
        <v/>
      </c>
      <c r="T19" s="217" t="str">
        <f ca="1">IF(ISNUMBER($I19),INDIRECT(ADDRESS(3+($I19-1)*6,COLUMN(EleData!DQ$1),,,"EleData")),"")</f>
        <v/>
      </c>
    </row>
    <row r="20" spans="1:24" x14ac:dyDescent="0.2">
      <c r="A20" s="12"/>
      <c r="B20" s="12"/>
      <c r="C20" s="12"/>
      <c r="D20" s="12"/>
      <c r="E20" s="12"/>
      <c r="F20" s="12"/>
      <c r="G20" s="12"/>
      <c r="H20" s="12"/>
      <c r="I20" s="320" t="str">
        <f t="shared" ca="1" si="0"/>
        <v/>
      </c>
      <c r="J20" s="216" t="str">
        <f ca="1">IF(ISNUMBER($I20),INDIRECT(ADDRESS(3+($I20-1)*6,COLUMN(EleData!DG$1),,,"EleData")),"")</f>
        <v/>
      </c>
      <c r="K20" s="206" t="str">
        <f ca="1">IF(ISNUMBER($I20),INDIRECT(ADDRESS(3+($I20-1)*6,COLUMN(EleData!DH$1),,,"EleData")),"")</f>
        <v/>
      </c>
      <c r="L20" s="206" t="str">
        <f ca="1">IF(ISNUMBER($I20),INDIRECT(ADDRESS(3+($I20-1)*6,COLUMN(EleData!DI$1),,,"EleData")),"")</f>
        <v/>
      </c>
      <c r="M20" s="206" t="str">
        <f ca="1">IF(ISNUMBER($I20),INDIRECT(ADDRESS(3+($I20-1)*6,COLUMN(EleData!DJ$1),,,"EleData")),"")</f>
        <v/>
      </c>
      <c r="N20" s="206" t="str">
        <f ca="1">IF(ISNUMBER($I20),INDIRECT(ADDRESS(3+($I20-1)*6,COLUMN(EleData!DK$1),,,"EleData")),"")</f>
        <v/>
      </c>
      <c r="O20" s="206" t="str">
        <f ca="1">IF(ISNUMBER($I20),INDIRECT(ADDRESS(3+($I20-1)*6,COLUMN(EleData!DL$1),,,"EleData")),"")</f>
        <v/>
      </c>
      <c r="P20" s="206" t="str">
        <f ca="1">IF(ISNUMBER($I20),INDIRECT(ADDRESS(3+($I20-1)*6,COLUMN(EleData!DM$1),,,"EleData")),"")</f>
        <v/>
      </c>
      <c r="Q20" s="206" t="str">
        <f ca="1">IF(ISNUMBER($I20),INDIRECT(ADDRESS(3+($I20-1)*6,COLUMN(EleData!DN$1),,,"EleData")),"")</f>
        <v/>
      </c>
      <c r="R20" s="206" t="str">
        <f ca="1">IF(ISNUMBER($I20),INDIRECT(ADDRESS(3+($I20-1)*6,COLUMN(EleData!DO$1),,,"EleData")),"")</f>
        <v/>
      </c>
      <c r="S20" s="206" t="str">
        <f ca="1">IF(ISNUMBER($I20),INDIRECT(ADDRESS(3+($I20-1)*6,COLUMN(EleData!DP$1),,,"EleData")),"")</f>
        <v/>
      </c>
      <c r="T20" s="217" t="str">
        <f ca="1">IF(ISNUMBER($I20),INDIRECT(ADDRESS(3+($I20-1)*6,COLUMN(EleData!DQ$1),,,"EleData")),"")</f>
        <v/>
      </c>
    </row>
    <row r="21" spans="1:24" x14ac:dyDescent="0.2">
      <c r="A21" s="12"/>
      <c r="B21" s="12"/>
      <c r="C21" s="12"/>
      <c r="D21" s="12"/>
      <c r="E21" s="12"/>
      <c r="F21" s="12"/>
      <c r="G21" s="12"/>
      <c r="H21" s="12"/>
      <c r="I21" s="320" t="str">
        <f t="shared" ca="1" si="0"/>
        <v/>
      </c>
      <c r="J21" s="216" t="str">
        <f ca="1">IF(ISNUMBER($I21),INDIRECT(ADDRESS(3+($I21-1)*6,COLUMN(EleData!DG$1),,,"EleData")),"")</f>
        <v/>
      </c>
      <c r="K21" s="206" t="str">
        <f ca="1">IF(ISNUMBER($I21),INDIRECT(ADDRESS(3+($I21-1)*6,COLUMN(EleData!DH$1),,,"EleData")),"")</f>
        <v/>
      </c>
      <c r="L21" s="206" t="str">
        <f ca="1">IF(ISNUMBER($I21),INDIRECT(ADDRESS(3+($I21-1)*6,COLUMN(EleData!DI$1),,,"EleData")),"")</f>
        <v/>
      </c>
      <c r="M21" s="206" t="str">
        <f ca="1">IF(ISNUMBER($I21),INDIRECT(ADDRESS(3+($I21-1)*6,COLUMN(EleData!DJ$1),,,"EleData")),"")</f>
        <v/>
      </c>
      <c r="N21" s="206" t="str">
        <f ca="1">IF(ISNUMBER($I21),INDIRECT(ADDRESS(3+($I21-1)*6,COLUMN(EleData!DK$1),,,"EleData")),"")</f>
        <v/>
      </c>
      <c r="O21" s="206" t="str">
        <f ca="1">IF(ISNUMBER($I21),INDIRECT(ADDRESS(3+($I21-1)*6,COLUMN(EleData!DL$1),,,"EleData")),"")</f>
        <v/>
      </c>
      <c r="P21" s="206" t="str">
        <f ca="1">IF(ISNUMBER($I21),INDIRECT(ADDRESS(3+($I21-1)*6,COLUMN(EleData!DM$1),,,"EleData")),"")</f>
        <v/>
      </c>
      <c r="Q21" s="206" t="str">
        <f ca="1">IF(ISNUMBER($I21),INDIRECT(ADDRESS(3+($I21-1)*6,COLUMN(EleData!DN$1),,,"EleData")),"")</f>
        <v/>
      </c>
      <c r="R21" s="206" t="str">
        <f ca="1">IF(ISNUMBER($I21),INDIRECT(ADDRESS(3+($I21-1)*6,COLUMN(EleData!DO$1),,,"EleData")),"")</f>
        <v/>
      </c>
      <c r="S21" s="206" t="str">
        <f ca="1">IF(ISNUMBER($I21),INDIRECT(ADDRESS(3+($I21-1)*6,COLUMN(EleData!DP$1),,,"EleData")),"")</f>
        <v/>
      </c>
      <c r="T21" s="217" t="str">
        <f ca="1">IF(ISNUMBER($I21),INDIRECT(ADDRESS(3+($I21-1)*6,COLUMN(EleData!DQ$1),,,"EleData")),"")</f>
        <v/>
      </c>
    </row>
    <row r="22" spans="1:24" x14ac:dyDescent="0.2">
      <c r="A22" s="12"/>
      <c r="B22" s="12"/>
      <c r="C22" s="12"/>
      <c r="D22" s="12"/>
      <c r="E22" s="12"/>
      <c r="F22" s="12"/>
      <c r="G22" s="12"/>
      <c r="H22" s="92"/>
      <c r="I22" s="320" t="str">
        <f t="shared" ca="1" si="0"/>
        <v/>
      </c>
      <c r="J22" s="216" t="str">
        <f ca="1">IF(ISNUMBER($I22),INDIRECT(ADDRESS(3+($I22-1)*6,COLUMN(EleData!DG$1),,,"EleData")),"")</f>
        <v/>
      </c>
      <c r="K22" s="206" t="str">
        <f ca="1">IF(ISNUMBER($I22),INDIRECT(ADDRESS(3+($I22-1)*6,COLUMN(EleData!DH$1),,,"EleData")),"")</f>
        <v/>
      </c>
      <c r="L22" s="206" t="str">
        <f ca="1">IF(ISNUMBER($I22),INDIRECT(ADDRESS(3+($I22-1)*6,COLUMN(EleData!DI$1),,,"EleData")),"")</f>
        <v/>
      </c>
      <c r="M22" s="206" t="str">
        <f ca="1">IF(ISNUMBER($I22),INDIRECT(ADDRESS(3+($I22-1)*6,COLUMN(EleData!DJ$1),,,"EleData")),"")</f>
        <v/>
      </c>
      <c r="N22" s="206" t="str">
        <f ca="1">IF(ISNUMBER($I22),INDIRECT(ADDRESS(3+($I22-1)*6,COLUMN(EleData!DK$1),,,"EleData")),"")</f>
        <v/>
      </c>
      <c r="O22" s="206" t="str">
        <f ca="1">IF(ISNUMBER($I22),INDIRECT(ADDRESS(3+($I22-1)*6,COLUMN(EleData!DL$1),,,"EleData")),"")</f>
        <v/>
      </c>
      <c r="P22" s="206" t="str">
        <f ca="1">IF(ISNUMBER($I22),INDIRECT(ADDRESS(3+($I22-1)*6,COLUMN(EleData!DM$1),,,"EleData")),"")</f>
        <v/>
      </c>
      <c r="Q22" s="206" t="str">
        <f ca="1">IF(ISNUMBER($I22),INDIRECT(ADDRESS(3+($I22-1)*6,COLUMN(EleData!DN$1),,,"EleData")),"")</f>
        <v/>
      </c>
      <c r="R22" s="206" t="str">
        <f ca="1">IF(ISNUMBER($I22),INDIRECT(ADDRESS(3+($I22-1)*6,COLUMN(EleData!DO$1),,,"EleData")),"")</f>
        <v/>
      </c>
      <c r="S22" s="206" t="str">
        <f ca="1">IF(ISNUMBER($I22),INDIRECT(ADDRESS(3+($I22-1)*6,COLUMN(EleData!DP$1),,,"EleData")),"")</f>
        <v/>
      </c>
      <c r="T22" s="217" t="str">
        <f ca="1">IF(ISNUMBER($I22),INDIRECT(ADDRESS(3+($I22-1)*6,COLUMN(EleData!DQ$1),,,"EleData")),"")</f>
        <v/>
      </c>
      <c r="X22" s="12"/>
    </row>
    <row r="23" spans="1:24" x14ac:dyDescent="0.2">
      <c r="A23" s="12"/>
      <c r="B23" s="12"/>
      <c r="C23" s="12"/>
      <c r="D23" s="12"/>
      <c r="E23" s="12"/>
      <c r="F23" s="12"/>
      <c r="G23" s="12"/>
      <c r="H23" s="12"/>
      <c r="I23" s="320" t="str">
        <f t="shared" ca="1" si="0"/>
        <v/>
      </c>
      <c r="J23" s="216" t="str">
        <f ca="1">IF(ISNUMBER($I23),INDIRECT(ADDRESS(3+($I23-1)*6,COLUMN(EleData!DG$1),,,"EleData")),"")</f>
        <v/>
      </c>
      <c r="K23" s="206" t="str">
        <f ca="1">IF(ISNUMBER($I23),INDIRECT(ADDRESS(3+($I23-1)*6,COLUMN(EleData!DH$1),,,"EleData")),"")</f>
        <v/>
      </c>
      <c r="L23" s="206" t="str">
        <f ca="1">IF(ISNUMBER($I23),INDIRECT(ADDRESS(3+($I23-1)*6,COLUMN(EleData!DI$1),,,"EleData")),"")</f>
        <v/>
      </c>
      <c r="M23" s="206" t="str">
        <f ca="1">IF(ISNUMBER($I23),INDIRECT(ADDRESS(3+($I23-1)*6,COLUMN(EleData!DJ$1),,,"EleData")),"")</f>
        <v/>
      </c>
      <c r="N23" s="206" t="str">
        <f ca="1">IF(ISNUMBER($I23),INDIRECT(ADDRESS(3+($I23-1)*6,COLUMN(EleData!DK$1),,,"EleData")),"")</f>
        <v/>
      </c>
      <c r="O23" s="206" t="str">
        <f ca="1">IF(ISNUMBER($I23),INDIRECT(ADDRESS(3+($I23-1)*6,COLUMN(EleData!DL$1),,,"EleData")),"")</f>
        <v/>
      </c>
      <c r="P23" s="206" t="str">
        <f ca="1">IF(ISNUMBER($I23),INDIRECT(ADDRESS(3+($I23-1)*6,COLUMN(EleData!DM$1),,,"EleData")),"")</f>
        <v/>
      </c>
      <c r="Q23" s="206" t="str">
        <f ca="1">IF(ISNUMBER($I23),INDIRECT(ADDRESS(3+($I23-1)*6,COLUMN(EleData!DN$1),,,"EleData")),"")</f>
        <v/>
      </c>
      <c r="R23" s="206" t="str">
        <f ca="1">IF(ISNUMBER($I23),INDIRECT(ADDRESS(3+($I23-1)*6,COLUMN(EleData!DO$1),,,"EleData")),"")</f>
        <v/>
      </c>
      <c r="S23" s="206" t="str">
        <f ca="1">IF(ISNUMBER($I23),INDIRECT(ADDRESS(3+($I23-1)*6,COLUMN(EleData!DP$1),,,"EleData")),"")</f>
        <v/>
      </c>
      <c r="T23" s="217" t="str">
        <f ca="1">IF(ISNUMBER($I23),INDIRECT(ADDRESS(3+($I23-1)*6,COLUMN(EleData!DQ$1),,,"EleData")),"")</f>
        <v/>
      </c>
      <c r="X23" s="12"/>
    </row>
    <row r="24" spans="1:24" ht="13.5" thickBot="1" x14ac:dyDescent="0.25">
      <c r="A24" s="12"/>
      <c r="B24" s="12"/>
      <c r="C24" s="12"/>
      <c r="D24" s="12"/>
      <c r="E24" s="12"/>
      <c r="F24" s="12"/>
      <c r="G24" s="12"/>
      <c r="H24" s="12"/>
      <c r="I24" s="321" t="str">
        <f t="shared" ca="1" si="0"/>
        <v/>
      </c>
      <c r="J24" s="218" t="str">
        <f ca="1">IF(ISNUMBER($I24),INDIRECT(ADDRESS(3+($I24-1)*6,COLUMN(EleData!DG$1),,,"EleData")),"")</f>
        <v/>
      </c>
      <c r="K24" s="295" t="str">
        <f ca="1">IF(ISNUMBER($I24),INDIRECT(ADDRESS(3+($I24-1)*6,COLUMN(EleData!DH$1),,,"EleData")),"")</f>
        <v/>
      </c>
      <c r="L24" s="295" t="str">
        <f ca="1">IF(ISNUMBER($I24),INDIRECT(ADDRESS(3+($I24-1)*6,COLUMN(EleData!DI$1),,,"EleData")),"")</f>
        <v/>
      </c>
      <c r="M24" s="295" t="str">
        <f ca="1">IF(ISNUMBER($I24),INDIRECT(ADDRESS(3+($I24-1)*6,COLUMN(EleData!DJ$1),,,"EleData")),"")</f>
        <v/>
      </c>
      <c r="N24" s="295" t="str">
        <f ca="1">IF(ISNUMBER($I24),INDIRECT(ADDRESS(3+($I24-1)*6,COLUMN(EleData!DK$1),,,"EleData")),"")</f>
        <v/>
      </c>
      <c r="O24" s="295" t="str">
        <f ca="1">IF(ISNUMBER($I24),INDIRECT(ADDRESS(3+($I24-1)*6,COLUMN(EleData!DL$1),,,"EleData")),"")</f>
        <v/>
      </c>
      <c r="P24" s="295" t="str">
        <f ca="1">IF(ISNUMBER($I24),INDIRECT(ADDRESS(3+($I24-1)*6,COLUMN(EleData!DM$1),,,"EleData")),"")</f>
        <v/>
      </c>
      <c r="Q24" s="295" t="str">
        <f ca="1">IF(ISNUMBER($I24),INDIRECT(ADDRESS(3+($I24-1)*6,COLUMN(EleData!DN$1),,,"EleData")),"")</f>
        <v/>
      </c>
      <c r="R24" s="295" t="str">
        <f ca="1">IF(ISNUMBER($I24),INDIRECT(ADDRESS(3+($I24-1)*6,COLUMN(EleData!DO$1),,,"EleData")),"")</f>
        <v/>
      </c>
      <c r="S24" s="295" t="str">
        <f ca="1">IF(ISNUMBER($I24),INDIRECT(ADDRESS(3+($I24-1)*6,COLUMN(EleData!DP$1),,,"EleData")),"")</f>
        <v/>
      </c>
      <c r="T24" s="219" t="str">
        <f ca="1">IF(ISNUMBER($I24),INDIRECT(ADDRESS(3+($I24-1)*6,COLUMN(EleData!DQ$1),,,"EleData")),"")</f>
        <v/>
      </c>
      <c r="X24" s="12"/>
    </row>
    <row r="25" spans="1:24" x14ac:dyDescent="0.2">
      <c r="A25" s="12"/>
      <c r="B25" s="12"/>
      <c r="C25" s="12"/>
      <c r="D25" s="12"/>
      <c r="E25" s="12"/>
      <c r="F25" s="12"/>
      <c r="G25" s="12"/>
      <c r="H25" s="12"/>
      <c r="I25" s="12"/>
      <c r="J25" s="12"/>
      <c r="K25" s="12"/>
      <c r="L25" s="12"/>
      <c r="M25" s="12"/>
      <c r="N25" s="12"/>
      <c r="X25" s="12"/>
    </row>
    <row r="26" spans="1:24" x14ac:dyDescent="0.2">
      <c r="M26" s="12"/>
      <c r="X26" s="12"/>
    </row>
    <row r="27" spans="1:24" x14ac:dyDescent="0.2">
      <c r="X27" s="12"/>
    </row>
    <row r="28" spans="1:24" x14ac:dyDescent="0.2">
      <c r="X28" s="12"/>
    </row>
    <row r="29" spans="1:24" x14ac:dyDescent="0.2">
      <c r="M29" s="12"/>
      <c r="X29" s="12"/>
    </row>
    <row r="30" spans="1:24" x14ac:dyDescent="0.2">
      <c r="M30" s="12"/>
      <c r="X30" s="12"/>
    </row>
    <row r="36" spans="2:3" x14ac:dyDescent="0.2">
      <c r="B36" s="12"/>
      <c r="C36" s="12"/>
    </row>
    <row r="73" spans="1:30" x14ac:dyDescent="0.2">
      <c r="A73">
        <v>1</v>
      </c>
      <c r="B73">
        <v>2</v>
      </c>
      <c r="C73">
        <v>3</v>
      </c>
      <c r="D73">
        <v>4</v>
      </c>
      <c r="E73">
        <v>5</v>
      </c>
      <c r="F73">
        <v>6</v>
      </c>
      <c r="G73">
        <v>7</v>
      </c>
      <c r="H73">
        <v>8</v>
      </c>
      <c r="I73">
        <v>9</v>
      </c>
      <c r="J73">
        <v>10</v>
      </c>
      <c r="K73">
        <v>11</v>
      </c>
      <c r="L73">
        <v>12</v>
      </c>
      <c r="M73">
        <v>13</v>
      </c>
      <c r="N73">
        <v>14</v>
      </c>
      <c r="O73">
        <v>15</v>
      </c>
      <c r="P73">
        <v>16</v>
      </c>
      <c r="Q73">
        <v>17</v>
      </c>
      <c r="R73">
        <v>18</v>
      </c>
      <c r="S73">
        <v>19</v>
      </c>
      <c r="T73">
        <v>20</v>
      </c>
      <c r="U73">
        <v>21</v>
      </c>
      <c r="V73">
        <v>22</v>
      </c>
      <c r="W73">
        <v>23</v>
      </c>
      <c r="X73">
        <v>24</v>
      </c>
      <c r="Y73">
        <v>25</v>
      </c>
      <c r="Z73">
        <v>26</v>
      </c>
      <c r="AA73">
        <v>27</v>
      </c>
      <c r="AB73">
        <v>28</v>
      </c>
      <c r="AC73">
        <v>29</v>
      </c>
      <c r="AD73">
        <v>30</v>
      </c>
    </row>
    <row r="79" spans="1:30" x14ac:dyDescent="0.2">
      <c r="A79">
        <f>IF(ISBLANK(System!B2),"",System!B2)</f>
        <v>1</v>
      </c>
      <c r="B79" t="str">
        <f t="shared" ref="B79:B98" si="1">IF(A2="","",B2)</f>
        <v/>
      </c>
      <c r="C79">
        <f t="array" ref="C79:AD79">IF(A2="",0,GlobBendMom(B2,System!C2:D2,System!K2:L2,System!M2:N2,System!E2:I2,#REF!))</f>
        <v>0</v>
      </c>
      <c r="D79">
        <v>0</v>
      </c>
      <c r="E79">
        <v>0</v>
      </c>
      <c r="F79">
        <v>0</v>
      </c>
      <c r="G79">
        <v>0</v>
      </c>
      <c r="H79">
        <v>0</v>
      </c>
      <c r="I79">
        <v>0</v>
      </c>
      <c r="J79">
        <v>0</v>
      </c>
      <c r="K79">
        <v>0</v>
      </c>
      <c r="L79">
        <v>0</v>
      </c>
      <c r="M79" s="12">
        <v>0</v>
      </c>
      <c r="N79">
        <v>0</v>
      </c>
      <c r="O79">
        <v>0</v>
      </c>
      <c r="P79" s="30">
        <v>0</v>
      </c>
      <c r="Q79">
        <v>0</v>
      </c>
      <c r="R79">
        <v>0</v>
      </c>
      <c r="S79">
        <v>0</v>
      </c>
      <c r="T79">
        <v>0</v>
      </c>
      <c r="U79">
        <v>0</v>
      </c>
      <c r="V79">
        <v>0</v>
      </c>
      <c r="W79">
        <v>0</v>
      </c>
      <c r="X79" s="12">
        <v>0</v>
      </c>
      <c r="Y79">
        <v>0</v>
      </c>
      <c r="Z79">
        <v>0</v>
      </c>
      <c r="AA79">
        <v>0</v>
      </c>
      <c r="AB79">
        <v>0</v>
      </c>
      <c r="AC79">
        <v>0</v>
      </c>
      <c r="AD79" s="30">
        <v>0</v>
      </c>
    </row>
    <row r="80" spans="1:30" x14ac:dyDescent="0.2">
      <c r="A80">
        <f>IF(ISBLANK(System!B3),"",System!B3)</f>
        <v>2</v>
      </c>
      <c r="B80" t="str">
        <f t="shared" si="1"/>
        <v/>
      </c>
      <c r="C80">
        <f t="array" ref="C80:AD80">IF(A3="",0,GlobBendMom(B3,System!C3:D3,System!K3:L3,System!M3:N3,System!E3:I3,#REF!))</f>
        <v>0</v>
      </c>
      <c r="D80">
        <v>0</v>
      </c>
      <c r="E80">
        <v>0</v>
      </c>
      <c r="F80">
        <v>0</v>
      </c>
      <c r="G80">
        <v>0</v>
      </c>
      <c r="H80">
        <v>0</v>
      </c>
      <c r="I80">
        <v>0</v>
      </c>
      <c r="J80">
        <v>0</v>
      </c>
      <c r="K80">
        <v>0</v>
      </c>
      <c r="L80">
        <v>0</v>
      </c>
      <c r="M80" s="12">
        <v>0</v>
      </c>
      <c r="N80">
        <v>0</v>
      </c>
      <c r="O80">
        <v>0</v>
      </c>
      <c r="P80" s="30">
        <v>0</v>
      </c>
      <c r="Q80">
        <v>0</v>
      </c>
      <c r="R80">
        <v>0</v>
      </c>
      <c r="S80">
        <v>0</v>
      </c>
      <c r="T80">
        <v>0</v>
      </c>
      <c r="U80">
        <v>0</v>
      </c>
      <c r="V80">
        <v>0</v>
      </c>
      <c r="W80">
        <v>0</v>
      </c>
      <c r="X80" s="12">
        <v>0</v>
      </c>
      <c r="Y80">
        <v>0</v>
      </c>
      <c r="Z80">
        <v>0</v>
      </c>
      <c r="AA80">
        <v>0</v>
      </c>
      <c r="AB80">
        <v>0</v>
      </c>
      <c r="AC80">
        <v>0</v>
      </c>
      <c r="AD80" s="30">
        <v>0</v>
      </c>
    </row>
    <row r="81" spans="1:30" x14ac:dyDescent="0.2">
      <c r="A81">
        <f>IF(ISBLANK(System!B4),"",System!B4)</f>
        <v>3</v>
      </c>
      <c r="B81" t="str">
        <f t="shared" si="1"/>
        <v/>
      </c>
      <c r="C81">
        <f t="array" ref="C81:AD81">IF(A4="",0,GlobBendMom(B4,System!C4:D4,System!K4:L4,System!M4:N4,System!E4:I4,#REF!))</f>
        <v>0</v>
      </c>
      <c r="D81">
        <v>0</v>
      </c>
      <c r="E81">
        <v>0</v>
      </c>
      <c r="F81">
        <v>0</v>
      </c>
      <c r="G81">
        <v>0</v>
      </c>
      <c r="H81">
        <v>0</v>
      </c>
      <c r="I81">
        <v>0</v>
      </c>
      <c r="J81">
        <v>0</v>
      </c>
      <c r="K81">
        <v>0</v>
      </c>
      <c r="L81">
        <v>0</v>
      </c>
      <c r="M81" s="12">
        <v>0</v>
      </c>
      <c r="N81">
        <v>0</v>
      </c>
      <c r="O81">
        <v>0</v>
      </c>
      <c r="P81" s="30">
        <v>0</v>
      </c>
      <c r="Q81">
        <v>0</v>
      </c>
      <c r="R81">
        <v>0</v>
      </c>
      <c r="S81">
        <v>0</v>
      </c>
      <c r="T81">
        <v>0</v>
      </c>
      <c r="U81">
        <v>0</v>
      </c>
      <c r="V81">
        <v>0</v>
      </c>
      <c r="W81">
        <v>0</v>
      </c>
      <c r="X81" s="12">
        <v>0</v>
      </c>
      <c r="Y81">
        <v>0</v>
      </c>
      <c r="Z81">
        <v>0</v>
      </c>
      <c r="AA81">
        <v>0</v>
      </c>
      <c r="AB81">
        <v>0</v>
      </c>
      <c r="AC81">
        <v>0</v>
      </c>
      <c r="AD81" s="30">
        <v>0</v>
      </c>
    </row>
    <row r="82" spans="1:30" x14ac:dyDescent="0.2">
      <c r="A82">
        <f>IF(ISBLANK(System!B5),"",System!B5)</f>
        <v>4</v>
      </c>
      <c r="B82" t="str">
        <f t="shared" si="1"/>
        <v/>
      </c>
      <c r="C82">
        <f t="array" ref="C82:AD82">IF(A5="",0,GlobBendMom(B5,System!C5:D5,System!K5:L5,System!M5:N5,System!E5:I5,#REF!))</f>
        <v>0</v>
      </c>
      <c r="D82">
        <v>0</v>
      </c>
      <c r="E82">
        <v>0</v>
      </c>
      <c r="F82">
        <v>0</v>
      </c>
      <c r="G82">
        <v>0</v>
      </c>
      <c r="H82">
        <v>0</v>
      </c>
      <c r="I82">
        <v>0</v>
      </c>
      <c r="J82">
        <v>0</v>
      </c>
      <c r="K82">
        <v>0</v>
      </c>
      <c r="L82">
        <v>0</v>
      </c>
      <c r="M82" s="12">
        <v>0</v>
      </c>
      <c r="N82">
        <v>0</v>
      </c>
      <c r="O82">
        <v>0</v>
      </c>
      <c r="P82" s="30">
        <v>0</v>
      </c>
      <c r="Q82">
        <v>0</v>
      </c>
      <c r="R82">
        <v>0</v>
      </c>
      <c r="S82">
        <v>0</v>
      </c>
      <c r="T82">
        <v>0</v>
      </c>
      <c r="U82">
        <v>0</v>
      </c>
      <c r="V82">
        <v>0</v>
      </c>
      <c r="W82">
        <v>0</v>
      </c>
      <c r="X82" s="12">
        <v>0</v>
      </c>
      <c r="Y82">
        <v>0</v>
      </c>
      <c r="Z82">
        <v>0</v>
      </c>
      <c r="AA82">
        <v>0</v>
      </c>
      <c r="AB82">
        <v>0</v>
      </c>
      <c r="AC82">
        <v>0</v>
      </c>
      <c r="AD82" s="30">
        <v>0</v>
      </c>
    </row>
    <row r="83" spans="1:30" x14ac:dyDescent="0.2">
      <c r="A83">
        <f>IF(ISBLANK(System!B6),"",System!B6)</f>
        <v>5</v>
      </c>
      <c r="B83" t="str">
        <f t="shared" si="1"/>
        <v/>
      </c>
      <c r="C83">
        <f t="array" ref="C83:AD83">IF(A6="",0,GlobBendMom(B6,System!C6:D6,System!K6:L6,System!M6:N6,System!E6:I6,#REF!))</f>
        <v>0</v>
      </c>
      <c r="D83">
        <v>0</v>
      </c>
      <c r="E83">
        <v>0</v>
      </c>
      <c r="F83">
        <v>0</v>
      </c>
      <c r="G83">
        <v>0</v>
      </c>
      <c r="H83">
        <v>0</v>
      </c>
      <c r="I83">
        <v>0</v>
      </c>
      <c r="J83">
        <v>0</v>
      </c>
      <c r="K83">
        <v>0</v>
      </c>
      <c r="L83">
        <v>0</v>
      </c>
      <c r="M83" s="12">
        <v>0</v>
      </c>
      <c r="N83">
        <v>0</v>
      </c>
      <c r="O83">
        <v>0</v>
      </c>
      <c r="P83" s="30">
        <v>0</v>
      </c>
      <c r="Q83">
        <v>0</v>
      </c>
      <c r="R83">
        <v>0</v>
      </c>
      <c r="S83">
        <v>0</v>
      </c>
      <c r="T83">
        <v>0</v>
      </c>
      <c r="U83">
        <v>0</v>
      </c>
      <c r="V83">
        <v>0</v>
      </c>
      <c r="W83">
        <v>0</v>
      </c>
      <c r="X83" s="12">
        <v>0</v>
      </c>
      <c r="Y83">
        <v>0</v>
      </c>
      <c r="Z83">
        <v>0</v>
      </c>
      <c r="AA83">
        <v>0</v>
      </c>
      <c r="AB83">
        <v>0</v>
      </c>
      <c r="AC83">
        <v>0</v>
      </c>
      <c r="AD83" s="30">
        <v>0</v>
      </c>
    </row>
    <row r="84" spans="1:30" x14ac:dyDescent="0.2">
      <c r="A84">
        <f>IF(ISBLANK(System!B7),"",System!B7)</f>
        <v>6</v>
      </c>
      <c r="B84" t="str">
        <f t="shared" si="1"/>
        <v/>
      </c>
      <c r="C84">
        <f t="array" ref="C84:AD84">IF(A7="",0,GlobBendMom(B7,System!C7:D7,System!K7:L7,System!M7:N7,System!E7:I7,#REF!))</f>
        <v>0</v>
      </c>
      <c r="D84">
        <v>0</v>
      </c>
      <c r="E84">
        <v>0</v>
      </c>
      <c r="F84">
        <v>0</v>
      </c>
      <c r="G84">
        <v>0</v>
      </c>
      <c r="H84">
        <v>0</v>
      </c>
      <c r="I84">
        <v>0</v>
      </c>
      <c r="J84">
        <v>0</v>
      </c>
      <c r="K84">
        <v>0</v>
      </c>
      <c r="L84">
        <v>0</v>
      </c>
      <c r="M84" s="12">
        <v>0</v>
      </c>
      <c r="N84">
        <v>0</v>
      </c>
      <c r="O84">
        <v>0</v>
      </c>
      <c r="P84" s="30">
        <v>0</v>
      </c>
      <c r="Q84">
        <v>0</v>
      </c>
      <c r="R84">
        <v>0</v>
      </c>
      <c r="S84">
        <v>0</v>
      </c>
      <c r="T84">
        <v>0</v>
      </c>
      <c r="U84">
        <v>0</v>
      </c>
      <c r="V84">
        <v>0</v>
      </c>
      <c r="W84">
        <v>0</v>
      </c>
      <c r="X84" s="12">
        <v>0</v>
      </c>
      <c r="Y84">
        <v>0</v>
      </c>
      <c r="Z84">
        <v>0</v>
      </c>
      <c r="AA84">
        <v>0</v>
      </c>
      <c r="AB84">
        <v>0</v>
      </c>
      <c r="AC84">
        <v>0</v>
      </c>
      <c r="AD84" s="30">
        <v>0</v>
      </c>
    </row>
    <row r="85" spans="1:30" x14ac:dyDescent="0.2">
      <c r="A85">
        <f>IF(ISBLANK(System!B8),"",System!B8)</f>
        <v>7</v>
      </c>
      <c r="B85" t="str">
        <f t="shared" si="1"/>
        <v/>
      </c>
      <c r="C85">
        <f t="array" ref="C85:AD85">IF(A8="",0,GlobBendMom(B8,System!C8:D8,System!K8:L8,System!M8:N8,System!E8:I8,#REF!))</f>
        <v>0</v>
      </c>
      <c r="D85">
        <v>0</v>
      </c>
      <c r="E85">
        <v>0</v>
      </c>
      <c r="F85">
        <v>0</v>
      </c>
      <c r="G85">
        <v>0</v>
      </c>
      <c r="H85">
        <v>0</v>
      </c>
      <c r="I85">
        <v>0</v>
      </c>
      <c r="J85">
        <v>0</v>
      </c>
      <c r="K85">
        <v>0</v>
      </c>
      <c r="L85">
        <v>0</v>
      </c>
      <c r="M85" s="12">
        <v>0</v>
      </c>
      <c r="N85">
        <v>0</v>
      </c>
      <c r="O85">
        <v>0</v>
      </c>
      <c r="P85" s="30">
        <v>0</v>
      </c>
      <c r="Q85">
        <v>0</v>
      </c>
      <c r="R85">
        <v>0</v>
      </c>
      <c r="S85">
        <v>0</v>
      </c>
      <c r="T85">
        <v>0</v>
      </c>
      <c r="U85">
        <v>0</v>
      </c>
      <c r="V85">
        <v>0</v>
      </c>
      <c r="W85">
        <v>0</v>
      </c>
      <c r="X85" s="12">
        <v>0</v>
      </c>
      <c r="Y85">
        <v>0</v>
      </c>
      <c r="Z85">
        <v>0</v>
      </c>
      <c r="AA85">
        <v>0</v>
      </c>
      <c r="AB85">
        <v>0</v>
      </c>
      <c r="AC85">
        <v>0</v>
      </c>
      <c r="AD85" s="30">
        <v>0</v>
      </c>
    </row>
    <row r="86" spans="1:30" x14ac:dyDescent="0.2">
      <c r="A86">
        <f>IF(ISBLANK(System!B9),"",System!B9)</f>
        <v>8</v>
      </c>
      <c r="B86" t="str">
        <f t="shared" si="1"/>
        <v/>
      </c>
      <c r="C86">
        <f t="array" ref="C86:AD86">IF(A9="",0,GlobBendMom(B9,System!C9:D9,System!K9:L9,System!M9:N9,System!E9:I9,#REF!))</f>
        <v>0</v>
      </c>
      <c r="D86">
        <v>0</v>
      </c>
      <c r="E86">
        <v>0</v>
      </c>
      <c r="F86">
        <v>0</v>
      </c>
      <c r="G86">
        <v>0</v>
      </c>
      <c r="H86">
        <v>0</v>
      </c>
      <c r="I86">
        <v>0</v>
      </c>
      <c r="J86">
        <v>0</v>
      </c>
      <c r="K86">
        <v>0</v>
      </c>
      <c r="L86">
        <v>0</v>
      </c>
      <c r="M86" s="12">
        <v>0</v>
      </c>
      <c r="N86">
        <v>0</v>
      </c>
      <c r="O86">
        <v>0</v>
      </c>
      <c r="P86" s="30">
        <v>0</v>
      </c>
      <c r="Q86">
        <v>0</v>
      </c>
      <c r="R86">
        <v>0</v>
      </c>
      <c r="S86">
        <v>0</v>
      </c>
      <c r="T86">
        <v>0</v>
      </c>
      <c r="U86">
        <v>0</v>
      </c>
      <c r="V86">
        <v>0</v>
      </c>
      <c r="W86">
        <v>0</v>
      </c>
      <c r="X86" s="12">
        <v>0</v>
      </c>
      <c r="Y86">
        <v>0</v>
      </c>
      <c r="Z86">
        <v>0</v>
      </c>
      <c r="AA86">
        <v>0</v>
      </c>
      <c r="AB86">
        <v>0</v>
      </c>
      <c r="AC86">
        <v>0</v>
      </c>
      <c r="AD86" s="30">
        <v>0</v>
      </c>
    </row>
    <row r="87" spans="1:30" x14ac:dyDescent="0.2">
      <c r="A87">
        <f>IF(ISBLANK(System!B10),"",System!B10)</f>
        <v>9</v>
      </c>
      <c r="B87" t="str">
        <f t="shared" si="1"/>
        <v/>
      </c>
      <c r="C87">
        <f t="array" ref="C87:AD87">IF(A10="",0,GlobBendMom(B10,System!C10:D10,System!K10:L10,System!M10:N10,System!E10:I10,#REF!))</f>
        <v>0</v>
      </c>
      <c r="D87">
        <v>0</v>
      </c>
      <c r="E87">
        <v>0</v>
      </c>
      <c r="F87">
        <v>0</v>
      </c>
      <c r="G87">
        <v>0</v>
      </c>
      <c r="H87">
        <v>0</v>
      </c>
      <c r="I87">
        <v>0</v>
      </c>
      <c r="J87">
        <v>0</v>
      </c>
      <c r="K87">
        <v>0</v>
      </c>
      <c r="L87">
        <v>0</v>
      </c>
      <c r="M87" s="12">
        <v>0</v>
      </c>
      <c r="N87">
        <v>0</v>
      </c>
      <c r="O87">
        <v>0</v>
      </c>
      <c r="P87" s="30">
        <v>0</v>
      </c>
      <c r="Q87">
        <v>0</v>
      </c>
      <c r="R87">
        <v>0</v>
      </c>
      <c r="S87">
        <v>0</v>
      </c>
      <c r="T87">
        <v>0</v>
      </c>
      <c r="U87">
        <v>0</v>
      </c>
      <c r="V87">
        <v>0</v>
      </c>
      <c r="W87">
        <v>0</v>
      </c>
      <c r="X87" s="12">
        <v>0</v>
      </c>
      <c r="Y87">
        <v>0</v>
      </c>
      <c r="Z87">
        <v>0</v>
      </c>
      <c r="AA87">
        <v>0</v>
      </c>
      <c r="AB87">
        <v>0</v>
      </c>
      <c r="AC87">
        <v>0</v>
      </c>
      <c r="AD87" s="30">
        <v>0</v>
      </c>
    </row>
    <row r="88" spans="1:30" x14ac:dyDescent="0.2">
      <c r="A88">
        <f>IF(ISBLANK(System!B11),"",System!B11)</f>
        <v>10</v>
      </c>
      <c r="B88" t="str">
        <f t="shared" si="1"/>
        <v/>
      </c>
      <c r="C88">
        <f t="array" ref="C88:AD88">IF(A11="",0,GlobBendMom(B11,System!C11:D11,System!K11:L11,System!M11:N11,System!E11:I11,#REF!))</f>
        <v>0</v>
      </c>
      <c r="D88">
        <v>0</v>
      </c>
      <c r="E88">
        <v>0</v>
      </c>
      <c r="F88">
        <v>0</v>
      </c>
      <c r="G88">
        <v>0</v>
      </c>
      <c r="H88">
        <v>0</v>
      </c>
      <c r="I88">
        <v>0</v>
      </c>
      <c r="J88">
        <v>0</v>
      </c>
      <c r="K88">
        <v>0</v>
      </c>
      <c r="L88">
        <v>0</v>
      </c>
      <c r="M88" s="12">
        <v>0</v>
      </c>
      <c r="N88">
        <v>0</v>
      </c>
      <c r="O88">
        <v>0</v>
      </c>
      <c r="P88" s="30">
        <v>0</v>
      </c>
      <c r="Q88">
        <v>0</v>
      </c>
      <c r="R88">
        <v>0</v>
      </c>
      <c r="S88">
        <v>0</v>
      </c>
      <c r="T88">
        <v>0</v>
      </c>
      <c r="U88">
        <v>0</v>
      </c>
      <c r="V88">
        <v>0</v>
      </c>
      <c r="W88">
        <v>0</v>
      </c>
      <c r="X88" s="12">
        <v>0</v>
      </c>
      <c r="Y88">
        <v>0</v>
      </c>
      <c r="Z88">
        <v>0</v>
      </c>
      <c r="AA88">
        <v>0</v>
      </c>
      <c r="AB88">
        <v>0</v>
      </c>
      <c r="AC88">
        <v>0</v>
      </c>
      <c r="AD88" s="30">
        <v>0</v>
      </c>
    </row>
    <row r="89" spans="1:30" x14ac:dyDescent="0.2">
      <c r="A89">
        <f>IF(ISBLANK(System!B12),"",System!B12)</f>
        <v>11</v>
      </c>
      <c r="B89" t="str">
        <f t="shared" si="1"/>
        <v/>
      </c>
      <c r="C89">
        <f t="array" ref="C89:AD89">IF(A12="",0,GlobBendMom(B12,System!C12:D12,System!K12:L12,System!M12:N12,System!E12:I12,#REF!))</f>
        <v>0</v>
      </c>
      <c r="D89">
        <v>0</v>
      </c>
      <c r="E89">
        <v>0</v>
      </c>
      <c r="F89">
        <v>0</v>
      </c>
      <c r="G89">
        <v>0</v>
      </c>
      <c r="H89">
        <v>0</v>
      </c>
      <c r="I89">
        <v>0</v>
      </c>
      <c r="J89">
        <v>0</v>
      </c>
      <c r="K89">
        <v>0</v>
      </c>
      <c r="L89">
        <v>0</v>
      </c>
      <c r="M89" s="12">
        <v>0</v>
      </c>
      <c r="N89">
        <v>0</v>
      </c>
      <c r="O89">
        <v>0</v>
      </c>
      <c r="P89" s="30">
        <v>0</v>
      </c>
      <c r="Q89">
        <v>0</v>
      </c>
      <c r="R89">
        <v>0</v>
      </c>
      <c r="S89">
        <v>0</v>
      </c>
      <c r="T89">
        <v>0</v>
      </c>
      <c r="U89">
        <v>0</v>
      </c>
      <c r="V89">
        <v>0</v>
      </c>
      <c r="W89">
        <v>0</v>
      </c>
      <c r="X89" s="12">
        <v>0</v>
      </c>
      <c r="Y89">
        <v>0</v>
      </c>
      <c r="Z89">
        <v>0</v>
      </c>
      <c r="AA89">
        <v>0</v>
      </c>
      <c r="AB89">
        <v>0</v>
      </c>
      <c r="AC89">
        <v>0</v>
      </c>
      <c r="AD89" s="30">
        <v>0</v>
      </c>
    </row>
    <row r="90" spans="1:30" x14ac:dyDescent="0.2">
      <c r="A90">
        <f>IF(ISBLANK(System!B13),"",System!B13)</f>
        <v>12</v>
      </c>
      <c r="B90" t="str">
        <f t="shared" si="1"/>
        <v/>
      </c>
      <c r="C90">
        <f t="array" ref="C90:AD90">IF(A13="",0,GlobBendMom(B13,System!C13:D13,System!K13:L13,System!M13:N13,System!E13:I13,#REF!))</f>
        <v>0</v>
      </c>
      <c r="D90">
        <v>0</v>
      </c>
      <c r="E90">
        <v>0</v>
      </c>
      <c r="F90">
        <v>0</v>
      </c>
      <c r="G90">
        <v>0</v>
      </c>
      <c r="H90">
        <v>0</v>
      </c>
      <c r="I90">
        <v>0</v>
      </c>
      <c r="J90">
        <v>0</v>
      </c>
      <c r="K90">
        <v>0</v>
      </c>
      <c r="L90">
        <v>0</v>
      </c>
      <c r="M90" s="12">
        <v>0</v>
      </c>
      <c r="N90">
        <v>0</v>
      </c>
      <c r="O90">
        <v>0</v>
      </c>
      <c r="P90" s="30">
        <v>0</v>
      </c>
      <c r="Q90">
        <v>0</v>
      </c>
      <c r="R90">
        <v>0</v>
      </c>
      <c r="S90">
        <v>0</v>
      </c>
      <c r="T90">
        <v>0</v>
      </c>
      <c r="U90">
        <v>0</v>
      </c>
      <c r="V90">
        <v>0</v>
      </c>
      <c r="W90">
        <v>0</v>
      </c>
      <c r="X90" s="12">
        <v>0</v>
      </c>
      <c r="Y90">
        <v>0</v>
      </c>
      <c r="Z90">
        <v>0</v>
      </c>
      <c r="AA90">
        <v>0</v>
      </c>
      <c r="AB90">
        <v>0</v>
      </c>
      <c r="AC90">
        <v>0</v>
      </c>
      <c r="AD90" s="30">
        <v>0</v>
      </c>
    </row>
    <row r="91" spans="1:30" x14ac:dyDescent="0.2">
      <c r="A91">
        <f>IF(ISBLANK(System!B14),"",System!B14)</f>
        <v>13</v>
      </c>
      <c r="B91" t="str">
        <f t="shared" si="1"/>
        <v/>
      </c>
      <c r="C91">
        <f t="array" ref="C91:AD91">IF(A14="",0,GlobBendMom(B14,System!C14:D14,System!K14:L14,System!M14:N14,System!E14:I14,#REF!))</f>
        <v>0</v>
      </c>
      <c r="D91">
        <v>0</v>
      </c>
      <c r="E91">
        <v>0</v>
      </c>
      <c r="F91">
        <v>0</v>
      </c>
      <c r="G91">
        <v>0</v>
      </c>
      <c r="H91">
        <v>0</v>
      </c>
      <c r="I91">
        <v>0</v>
      </c>
      <c r="J91">
        <v>0</v>
      </c>
      <c r="K91">
        <v>0</v>
      </c>
      <c r="L91">
        <v>0</v>
      </c>
      <c r="M91" s="12">
        <v>0</v>
      </c>
      <c r="N91">
        <v>0</v>
      </c>
      <c r="O91">
        <v>0</v>
      </c>
      <c r="P91" s="30">
        <v>0</v>
      </c>
      <c r="Q91">
        <v>0</v>
      </c>
      <c r="R91">
        <v>0</v>
      </c>
      <c r="S91">
        <v>0</v>
      </c>
      <c r="T91">
        <v>0</v>
      </c>
      <c r="U91">
        <v>0</v>
      </c>
      <c r="V91">
        <v>0</v>
      </c>
      <c r="W91">
        <v>0</v>
      </c>
      <c r="X91" s="12">
        <v>0</v>
      </c>
      <c r="Y91">
        <v>0</v>
      </c>
      <c r="Z91">
        <v>0</v>
      </c>
      <c r="AA91">
        <v>0</v>
      </c>
      <c r="AB91">
        <v>0</v>
      </c>
      <c r="AC91">
        <v>0</v>
      </c>
      <c r="AD91" s="30">
        <v>0</v>
      </c>
    </row>
    <row r="92" spans="1:30" x14ac:dyDescent="0.2">
      <c r="A92">
        <f>IF(ISBLANK(System!B15),"",System!B15)</f>
        <v>14</v>
      </c>
      <c r="B92" t="str">
        <f t="shared" si="1"/>
        <v/>
      </c>
      <c r="C92">
        <f t="array" ref="C92:AD92">IF(A15="",0,GlobBendMom(B15,System!C15:D15,System!K15:L15,System!M15:N15,System!E15:I15,#REF!))</f>
        <v>0</v>
      </c>
      <c r="D92">
        <v>0</v>
      </c>
      <c r="E92">
        <v>0</v>
      </c>
      <c r="F92">
        <v>0</v>
      </c>
      <c r="G92">
        <v>0</v>
      </c>
      <c r="H92">
        <v>0</v>
      </c>
      <c r="I92">
        <v>0</v>
      </c>
      <c r="J92">
        <v>0</v>
      </c>
      <c r="K92">
        <v>0</v>
      </c>
      <c r="L92">
        <v>0</v>
      </c>
      <c r="M92" s="12">
        <v>0</v>
      </c>
      <c r="N92">
        <v>0</v>
      </c>
      <c r="O92">
        <v>0</v>
      </c>
      <c r="P92" s="30">
        <v>0</v>
      </c>
      <c r="Q92">
        <v>0</v>
      </c>
      <c r="R92">
        <v>0</v>
      </c>
      <c r="S92">
        <v>0</v>
      </c>
      <c r="T92">
        <v>0</v>
      </c>
      <c r="U92">
        <v>0</v>
      </c>
      <c r="V92">
        <v>0</v>
      </c>
      <c r="W92">
        <v>0</v>
      </c>
      <c r="X92" s="12">
        <v>0</v>
      </c>
      <c r="Y92">
        <v>0</v>
      </c>
      <c r="Z92">
        <v>0</v>
      </c>
      <c r="AA92">
        <v>0</v>
      </c>
      <c r="AB92">
        <v>0</v>
      </c>
      <c r="AC92">
        <v>0</v>
      </c>
      <c r="AD92" s="30">
        <v>0</v>
      </c>
    </row>
    <row r="93" spans="1:30" x14ac:dyDescent="0.2">
      <c r="A93">
        <f>IF(ISBLANK(System!B16),"",System!B16)</f>
        <v>15</v>
      </c>
      <c r="B93" t="str">
        <f t="shared" si="1"/>
        <v/>
      </c>
      <c r="C93">
        <f t="array" ref="C93:AD93">IF(A16="",0,GlobBendMom(B16,System!C16:D16,System!K16:L16,System!M16:N16,System!E16:I16,#REF!))</f>
        <v>0</v>
      </c>
      <c r="D93">
        <v>0</v>
      </c>
      <c r="E93">
        <v>0</v>
      </c>
      <c r="F93">
        <v>0</v>
      </c>
      <c r="G93">
        <v>0</v>
      </c>
      <c r="H93">
        <v>0</v>
      </c>
      <c r="I93">
        <v>0</v>
      </c>
      <c r="J93">
        <v>0</v>
      </c>
      <c r="K93">
        <v>0</v>
      </c>
      <c r="L93">
        <v>0</v>
      </c>
      <c r="M93" s="12">
        <v>0</v>
      </c>
      <c r="N93">
        <v>0</v>
      </c>
      <c r="O93">
        <v>0</v>
      </c>
      <c r="P93" s="30">
        <v>0</v>
      </c>
      <c r="Q93">
        <v>0</v>
      </c>
      <c r="R93">
        <v>0</v>
      </c>
      <c r="S93">
        <v>0</v>
      </c>
      <c r="T93">
        <v>0</v>
      </c>
      <c r="U93">
        <v>0</v>
      </c>
      <c r="V93">
        <v>0</v>
      </c>
      <c r="W93">
        <v>0</v>
      </c>
      <c r="X93" s="12">
        <v>0</v>
      </c>
      <c r="Y93">
        <v>0</v>
      </c>
      <c r="Z93">
        <v>0</v>
      </c>
      <c r="AA93">
        <v>0</v>
      </c>
      <c r="AB93">
        <v>0</v>
      </c>
      <c r="AC93">
        <v>0</v>
      </c>
      <c r="AD93" s="30">
        <v>0</v>
      </c>
    </row>
    <row r="94" spans="1:30" x14ac:dyDescent="0.2">
      <c r="A94">
        <f>IF(ISBLANK(System!B17),"",System!B17)</f>
        <v>16</v>
      </c>
      <c r="B94" t="str">
        <f t="shared" si="1"/>
        <v/>
      </c>
      <c r="C94">
        <f t="array" ref="C94:AD94">IF(A17="",0,GlobBendMom(B17,System!C17:D17,System!K17:L17,System!M17:N17,System!E17:I17,#REF!))</f>
        <v>0</v>
      </c>
      <c r="D94">
        <v>0</v>
      </c>
      <c r="E94">
        <v>0</v>
      </c>
      <c r="F94">
        <v>0</v>
      </c>
      <c r="G94">
        <v>0</v>
      </c>
      <c r="H94">
        <v>0</v>
      </c>
      <c r="I94">
        <v>0</v>
      </c>
      <c r="J94">
        <v>0</v>
      </c>
      <c r="K94">
        <v>0</v>
      </c>
      <c r="L94">
        <v>0</v>
      </c>
      <c r="M94" s="12">
        <v>0</v>
      </c>
      <c r="N94">
        <v>0</v>
      </c>
      <c r="O94">
        <v>0</v>
      </c>
      <c r="P94" s="30">
        <v>0</v>
      </c>
      <c r="Q94">
        <v>0</v>
      </c>
      <c r="R94">
        <v>0</v>
      </c>
      <c r="S94">
        <v>0</v>
      </c>
      <c r="T94">
        <v>0</v>
      </c>
      <c r="U94">
        <v>0</v>
      </c>
      <c r="V94">
        <v>0</v>
      </c>
      <c r="W94">
        <v>0</v>
      </c>
      <c r="X94" s="12">
        <v>0</v>
      </c>
      <c r="Y94">
        <v>0</v>
      </c>
      <c r="Z94">
        <v>0</v>
      </c>
      <c r="AA94">
        <v>0</v>
      </c>
      <c r="AB94">
        <v>0</v>
      </c>
      <c r="AC94">
        <v>0</v>
      </c>
      <c r="AD94" s="30">
        <v>0</v>
      </c>
    </row>
    <row r="95" spans="1:30" x14ac:dyDescent="0.2">
      <c r="A95">
        <f>IF(ISBLANK(System!B18),"",System!B18)</f>
        <v>17</v>
      </c>
      <c r="B95" t="str">
        <f t="shared" si="1"/>
        <v/>
      </c>
      <c r="C95">
        <f t="array" ref="C95:AD95">IF(A18="",0,GlobBendMom(B18,System!C18:D18,System!K18:L18,System!M18:N18,System!E18:I18,#REF!))</f>
        <v>0</v>
      </c>
      <c r="D95">
        <v>0</v>
      </c>
      <c r="E95">
        <v>0</v>
      </c>
      <c r="F95">
        <v>0</v>
      </c>
      <c r="G95">
        <v>0</v>
      </c>
      <c r="H95">
        <v>0</v>
      </c>
      <c r="I95">
        <v>0</v>
      </c>
      <c r="J95">
        <v>0</v>
      </c>
      <c r="K95">
        <v>0</v>
      </c>
      <c r="L95">
        <v>0</v>
      </c>
      <c r="M95" s="12">
        <v>0</v>
      </c>
      <c r="N95">
        <v>0</v>
      </c>
      <c r="O95">
        <v>0</v>
      </c>
      <c r="P95" s="30">
        <v>0</v>
      </c>
      <c r="Q95">
        <v>0</v>
      </c>
      <c r="R95">
        <v>0</v>
      </c>
      <c r="S95">
        <v>0</v>
      </c>
      <c r="T95">
        <v>0</v>
      </c>
      <c r="U95">
        <v>0</v>
      </c>
      <c r="V95">
        <v>0</v>
      </c>
      <c r="W95">
        <v>0</v>
      </c>
      <c r="X95" s="12">
        <v>0</v>
      </c>
      <c r="Y95">
        <v>0</v>
      </c>
      <c r="Z95">
        <v>0</v>
      </c>
      <c r="AA95">
        <v>0</v>
      </c>
      <c r="AB95">
        <v>0</v>
      </c>
      <c r="AC95">
        <v>0</v>
      </c>
      <c r="AD95" s="30">
        <v>0</v>
      </c>
    </row>
    <row r="96" spans="1:30" x14ac:dyDescent="0.2">
      <c r="A96">
        <f>IF(ISBLANK(System!B19),"",System!B19)</f>
        <v>18</v>
      </c>
      <c r="B96" t="str">
        <f t="shared" si="1"/>
        <v/>
      </c>
      <c r="C96">
        <f t="array" ref="C96:AD96">IF(A19="",0,GlobBendMom(B19,System!C19:D19,System!K19:L19,System!M19:N19,System!E19:I19,#REF!))</f>
        <v>0</v>
      </c>
      <c r="D96">
        <v>0</v>
      </c>
      <c r="E96">
        <v>0</v>
      </c>
      <c r="F96">
        <v>0</v>
      </c>
      <c r="G96">
        <v>0</v>
      </c>
      <c r="H96">
        <v>0</v>
      </c>
      <c r="I96">
        <v>0</v>
      </c>
      <c r="J96">
        <v>0</v>
      </c>
      <c r="K96">
        <v>0</v>
      </c>
      <c r="L96">
        <v>0</v>
      </c>
      <c r="M96" s="12">
        <v>0</v>
      </c>
      <c r="N96">
        <v>0</v>
      </c>
      <c r="O96">
        <v>0</v>
      </c>
      <c r="P96" s="30">
        <v>0</v>
      </c>
      <c r="Q96">
        <v>0</v>
      </c>
      <c r="R96">
        <v>0</v>
      </c>
      <c r="S96">
        <v>0</v>
      </c>
      <c r="T96">
        <v>0</v>
      </c>
      <c r="U96">
        <v>0</v>
      </c>
      <c r="V96">
        <v>0</v>
      </c>
      <c r="W96">
        <v>0</v>
      </c>
      <c r="X96" s="12">
        <v>0</v>
      </c>
      <c r="Y96">
        <v>0</v>
      </c>
      <c r="Z96">
        <v>0</v>
      </c>
      <c r="AA96">
        <v>0</v>
      </c>
      <c r="AB96">
        <v>0</v>
      </c>
      <c r="AC96">
        <v>0</v>
      </c>
      <c r="AD96" s="30">
        <v>0</v>
      </c>
    </row>
    <row r="97" spans="1:30" x14ac:dyDescent="0.2">
      <c r="A97">
        <f>IF(ISBLANK(System!B20),"",System!B20)</f>
        <v>19</v>
      </c>
      <c r="B97" t="str">
        <f t="shared" si="1"/>
        <v/>
      </c>
      <c r="C97">
        <f t="array" ref="C97:AD97">IF(A20="",0,GlobBendMom(B20,System!C20:D20,System!K20:L20,System!M20:N20,System!E20:I20,#REF!))</f>
        <v>0</v>
      </c>
      <c r="D97">
        <v>0</v>
      </c>
      <c r="E97">
        <v>0</v>
      </c>
      <c r="F97">
        <v>0</v>
      </c>
      <c r="G97">
        <v>0</v>
      </c>
      <c r="H97">
        <v>0</v>
      </c>
      <c r="I97">
        <v>0</v>
      </c>
      <c r="J97">
        <v>0</v>
      </c>
      <c r="K97">
        <v>0</v>
      </c>
      <c r="L97">
        <v>0</v>
      </c>
      <c r="M97" s="12">
        <v>0</v>
      </c>
      <c r="N97">
        <v>0</v>
      </c>
      <c r="O97">
        <v>0</v>
      </c>
      <c r="P97" s="30">
        <v>0</v>
      </c>
      <c r="Q97">
        <v>0</v>
      </c>
      <c r="R97">
        <v>0</v>
      </c>
      <c r="S97">
        <v>0</v>
      </c>
      <c r="T97">
        <v>0</v>
      </c>
      <c r="U97">
        <v>0</v>
      </c>
      <c r="V97">
        <v>0</v>
      </c>
      <c r="W97">
        <v>0</v>
      </c>
      <c r="X97" s="12">
        <v>0</v>
      </c>
      <c r="Y97">
        <v>0</v>
      </c>
      <c r="Z97">
        <v>0</v>
      </c>
      <c r="AA97">
        <v>0</v>
      </c>
      <c r="AB97">
        <v>0</v>
      </c>
      <c r="AC97">
        <v>0</v>
      </c>
      <c r="AD97" s="30">
        <v>0</v>
      </c>
    </row>
    <row r="98" spans="1:30" x14ac:dyDescent="0.2">
      <c r="A98">
        <f>IF(ISBLANK(System!B21),"",System!B21)</f>
        <v>20</v>
      </c>
      <c r="B98" t="str">
        <f t="shared" si="1"/>
        <v/>
      </c>
      <c r="C98">
        <f t="array" ref="C98:AD98">IF(A21="",0,GlobBendMom(B21,System!C21:D21,System!K21:L21,System!M21:N21,System!E21:I21,#REF!))</f>
        <v>0</v>
      </c>
      <c r="D98">
        <v>0</v>
      </c>
      <c r="E98">
        <v>0</v>
      </c>
      <c r="F98">
        <v>0</v>
      </c>
      <c r="G98">
        <v>0</v>
      </c>
      <c r="H98">
        <v>0</v>
      </c>
      <c r="I98">
        <v>0</v>
      </c>
      <c r="J98">
        <v>0</v>
      </c>
      <c r="K98">
        <v>0</v>
      </c>
      <c r="L98">
        <v>0</v>
      </c>
      <c r="M98" s="12">
        <v>0</v>
      </c>
      <c r="N98">
        <v>0</v>
      </c>
      <c r="O98">
        <v>0</v>
      </c>
      <c r="P98" s="30">
        <v>0</v>
      </c>
      <c r="Q98">
        <v>0</v>
      </c>
      <c r="R98">
        <v>0</v>
      </c>
      <c r="S98">
        <v>0</v>
      </c>
      <c r="T98">
        <v>0</v>
      </c>
      <c r="U98">
        <v>0</v>
      </c>
      <c r="V98">
        <v>0</v>
      </c>
      <c r="W98">
        <v>0</v>
      </c>
      <c r="X98" s="12">
        <v>0</v>
      </c>
      <c r="Y98">
        <v>0</v>
      </c>
      <c r="Z98">
        <v>0</v>
      </c>
      <c r="AA98">
        <v>0</v>
      </c>
      <c r="AB98">
        <v>0</v>
      </c>
      <c r="AC98">
        <v>0</v>
      </c>
      <c r="AD98" s="30">
        <v>0</v>
      </c>
    </row>
    <row r="99" spans="1:30" x14ac:dyDescent="0.2">
      <c r="M99" s="12"/>
      <c r="X99" s="12"/>
    </row>
    <row r="100" spans="1:30" x14ac:dyDescent="0.2">
      <c r="X100" s="12"/>
    </row>
  </sheetData>
  <sheetProtection password="C690" sheet="1" objects="1" scenarios="1"/>
  <pageMargins left="0.78740157499999996" right="0.78740157499999996" top="0.984251969"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Z100"/>
  <sheetViews>
    <sheetView zoomScale="75" zoomScaleNormal="75" workbookViewId="0">
      <selection activeCell="J5" sqref="J5"/>
    </sheetView>
  </sheetViews>
  <sheetFormatPr baseColWidth="10" defaultRowHeight="12.75" x14ac:dyDescent="0.2"/>
  <cols>
    <col min="1" max="1" width="4.7109375" customWidth="1"/>
    <col min="2" max="2" width="12" bestFit="1" customWidth="1"/>
    <col min="3" max="3" width="12.42578125" bestFit="1" customWidth="1"/>
    <col min="4" max="6" width="12.28515625" bestFit="1" customWidth="1"/>
    <col min="7" max="7" width="12.28515625" customWidth="1"/>
    <col min="8" max="8" width="3.5703125" customWidth="1"/>
    <col min="9" max="9" width="7.85546875" bestFit="1" customWidth="1"/>
    <col min="10" max="12" width="12.28515625" bestFit="1" customWidth="1"/>
    <col min="13" max="13" width="12.42578125" bestFit="1" customWidth="1"/>
    <col min="14" max="15" width="12.5703125" bestFit="1" customWidth="1"/>
    <col min="16" max="16" width="12" bestFit="1" customWidth="1"/>
    <col min="17" max="18" width="12.5703125" bestFit="1" customWidth="1"/>
    <col min="19" max="20" width="12" bestFit="1" customWidth="1"/>
    <col min="21" max="22" width="12.28515625" bestFit="1" customWidth="1"/>
    <col min="23" max="23" width="12.140625" bestFit="1" customWidth="1"/>
    <col min="24" max="24" width="14.42578125" bestFit="1" customWidth="1"/>
    <col min="25" max="26" width="14.7109375" bestFit="1" customWidth="1"/>
    <col min="27" max="27" width="11.7109375" bestFit="1" customWidth="1"/>
    <col min="28" max="28" width="14.85546875" bestFit="1" customWidth="1"/>
    <col min="29" max="30" width="11.7109375" bestFit="1" customWidth="1"/>
  </cols>
  <sheetData>
    <row r="1" spans="1:52" ht="13.5" thickBot="1" x14ac:dyDescent="0.25">
      <c r="A1" s="12"/>
      <c r="B1" s="12"/>
      <c r="C1" s="12"/>
      <c r="D1" s="12"/>
      <c r="E1" s="12"/>
      <c r="F1" s="12"/>
      <c r="G1" s="12"/>
      <c r="H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spans="1:52" ht="13.5" thickBot="1" x14ac:dyDescent="0.25">
      <c r="A2" s="12"/>
      <c r="B2" s="313" t="s">
        <v>61</v>
      </c>
      <c r="C2" s="12"/>
      <c r="D2" s="298" t="s">
        <v>49</v>
      </c>
      <c r="E2" s="400">
        <v>1</v>
      </c>
      <c r="F2" s="340" t="s">
        <v>115</v>
      </c>
      <c r="G2" s="400">
        <v>1</v>
      </c>
      <c r="H2" s="12"/>
      <c r="I2" s="200" t="s">
        <v>112</v>
      </c>
    </row>
    <row r="3" spans="1:52" ht="13.5" thickBot="1" x14ac:dyDescent="0.25">
      <c r="A3" s="12"/>
      <c r="B3" s="12"/>
      <c r="C3" s="12"/>
      <c r="D3" s="12"/>
      <c r="E3" s="12"/>
      <c r="F3" s="12"/>
      <c r="G3" s="12"/>
      <c r="H3" s="12"/>
    </row>
    <row r="4" spans="1:52" ht="13.5" thickBot="1" x14ac:dyDescent="0.25">
      <c r="A4" s="12"/>
      <c r="B4" s="12"/>
      <c r="C4" s="12"/>
      <c r="D4" s="12"/>
      <c r="E4" s="12"/>
      <c r="F4" s="12"/>
      <c r="G4" s="12"/>
      <c r="H4" s="12"/>
      <c r="I4" s="318" t="s">
        <v>6</v>
      </c>
      <c r="J4" s="322">
        <v>0</v>
      </c>
      <c r="K4" s="323">
        <v>0.1</v>
      </c>
      <c r="L4" s="323">
        <v>0.2</v>
      </c>
      <c r="M4" s="323">
        <v>0.3</v>
      </c>
      <c r="N4" s="323">
        <v>0.4</v>
      </c>
      <c r="O4" s="323">
        <v>0.5</v>
      </c>
      <c r="P4" s="323">
        <v>0.6</v>
      </c>
      <c r="Q4" s="323">
        <v>0.7</v>
      </c>
      <c r="R4" s="323">
        <v>0.8</v>
      </c>
      <c r="S4" s="323">
        <v>0.9</v>
      </c>
      <c r="T4" s="324">
        <v>1</v>
      </c>
    </row>
    <row r="5" spans="1:52" ht="13.5" thickBot="1" x14ac:dyDescent="0.25">
      <c r="A5" s="12"/>
      <c r="B5" s="12"/>
      <c r="C5" s="350" t="s">
        <v>189</v>
      </c>
      <c r="D5" s="348">
        <f ca="1">MAX(EleData!EP:EP)</f>
        <v>0.89163915432222751</v>
      </c>
      <c r="E5" s="12"/>
      <c r="F5" s="12"/>
      <c r="G5" s="12"/>
      <c r="H5" s="12"/>
      <c r="I5" s="319">
        <f t="shared" ref="I5:I24" ca="1" si="0">IF(ISNUMBER(INDIRECT("System!C" &amp;ROW(A2))),INDIRECT("System!B"&amp;ROW(A2)),"")</f>
        <v>1</v>
      </c>
      <c r="J5" s="214">
        <f ca="1">IF(ISNUMBER($I5),INDIRECT(ADDRESS(3+($I5-1)*6,COLUMN(EleData!DZ$1),,,"EleData")),"")</f>
        <v>-1.2609681847853713</v>
      </c>
      <c r="K5" s="315">
        <f ca="1">IF(ISNUMBER($I5),INDIRECT(ADDRESS(3+($I5-1)*6,COLUMN(EleData!EA$1),,,"EleData")),"")</f>
        <v>-1.2609681847853713</v>
      </c>
      <c r="L5" s="315">
        <f ca="1">IF(ISNUMBER($I5),INDIRECT(ADDRESS(3+($I5-1)*6,COLUMN(EleData!EB$1),,,"EleData")),"")</f>
        <v>-1.2609681847853713</v>
      </c>
      <c r="M5" s="315">
        <f ca="1">IF(ISNUMBER($I5),INDIRECT(ADDRESS(3+($I5-1)*6,COLUMN(EleData!EC$1),,,"EleData")),"")</f>
        <v>-1.2609681847853713</v>
      </c>
      <c r="N5" s="315">
        <f ca="1">IF(ISNUMBER($I5),INDIRECT(ADDRESS(3+($I5-1)*6,COLUMN(EleData!ED$1),,,"EleData")),"")</f>
        <v>-1.2609681847853713</v>
      </c>
      <c r="O5" s="315">
        <f ca="1">IF(ISNUMBER($I5),INDIRECT(ADDRESS(3+($I5-1)*6,COLUMN(EleData!EE$1),,,"EleData")),"")</f>
        <v>-1.2609681847853713</v>
      </c>
      <c r="P5" s="315">
        <f ca="1">IF(ISNUMBER($I5),INDIRECT(ADDRESS(3+($I5-1)*6,COLUMN(EleData!EF$1),,,"EleData")),"")</f>
        <v>-1.2609681847853713</v>
      </c>
      <c r="Q5" s="315">
        <f ca="1">IF(ISNUMBER($I5),INDIRECT(ADDRESS(3+($I5-1)*6,COLUMN(EleData!EG$1),,,"EleData")),"")</f>
        <v>-1.2609681847853713</v>
      </c>
      <c r="R5" s="315">
        <f ca="1">IF(ISNUMBER($I5),INDIRECT(ADDRESS(3+($I5-1)*6,COLUMN(EleData!EH$1),,,"EleData")),"")</f>
        <v>-1.2609681847853711</v>
      </c>
      <c r="S5" s="315">
        <f ca="1">IF(ISNUMBER($I5),INDIRECT(ADDRESS(3+($I5-1)*6,COLUMN(EleData!EI$1),,,"EleData")),"")</f>
        <v>-1.2609681847853713</v>
      </c>
      <c r="T5" s="215">
        <f ca="1">IF(ISNUMBER($I5),INDIRECT(ADDRESS(3+($I5-1)*6,COLUMN(EleData!EJ$1),,,"EleData")),"")</f>
        <v>-1.2609681847853713</v>
      </c>
    </row>
    <row r="6" spans="1:52" ht="13.5" thickBot="1" x14ac:dyDescent="0.25">
      <c r="A6" s="12"/>
      <c r="B6" s="12"/>
      <c r="C6" s="350" t="s">
        <v>192</v>
      </c>
      <c r="D6" s="347">
        <f ca="1">E2/D5*KnotenData!H4*D7</f>
        <v>0.211195022740575</v>
      </c>
      <c r="E6" s="12"/>
      <c r="F6" s="12"/>
      <c r="G6" s="12"/>
      <c r="H6" s="12"/>
      <c r="I6" s="320">
        <f t="shared" ca="1" si="0"/>
        <v>2</v>
      </c>
      <c r="J6" s="216">
        <f ca="1">IF(ISNUMBER($I6),INDIRECT(ADDRESS(3+($I6-1)*6,COLUMN(EleData!DZ$1),,,"EleData")),"")</f>
        <v>-0.77218553909630328</v>
      </c>
      <c r="K6" s="206">
        <f ca="1">IF(ISNUMBER($I6),INDIRECT(ADDRESS(3+($I6-1)*6,COLUMN(EleData!EA$1),,,"EleData")),"")</f>
        <v>-0.77218553909630328</v>
      </c>
      <c r="L6" s="206">
        <f ca="1">IF(ISNUMBER($I6),INDIRECT(ADDRESS(3+($I6-1)*6,COLUMN(EleData!EB$1),,,"EleData")),"")</f>
        <v>-0.77218553909630339</v>
      </c>
      <c r="M6" s="206">
        <f ca="1">IF(ISNUMBER($I6),INDIRECT(ADDRESS(3+($I6-1)*6,COLUMN(EleData!EC$1),,,"EleData")),"")</f>
        <v>-0.77218553909630316</v>
      </c>
      <c r="N6" s="206">
        <f ca="1">IF(ISNUMBER($I6),INDIRECT(ADDRESS(3+($I6-1)*6,COLUMN(EleData!ED$1),,,"EleData")),"")</f>
        <v>-0.77218553909630328</v>
      </c>
      <c r="O6" s="206">
        <f ca="1">IF(ISNUMBER($I6),INDIRECT(ADDRESS(3+($I6-1)*6,COLUMN(EleData!EE$1),,,"EleData")),"")</f>
        <v>-0.77218553909630328</v>
      </c>
      <c r="P6" s="206">
        <f ca="1">IF(ISNUMBER($I6),INDIRECT(ADDRESS(3+($I6-1)*6,COLUMN(EleData!EF$1),,,"EleData")),"")</f>
        <v>-0.77218553909630328</v>
      </c>
      <c r="Q6" s="206">
        <f ca="1">IF(ISNUMBER($I6),INDIRECT(ADDRESS(3+($I6-1)*6,COLUMN(EleData!EG$1),,,"EleData")),"")</f>
        <v>-0.77218553909630328</v>
      </c>
      <c r="R6" s="206">
        <f ca="1">IF(ISNUMBER($I6),INDIRECT(ADDRESS(3+($I6-1)*6,COLUMN(EleData!EH$1),,,"EleData")),"")</f>
        <v>-0.77218553909630328</v>
      </c>
      <c r="S6" s="206">
        <f ca="1">IF(ISNUMBER($I6),INDIRECT(ADDRESS(3+($I6-1)*6,COLUMN(EleData!EI$1),,,"EleData")),"")</f>
        <v>-0.77218553909630328</v>
      </c>
      <c r="T6" s="217">
        <f ca="1">IF(ISNUMBER($I6),INDIRECT(ADDRESS(3+($I6-1)*6,COLUMN(EleData!EJ$1),,,"EleData")),"")</f>
        <v>-0.77218553909630328</v>
      </c>
    </row>
    <row r="7" spans="1:52" ht="13.5" thickBot="1" x14ac:dyDescent="0.25">
      <c r="A7" s="12"/>
      <c r="B7" s="12"/>
      <c r="C7" s="350" t="s">
        <v>187</v>
      </c>
      <c r="D7" s="347">
        <v>0.3</v>
      </c>
      <c r="E7" s="12"/>
      <c r="F7" s="12"/>
      <c r="G7" s="12"/>
      <c r="H7" s="12"/>
      <c r="I7" s="320" t="str">
        <f t="shared" ca="1" si="0"/>
        <v/>
      </c>
      <c r="J7" s="216" t="str">
        <f ca="1">IF(ISNUMBER($I7),INDIRECT(ADDRESS(3+($I7-1)*6,COLUMN(EleData!DZ$1),,,"EleData")),"")</f>
        <v/>
      </c>
      <c r="K7" s="206" t="str">
        <f ca="1">IF(ISNUMBER($I7),INDIRECT(ADDRESS(3+($I7-1)*6,COLUMN(EleData!EA$1),,,"EleData")),"")</f>
        <v/>
      </c>
      <c r="L7" s="206" t="str">
        <f ca="1">IF(ISNUMBER($I7),INDIRECT(ADDRESS(3+($I7-1)*6,COLUMN(EleData!EB$1),,,"EleData")),"")</f>
        <v/>
      </c>
      <c r="M7" s="206" t="str">
        <f ca="1">IF(ISNUMBER($I7),INDIRECT(ADDRESS(3+($I7-1)*6,COLUMN(EleData!EC$1),,,"EleData")),"")</f>
        <v/>
      </c>
      <c r="N7" s="206" t="str">
        <f ca="1">IF(ISNUMBER($I7),INDIRECT(ADDRESS(3+($I7-1)*6,COLUMN(EleData!ED$1),,,"EleData")),"")</f>
        <v/>
      </c>
      <c r="O7" s="206" t="str">
        <f ca="1">IF(ISNUMBER($I7),INDIRECT(ADDRESS(3+($I7-1)*6,COLUMN(EleData!EE$1),,,"EleData")),"")</f>
        <v/>
      </c>
      <c r="P7" s="206" t="str">
        <f ca="1">IF(ISNUMBER($I7),INDIRECT(ADDRESS(3+($I7-1)*6,COLUMN(EleData!EF$1),,,"EleData")),"")</f>
        <v/>
      </c>
      <c r="Q7" s="206" t="str">
        <f ca="1">IF(ISNUMBER($I7),INDIRECT(ADDRESS(3+($I7-1)*6,COLUMN(EleData!EG$1),,,"EleData")),"")</f>
        <v/>
      </c>
      <c r="R7" s="206" t="str">
        <f ca="1">IF(ISNUMBER($I7),INDIRECT(ADDRESS(3+($I7-1)*6,COLUMN(EleData!EH$1),,,"EleData")),"")</f>
        <v/>
      </c>
      <c r="S7" s="206" t="str">
        <f ca="1">IF(ISNUMBER($I7),INDIRECT(ADDRESS(3+($I7-1)*6,COLUMN(EleData!EI$1),,,"EleData")),"")</f>
        <v/>
      </c>
      <c r="T7" s="217" t="str">
        <f ca="1">IF(ISNUMBER($I7),INDIRECT(ADDRESS(3+($I7-1)*6,COLUMN(EleData!EJ$1),,,"EleData")),"")</f>
        <v/>
      </c>
    </row>
    <row r="8" spans="1:52" x14ac:dyDescent="0.2">
      <c r="A8" s="12"/>
      <c r="B8" s="12"/>
      <c r="C8" s="12"/>
      <c r="D8" s="12"/>
      <c r="E8" s="12"/>
      <c r="F8" s="12"/>
      <c r="G8" s="12"/>
      <c r="H8" s="12"/>
      <c r="I8" s="320" t="str">
        <f t="shared" ca="1" si="0"/>
        <v/>
      </c>
      <c r="J8" s="216" t="str">
        <f ca="1">IF(ISNUMBER($I8),INDIRECT(ADDRESS(3+($I8-1)*6,COLUMN(EleData!DZ$1),,,"EleData")),"")</f>
        <v/>
      </c>
      <c r="K8" s="206" t="str">
        <f ca="1">IF(ISNUMBER($I8),INDIRECT(ADDRESS(3+($I8-1)*6,COLUMN(EleData!EA$1),,,"EleData")),"")</f>
        <v/>
      </c>
      <c r="L8" s="206" t="str">
        <f ca="1">IF(ISNUMBER($I8),INDIRECT(ADDRESS(3+($I8-1)*6,COLUMN(EleData!EB$1),,,"EleData")),"")</f>
        <v/>
      </c>
      <c r="M8" s="206" t="str">
        <f ca="1">IF(ISNUMBER($I8),INDIRECT(ADDRESS(3+($I8-1)*6,COLUMN(EleData!EC$1),,,"EleData")),"")</f>
        <v/>
      </c>
      <c r="N8" s="206" t="str">
        <f ca="1">IF(ISNUMBER($I8),INDIRECT(ADDRESS(3+($I8-1)*6,COLUMN(EleData!ED$1),,,"EleData")),"")</f>
        <v/>
      </c>
      <c r="O8" s="206" t="str">
        <f ca="1">IF(ISNUMBER($I8),INDIRECT(ADDRESS(3+($I8-1)*6,COLUMN(EleData!EE$1),,,"EleData")),"")</f>
        <v/>
      </c>
      <c r="P8" s="206" t="str">
        <f ca="1">IF(ISNUMBER($I8),INDIRECT(ADDRESS(3+($I8-1)*6,COLUMN(EleData!EF$1),,,"EleData")),"")</f>
        <v/>
      </c>
      <c r="Q8" s="206" t="str">
        <f ca="1">IF(ISNUMBER($I8),INDIRECT(ADDRESS(3+($I8-1)*6,COLUMN(EleData!EG$1),,,"EleData")),"")</f>
        <v/>
      </c>
      <c r="R8" s="206" t="str">
        <f ca="1">IF(ISNUMBER($I8),INDIRECT(ADDRESS(3+($I8-1)*6,COLUMN(EleData!EH$1),,,"EleData")),"")</f>
        <v/>
      </c>
      <c r="S8" s="206" t="str">
        <f ca="1">IF(ISNUMBER($I8),INDIRECT(ADDRESS(3+($I8-1)*6,COLUMN(EleData!EI$1),,,"EleData")),"")</f>
        <v/>
      </c>
      <c r="T8" s="217" t="str">
        <f ca="1">IF(ISNUMBER($I8),INDIRECT(ADDRESS(3+($I8-1)*6,COLUMN(EleData!EJ$1),,,"EleData")),"")</f>
        <v/>
      </c>
    </row>
    <row r="9" spans="1:52" x14ac:dyDescent="0.2">
      <c r="A9" s="12"/>
      <c r="B9" s="12"/>
      <c r="C9" s="12"/>
      <c r="D9" s="12"/>
      <c r="E9" s="12"/>
      <c r="F9" s="12"/>
      <c r="G9" s="12"/>
      <c r="H9" s="12"/>
      <c r="I9" s="320" t="str">
        <f t="shared" ca="1" si="0"/>
        <v/>
      </c>
      <c r="J9" s="216" t="str">
        <f ca="1">IF(ISNUMBER($I9),INDIRECT(ADDRESS(3+($I9-1)*6,COLUMN(EleData!DZ$1),,,"EleData")),"")</f>
        <v/>
      </c>
      <c r="K9" s="206" t="str">
        <f ca="1">IF(ISNUMBER($I9),INDIRECT(ADDRESS(3+($I9-1)*6,COLUMN(EleData!EA$1),,,"EleData")),"")</f>
        <v/>
      </c>
      <c r="L9" s="206" t="str">
        <f ca="1">IF(ISNUMBER($I9),INDIRECT(ADDRESS(3+($I9-1)*6,COLUMN(EleData!EB$1),,,"EleData")),"")</f>
        <v/>
      </c>
      <c r="M9" s="206" t="str">
        <f ca="1">IF(ISNUMBER($I9),INDIRECT(ADDRESS(3+($I9-1)*6,COLUMN(EleData!EC$1),,,"EleData")),"")</f>
        <v/>
      </c>
      <c r="N9" s="206" t="str">
        <f ca="1">IF(ISNUMBER($I9),INDIRECT(ADDRESS(3+($I9-1)*6,COLUMN(EleData!ED$1),,,"EleData")),"")</f>
        <v/>
      </c>
      <c r="O9" s="206" t="str">
        <f ca="1">IF(ISNUMBER($I9),INDIRECT(ADDRESS(3+($I9-1)*6,COLUMN(EleData!EE$1),,,"EleData")),"")</f>
        <v/>
      </c>
      <c r="P9" s="206" t="str">
        <f ca="1">IF(ISNUMBER($I9),INDIRECT(ADDRESS(3+($I9-1)*6,COLUMN(EleData!EF$1),,,"EleData")),"")</f>
        <v/>
      </c>
      <c r="Q9" s="206" t="str">
        <f ca="1">IF(ISNUMBER($I9),INDIRECT(ADDRESS(3+($I9-1)*6,COLUMN(EleData!EG$1),,,"EleData")),"")</f>
        <v/>
      </c>
      <c r="R9" s="206" t="str">
        <f ca="1">IF(ISNUMBER($I9),INDIRECT(ADDRESS(3+($I9-1)*6,COLUMN(EleData!EH$1),,,"EleData")),"")</f>
        <v/>
      </c>
      <c r="S9" s="206" t="str">
        <f ca="1">IF(ISNUMBER($I9),INDIRECT(ADDRESS(3+($I9-1)*6,COLUMN(EleData!EI$1),,,"EleData")),"")</f>
        <v/>
      </c>
      <c r="T9" s="217" t="str">
        <f ca="1">IF(ISNUMBER($I9),INDIRECT(ADDRESS(3+($I9-1)*6,COLUMN(EleData!EJ$1),,,"EleData")),"")</f>
        <v/>
      </c>
    </row>
    <row r="10" spans="1:52" x14ac:dyDescent="0.2">
      <c r="A10" s="12"/>
      <c r="B10" s="12"/>
      <c r="C10" s="12"/>
      <c r="D10" s="12"/>
      <c r="E10" s="12"/>
      <c r="F10" s="12"/>
      <c r="G10" s="12"/>
      <c r="H10" s="12"/>
      <c r="I10" s="320" t="str">
        <f t="shared" ca="1" si="0"/>
        <v/>
      </c>
      <c r="J10" s="216" t="str">
        <f ca="1">IF(ISNUMBER($I10),INDIRECT(ADDRESS(3+($I10-1)*6,COLUMN(EleData!DZ$1),,,"EleData")),"")</f>
        <v/>
      </c>
      <c r="K10" s="206" t="str">
        <f ca="1">IF(ISNUMBER($I10),INDIRECT(ADDRESS(3+($I10-1)*6,COLUMN(EleData!EA$1),,,"EleData")),"")</f>
        <v/>
      </c>
      <c r="L10" s="206" t="str">
        <f ca="1">IF(ISNUMBER($I10),INDIRECT(ADDRESS(3+($I10-1)*6,COLUMN(EleData!EB$1),,,"EleData")),"")</f>
        <v/>
      </c>
      <c r="M10" s="206" t="str">
        <f ca="1">IF(ISNUMBER($I10),INDIRECT(ADDRESS(3+($I10-1)*6,COLUMN(EleData!EC$1),,,"EleData")),"")</f>
        <v/>
      </c>
      <c r="N10" s="206" t="str">
        <f ca="1">IF(ISNUMBER($I10),INDIRECT(ADDRESS(3+($I10-1)*6,COLUMN(EleData!ED$1),,,"EleData")),"")</f>
        <v/>
      </c>
      <c r="O10" s="206" t="str">
        <f ca="1">IF(ISNUMBER($I10),INDIRECT(ADDRESS(3+($I10-1)*6,COLUMN(EleData!EE$1),,,"EleData")),"")</f>
        <v/>
      </c>
      <c r="P10" s="206" t="str">
        <f ca="1">IF(ISNUMBER($I10),INDIRECT(ADDRESS(3+($I10-1)*6,COLUMN(EleData!EF$1),,,"EleData")),"")</f>
        <v/>
      </c>
      <c r="Q10" s="206" t="str">
        <f ca="1">IF(ISNUMBER($I10),INDIRECT(ADDRESS(3+($I10-1)*6,COLUMN(EleData!EG$1),,,"EleData")),"")</f>
        <v/>
      </c>
      <c r="R10" s="206" t="str">
        <f ca="1">IF(ISNUMBER($I10),INDIRECT(ADDRESS(3+($I10-1)*6,COLUMN(EleData!EH$1),,,"EleData")),"")</f>
        <v/>
      </c>
      <c r="S10" s="206" t="str">
        <f ca="1">IF(ISNUMBER($I10),INDIRECT(ADDRESS(3+($I10-1)*6,COLUMN(EleData!EI$1),,,"EleData")),"")</f>
        <v/>
      </c>
      <c r="T10" s="217" t="str">
        <f ca="1">IF(ISNUMBER($I10),INDIRECT(ADDRESS(3+($I10-1)*6,COLUMN(EleData!EJ$1),,,"EleData")),"")</f>
        <v/>
      </c>
    </row>
    <row r="11" spans="1:52" x14ac:dyDescent="0.2">
      <c r="A11" s="12"/>
      <c r="B11" s="12"/>
      <c r="C11" s="12"/>
      <c r="D11" s="12"/>
      <c r="E11" s="12"/>
      <c r="F11" s="12"/>
      <c r="G11" s="12"/>
      <c r="H11" s="12"/>
      <c r="I11" s="320" t="str">
        <f t="shared" ca="1" si="0"/>
        <v/>
      </c>
      <c r="J11" s="216" t="str">
        <f ca="1">IF(ISNUMBER($I11),INDIRECT(ADDRESS(3+($I11-1)*6,COLUMN(EleData!DZ$1),,,"EleData")),"")</f>
        <v/>
      </c>
      <c r="K11" s="206" t="str">
        <f ca="1">IF(ISNUMBER($I11),INDIRECT(ADDRESS(3+($I11-1)*6,COLUMN(EleData!EA$1),,,"EleData")),"")</f>
        <v/>
      </c>
      <c r="L11" s="206" t="str">
        <f ca="1">IF(ISNUMBER($I11),INDIRECT(ADDRESS(3+($I11-1)*6,COLUMN(EleData!EB$1),,,"EleData")),"")</f>
        <v/>
      </c>
      <c r="M11" s="206" t="str">
        <f ca="1">IF(ISNUMBER($I11),INDIRECT(ADDRESS(3+($I11-1)*6,COLUMN(EleData!EC$1),,,"EleData")),"")</f>
        <v/>
      </c>
      <c r="N11" s="206" t="str">
        <f ca="1">IF(ISNUMBER($I11),INDIRECT(ADDRESS(3+($I11-1)*6,COLUMN(EleData!ED$1),,,"EleData")),"")</f>
        <v/>
      </c>
      <c r="O11" s="206" t="str">
        <f ca="1">IF(ISNUMBER($I11),INDIRECT(ADDRESS(3+($I11-1)*6,COLUMN(EleData!EE$1),,,"EleData")),"")</f>
        <v/>
      </c>
      <c r="P11" s="206" t="str">
        <f ca="1">IF(ISNUMBER($I11),INDIRECT(ADDRESS(3+($I11-1)*6,COLUMN(EleData!EF$1),,,"EleData")),"")</f>
        <v/>
      </c>
      <c r="Q11" s="206" t="str">
        <f ca="1">IF(ISNUMBER($I11),INDIRECT(ADDRESS(3+($I11-1)*6,COLUMN(EleData!EG$1),,,"EleData")),"")</f>
        <v/>
      </c>
      <c r="R11" s="206" t="str">
        <f ca="1">IF(ISNUMBER($I11),INDIRECT(ADDRESS(3+($I11-1)*6,COLUMN(EleData!EH$1),,,"EleData")),"")</f>
        <v/>
      </c>
      <c r="S11" s="206" t="str">
        <f ca="1">IF(ISNUMBER($I11),INDIRECT(ADDRESS(3+($I11-1)*6,COLUMN(EleData!EI$1),,,"EleData")),"")</f>
        <v/>
      </c>
      <c r="T11" s="217" t="str">
        <f ca="1">IF(ISNUMBER($I11),INDIRECT(ADDRESS(3+($I11-1)*6,COLUMN(EleData!EJ$1),,,"EleData")),"")</f>
        <v/>
      </c>
    </row>
    <row r="12" spans="1:52" x14ac:dyDescent="0.2">
      <c r="A12" s="12"/>
      <c r="B12" s="12"/>
      <c r="C12" s="12"/>
      <c r="D12" s="12"/>
      <c r="E12" s="12"/>
      <c r="F12" s="12"/>
      <c r="G12" s="12"/>
      <c r="H12" s="12"/>
      <c r="I12" s="320" t="str">
        <f t="shared" ca="1" si="0"/>
        <v/>
      </c>
      <c r="J12" s="216" t="str">
        <f ca="1">IF(ISNUMBER($I12),INDIRECT(ADDRESS(3+($I12-1)*6,COLUMN(EleData!DZ$1),,,"EleData")),"")</f>
        <v/>
      </c>
      <c r="K12" s="206" t="str">
        <f ca="1">IF(ISNUMBER($I12),INDIRECT(ADDRESS(3+($I12-1)*6,COLUMN(EleData!EA$1),,,"EleData")),"")</f>
        <v/>
      </c>
      <c r="L12" s="206" t="str">
        <f ca="1">IF(ISNUMBER($I12),INDIRECT(ADDRESS(3+($I12-1)*6,COLUMN(EleData!EB$1),,,"EleData")),"")</f>
        <v/>
      </c>
      <c r="M12" s="206" t="str">
        <f ca="1">IF(ISNUMBER($I12),INDIRECT(ADDRESS(3+($I12-1)*6,COLUMN(EleData!EC$1),,,"EleData")),"")</f>
        <v/>
      </c>
      <c r="N12" s="206" t="str">
        <f ca="1">IF(ISNUMBER($I12),INDIRECT(ADDRESS(3+($I12-1)*6,COLUMN(EleData!ED$1),,,"EleData")),"")</f>
        <v/>
      </c>
      <c r="O12" s="206" t="str">
        <f ca="1">IF(ISNUMBER($I12),INDIRECT(ADDRESS(3+($I12-1)*6,COLUMN(EleData!EE$1),,,"EleData")),"")</f>
        <v/>
      </c>
      <c r="P12" s="206" t="str">
        <f ca="1">IF(ISNUMBER($I12),INDIRECT(ADDRESS(3+($I12-1)*6,COLUMN(EleData!EF$1),,,"EleData")),"")</f>
        <v/>
      </c>
      <c r="Q12" s="206" t="str">
        <f ca="1">IF(ISNUMBER($I12),INDIRECT(ADDRESS(3+($I12-1)*6,COLUMN(EleData!EG$1),,,"EleData")),"")</f>
        <v/>
      </c>
      <c r="R12" s="206" t="str">
        <f ca="1">IF(ISNUMBER($I12),INDIRECT(ADDRESS(3+($I12-1)*6,COLUMN(EleData!EH$1),,,"EleData")),"")</f>
        <v/>
      </c>
      <c r="S12" s="206" t="str">
        <f ca="1">IF(ISNUMBER($I12),INDIRECT(ADDRESS(3+($I12-1)*6,COLUMN(EleData!EI$1),,,"EleData")),"")</f>
        <v/>
      </c>
      <c r="T12" s="217" t="str">
        <f ca="1">IF(ISNUMBER($I12),INDIRECT(ADDRESS(3+($I12-1)*6,COLUMN(EleData!EJ$1),,,"EleData")),"")</f>
        <v/>
      </c>
    </row>
    <row r="13" spans="1:52" x14ac:dyDescent="0.2">
      <c r="A13" s="12"/>
      <c r="B13" s="12"/>
      <c r="C13" s="12"/>
      <c r="D13" s="12"/>
      <c r="E13" s="12"/>
      <c r="F13" s="12"/>
      <c r="G13" s="12"/>
      <c r="H13" s="12"/>
      <c r="I13" s="320" t="str">
        <f t="shared" ca="1" si="0"/>
        <v/>
      </c>
      <c r="J13" s="216" t="str">
        <f ca="1">IF(ISNUMBER($I13),INDIRECT(ADDRESS(3+($I13-1)*6,COLUMN(EleData!DZ$1),,,"EleData")),"")</f>
        <v/>
      </c>
      <c r="K13" s="206" t="str">
        <f ca="1">IF(ISNUMBER($I13),INDIRECT(ADDRESS(3+($I13-1)*6,COLUMN(EleData!EA$1),,,"EleData")),"")</f>
        <v/>
      </c>
      <c r="L13" s="206" t="str">
        <f ca="1">IF(ISNUMBER($I13),INDIRECT(ADDRESS(3+($I13-1)*6,COLUMN(EleData!EB$1),,,"EleData")),"")</f>
        <v/>
      </c>
      <c r="M13" s="206" t="str">
        <f ca="1">IF(ISNUMBER($I13),INDIRECT(ADDRESS(3+($I13-1)*6,COLUMN(EleData!EC$1),,,"EleData")),"")</f>
        <v/>
      </c>
      <c r="N13" s="206" t="str">
        <f ca="1">IF(ISNUMBER($I13),INDIRECT(ADDRESS(3+($I13-1)*6,COLUMN(EleData!ED$1),,,"EleData")),"")</f>
        <v/>
      </c>
      <c r="O13" s="206" t="str">
        <f ca="1">IF(ISNUMBER($I13),INDIRECT(ADDRESS(3+($I13-1)*6,COLUMN(EleData!EE$1),,,"EleData")),"")</f>
        <v/>
      </c>
      <c r="P13" s="206" t="str">
        <f ca="1">IF(ISNUMBER($I13),INDIRECT(ADDRESS(3+($I13-1)*6,COLUMN(EleData!EF$1),,,"EleData")),"")</f>
        <v/>
      </c>
      <c r="Q13" s="206" t="str">
        <f ca="1">IF(ISNUMBER($I13),INDIRECT(ADDRESS(3+($I13-1)*6,COLUMN(EleData!EG$1),,,"EleData")),"")</f>
        <v/>
      </c>
      <c r="R13" s="206" t="str">
        <f ca="1">IF(ISNUMBER($I13),INDIRECT(ADDRESS(3+($I13-1)*6,COLUMN(EleData!EH$1),,,"EleData")),"")</f>
        <v/>
      </c>
      <c r="S13" s="206" t="str">
        <f ca="1">IF(ISNUMBER($I13),INDIRECT(ADDRESS(3+($I13-1)*6,COLUMN(EleData!EI$1),,,"EleData")),"")</f>
        <v/>
      </c>
      <c r="T13" s="217" t="str">
        <f ca="1">IF(ISNUMBER($I13),INDIRECT(ADDRESS(3+($I13-1)*6,COLUMN(EleData!EJ$1),,,"EleData")),"")</f>
        <v/>
      </c>
    </row>
    <row r="14" spans="1:52" x14ac:dyDescent="0.2">
      <c r="A14" s="12"/>
      <c r="B14" s="12"/>
      <c r="C14" s="12"/>
      <c r="D14" s="12"/>
      <c r="E14" s="12"/>
      <c r="F14" s="12"/>
      <c r="G14" s="12"/>
      <c r="H14" s="12"/>
      <c r="I14" s="320" t="str">
        <f t="shared" ca="1" si="0"/>
        <v/>
      </c>
      <c r="J14" s="216" t="str">
        <f ca="1">IF(ISNUMBER($I14),INDIRECT(ADDRESS(3+($I14-1)*6,COLUMN(EleData!DZ$1),,,"EleData")),"")</f>
        <v/>
      </c>
      <c r="K14" s="206" t="str">
        <f ca="1">IF(ISNUMBER($I14),INDIRECT(ADDRESS(3+($I14-1)*6,COLUMN(EleData!EA$1),,,"EleData")),"")</f>
        <v/>
      </c>
      <c r="L14" s="206" t="str">
        <f ca="1">IF(ISNUMBER($I14),INDIRECT(ADDRESS(3+($I14-1)*6,COLUMN(EleData!EB$1),,,"EleData")),"")</f>
        <v/>
      </c>
      <c r="M14" s="206" t="str">
        <f ca="1">IF(ISNUMBER($I14),INDIRECT(ADDRESS(3+($I14-1)*6,COLUMN(EleData!EC$1),,,"EleData")),"")</f>
        <v/>
      </c>
      <c r="N14" s="206" t="str">
        <f ca="1">IF(ISNUMBER($I14),INDIRECT(ADDRESS(3+($I14-1)*6,COLUMN(EleData!ED$1),,,"EleData")),"")</f>
        <v/>
      </c>
      <c r="O14" s="206" t="str">
        <f ca="1">IF(ISNUMBER($I14),INDIRECT(ADDRESS(3+($I14-1)*6,COLUMN(EleData!EE$1),,,"EleData")),"")</f>
        <v/>
      </c>
      <c r="P14" s="206" t="str">
        <f ca="1">IF(ISNUMBER($I14),INDIRECT(ADDRESS(3+($I14-1)*6,COLUMN(EleData!EF$1),,,"EleData")),"")</f>
        <v/>
      </c>
      <c r="Q14" s="206" t="str">
        <f ca="1">IF(ISNUMBER($I14),INDIRECT(ADDRESS(3+($I14-1)*6,COLUMN(EleData!EG$1),,,"EleData")),"")</f>
        <v/>
      </c>
      <c r="R14" s="206" t="str">
        <f ca="1">IF(ISNUMBER($I14),INDIRECT(ADDRESS(3+($I14-1)*6,COLUMN(EleData!EH$1),,,"EleData")),"")</f>
        <v/>
      </c>
      <c r="S14" s="206" t="str">
        <f ca="1">IF(ISNUMBER($I14),INDIRECT(ADDRESS(3+($I14-1)*6,COLUMN(EleData!EI$1),,,"EleData")),"")</f>
        <v/>
      </c>
      <c r="T14" s="217" t="str">
        <f ca="1">IF(ISNUMBER($I14),INDIRECT(ADDRESS(3+($I14-1)*6,COLUMN(EleData!EJ$1),,,"EleData")),"")</f>
        <v/>
      </c>
    </row>
    <row r="15" spans="1:52" x14ac:dyDescent="0.2">
      <c r="A15" s="12"/>
      <c r="B15" s="12"/>
      <c r="C15" s="12"/>
      <c r="D15" s="12"/>
      <c r="E15" s="12"/>
      <c r="F15" s="12"/>
      <c r="G15" s="12"/>
      <c r="H15" s="12"/>
      <c r="I15" s="320" t="str">
        <f t="shared" ca="1" si="0"/>
        <v/>
      </c>
      <c r="J15" s="216" t="str">
        <f ca="1">IF(ISNUMBER($I15),INDIRECT(ADDRESS(3+($I15-1)*6,COLUMN(EleData!DZ$1),,,"EleData")),"")</f>
        <v/>
      </c>
      <c r="K15" s="206" t="str">
        <f ca="1">IF(ISNUMBER($I15),INDIRECT(ADDRESS(3+($I15-1)*6,COLUMN(EleData!EA$1),,,"EleData")),"")</f>
        <v/>
      </c>
      <c r="L15" s="206" t="str">
        <f ca="1">IF(ISNUMBER($I15),INDIRECT(ADDRESS(3+($I15-1)*6,COLUMN(EleData!EB$1),,,"EleData")),"")</f>
        <v/>
      </c>
      <c r="M15" s="206" t="str">
        <f ca="1">IF(ISNUMBER($I15),INDIRECT(ADDRESS(3+($I15-1)*6,COLUMN(EleData!EC$1),,,"EleData")),"")</f>
        <v/>
      </c>
      <c r="N15" s="206" t="str">
        <f ca="1">IF(ISNUMBER($I15),INDIRECT(ADDRESS(3+($I15-1)*6,COLUMN(EleData!ED$1),,,"EleData")),"")</f>
        <v/>
      </c>
      <c r="O15" s="206" t="str">
        <f ca="1">IF(ISNUMBER($I15),INDIRECT(ADDRESS(3+($I15-1)*6,COLUMN(EleData!EE$1),,,"EleData")),"")</f>
        <v/>
      </c>
      <c r="P15" s="206" t="str">
        <f ca="1">IF(ISNUMBER($I15),INDIRECT(ADDRESS(3+($I15-1)*6,COLUMN(EleData!EF$1),,,"EleData")),"")</f>
        <v/>
      </c>
      <c r="Q15" s="206" t="str">
        <f ca="1">IF(ISNUMBER($I15),INDIRECT(ADDRESS(3+($I15-1)*6,COLUMN(EleData!EG$1),,,"EleData")),"")</f>
        <v/>
      </c>
      <c r="R15" s="206" t="str">
        <f ca="1">IF(ISNUMBER($I15),INDIRECT(ADDRESS(3+($I15-1)*6,COLUMN(EleData!EH$1),,,"EleData")),"")</f>
        <v/>
      </c>
      <c r="S15" s="206" t="str">
        <f ca="1">IF(ISNUMBER($I15),INDIRECT(ADDRESS(3+($I15-1)*6,COLUMN(EleData!EI$1),,,"EleData")),"")</f>
        <v/>
      </c>
      <c r="T15" s="217" t="str">
        <f ca="1">IF(ISNUMBER($I15),INDIRECT(ADDRESS(3+($I15-1)*6,COLUMN(EleData!EJ$1),,,"EleData")),"")</f>
        <v/>
      </c>
    </row>
    <row r="16" spans="1:52" x14ac:dyDescent="0.2">
      <c r="A16" s="12"/>
      <c r="B16" s="12"/>
      <c r="C16" s="12"/>
      <c r="D16" s="12"/>
      <c r="E16" s="12"/>
      <c r="F16" s="12"/>
      <c r="G16" s="12"/>
      <c r="H16" s="12"/>
      <c r="I16" s="320" t="str">
        <f t="shared" ca="1" si="0"/>
        <v/>
      </c>
      <c r="J16" s="216" t="str">
        <f ca="1">IF(ISNUMBER($I16),INDIRECT(ADDRESS(3+($I16-1)*6,COLUMN(EleData!DZ$1),,,"EleData")),"")</f>
        <v/>
      </c>
      <c r="K16" s="206" t="str">
        <f ca="1">IF(ISNUMBER($I16),INDIRECT(ADDRESS(3+($I16-1)*6,COLUMN(EleData!EA$1),,,"EleData")),"")</f>
        <v/>
      </c>
      <c r="L16" s="206" t="str">
        <f ca="1">IF(ISNUMBER($I16),INDIRECT(ADDRESS(3+($I16-1)*6,COLUMN(EleData!EB$1),,,"EleData")),"")</f>
        <v/>
      </c>
      <c r="M16" s="206" t="str">
        <f ca="1">IF(ISNUMBER($I16),INDIRECT(ADDRESS(3+($I16-1)*6,COLUMN(EleData!EC$1),,,"EleData")),"")</f>
        <v/>
      </c>
      <c r="N16" s="206" t="str">
        <f ca="1">IF(ISNUMBER($I16),INDIRECT(ADDRESS(3+($I16-1)*6,COLUMN(EleData!ED$1),,,"EleData")),"")</f>
        <v/>
      </c>
      <c r="O16" s="206" t="str">
        <f ca="1">IF(ISNUMBER($I16),INDIRECT(ADDRESS(3+($I16-1)*6,COLUMN(EleData!EE$1),,,"EleData")),"")</f>
        <v/>
      </c>
      <c r="P16" s="206" t="str">
        <f ca="1">IF(ISNUMBER($I16),INDIRECT(ADDRESS(3+($I16-1)*6,COLUMN(EleData!EF$1),,,"EleData")),"")</f>
        <v/>
      </c>
      <c r="Q16" s="206" t="str">
        <f ca="1">IF(ISNUMBER($I16),INDIRECT(ADDRESS(3+($I16-1)*6,COLUMN(EleData!EG$1),,,"EleData")),"")</f>
        <v/>
      </c>
      <c r="R16" s="206" t="str">
        <f ca="1">IF(ISNUMBER($I16),INDIRECT(ADDRESS(3+($I16-1)*6,COLUMN(EleData!EH$1),,,"EleData")),"")</f>
        <v/>
      </c>
      <c r="S16" s="206" t="str">
        <f ca="1">IF(ISNUMBER($I16),INDIRECT(ADDRESS(3+($I16-1)*6,COLUMN(EleData!EI$1),,,"EleData")),"")</f>
        <v/>
      </c>
      <c r="T16" s="217" t="str">
        <f ca="1">IF(ISNUMBER($I16),INDIRECT(ADDRESS(3+($I16-1)*6,COLUMN(EleData!EJ$1),,,"EleData")),"")</f>
        <v/>
      </c>
    </row>
    <row r="17" spans="1:24" x14ac:dyDescent="0.2">
      <c r="A17" s="12"/>
      <c r="B17" s="12"/>
      <c r="C17" s="12"/>
      <c r="D17" s="12"/>
      <c r="E17" s="12"/>
      <c r="F17" s="12"/>
      <c r="G17" s="12"/>
      <c r="H17" s="12"/>
      <c r="I17" s="320" t="str">
        <f t="shared" ca="1" si="0"/>
        <v/>
      </c>
      <c r="J17" s="216" t="str">
        <f ca="1">IF(ISNUMBER($I17),INDIRECT(ADDRESS(3+($I17-1)*6,COLUMN(EleData!DZ$1),,,"EleData")),"")</f>
        <v/>
      </c>
      <c r="K17" s="206" t="str">
        <f ca="1">IF(ISNUMBER($I17),INDIRECT(ADDRESS(3+($I17-1)*6,COLUMN(EleData!EA$1),,,"EleData")),"")</f>
        <v/>
      </c>
      <c r="L17" s="206" t="str">
        <f ca="1">IF(ISNUMBER($I17),INDIRECT(ADDRESS(3+($I17-1)*6,COLUMN(EleData!EB$1),,,"EleData")),"")</f>
        <v/>
      </c>
      <c r="M17" s="206" t="str">
        <f ca="1">IF(ISNUMBER($I17),INDIRECT(ADDRESS(3+($I17-1)*6,COLUMN(EleData!EC$1),,,"EleData")),"")</f>
        <v/>
      </c>
      <c r="N17" s="206" t="str">
        <f ca="1">IF(ISNUMBER($I17),INDIRECT(ADDRESS(3+($I17-1)*6,COLUMN(EleData!ED$1),,,"EleData")),"")</f>
        <v/>
      </c>
      <c r="O17" s="206" t="str">
        <f ca="1">IF(ISNUMBER($I17),INDIRECT(ADDRESS(3+($I17-1)*6,COLUMN(EleData!EE$1),,,"EleData")),"")</f>
        <v/>
      </c>
      <c r="P17" s="206" t="str">
        <f ca="1">IF(ISNUMBER($I17),INDIRECT(ADDRESS(3+($I17-1)*6,COLUMN(EleData!EF$1),,,"EleData")),"")</f>
        <v/>
      </c>
      <c r="Q17" s="206" t="str">
        <f ca="1">IF(ISNUMBER($I17),INDIRECT(ADDRESS(3+($I17-1)*6,COLUMN(EleData!EG$1),,,"EleData")),"")</f>
        <v/>
      </c>
      <c r="R17" s="206" t="str">
        <f ca="1">IF(ISNUMBER($I17),INDIRECT(ADDRESS(3+($I17-1)*6,COLUMN(EleData!EH$1),,,"EleData")),"")</f>
        <v/>
      </c>
      <c r="S17" s="206" t="str">
        <f ca="1">IF(ISNUMBER($I17),INDIRECT(ADDRESS(3+($I17-1)*6,COLUMN(EleData!EI$1),,,"EleData")),"")</f>
        <v/>
      </c>
      <c r="T17" s="217" t="str">
        <f ca="1">IF(ISNUMBER($I17),INDIRECT(ADDRESS(3+($I17-1)*6,COLUMN(EleData!EJ$1),,,"EleData")),"")</f>
        <v/>
      </c>
    </row>
    <row r="18" spans="1:24" x14ac:dyDescent="0.2">
      <c r="A18" s="12"/>
      <c r="B18" s="12"/>
      <c r="C18" s="12"/>
      <c r="D18" s="12"/>
      <c r="E18" s="12"/>
      <c r="F18" s="12"/>
      <c r="G18" s="12"/>
      <c r="H18" s="12"/>
      <c r="I18" s="320" t="str">
        <f t="shared" ca="1" si="0"/>
        <v/>
      </c>
      <c r="J18" s="216" t="str">
        <f ca="1">IF(ISNUMBER($I18),INDIRECT(ADDRESS(3+($I18-1)*6,COLUMN(EleData!DZ$1),,,"EleData")),"")</f>
        <v/>
      </c>
      <c r="K18" s="206" t="str">
        <f ca="1">IF(ISNUMBER($I18),INDIRECT(ADDRESS(3+($I18-1)*6,COLUMN(EleData!EA$1),,,"EleData")),"")</f>
        <v/>
      </c>
      <c r="L18" s="206" t="str">
        <f ca="1">IF(ISNUMBER($I18),INDIRECT(ADDRESS(3+($I18-1)*6,COLUMN(EleData!EB$1),,,"EleData")),"")</f>
        <v/>
      </c>
      <c r="M18" s="206" t="str">
        <f ca="1">IF(ISNUMBER($I18),INDIRECT(ADDRESS(3+($I18-1)*6,COLUMN(EleData!EC$1),,,"EleData")),"")</f>
        <v/>
      </c>
      <c r="N18" s="206" t="str">
        <f ca="1">IF(ISNUMBER($I18),INDIRECT(ADDRESS(3+($I18-1)*6,COLUMN(EleData!ED$1),,,"EleData")),"")</f>
        <v/>
      </c>
      <c r="O18" s="206" t="str">
        <f ca="1">IF(ISNUMBER($I18),INDIRECT(ADDRESS(3+($I18-1)*6,COLUMN(EleData!EE$1),,,"EleData")),"")</f>
        <v/>
      </c>
      <c r="P18" s="206" t="str">
        <f ca="1">IF(ISNUMBER($I18),INDIRECT(ADDRESS(3+($I18-1)*6,COLUMN(EleData!EF$1),,,"EleData")),"")</f>
        <v/>
      </c>
      <c r="Q18" s="206" t="str">
        <f ca="1">IF(ISNUMBER($I18),INDIRECT(ADDRESS(3+($I18-1)*6,COLUMN(EleData!EG$1),,,"EleData")),"")</f>
        <v/>
      </c>
      <c r="R18" s="206" t="str">
        <f ca="1">IF(ISNUMBER($I18),INDIRECT(ADDRESS(3+($I18-1)*6,COLUMN(EleData!EH$1),,,"EleData")),"")</f>
        <v/>
      </c>
      <c r="S18" s="206" t="str">
        <f ca="1">IF(ISNUMBER($I18),INDIRECT(ADDRESS(3+($I18-1)*6,COLUMN(EleData!EI$1),,,"EleData")),"")</f>
        <v/>
      </c>
      <c r="T18" s="217" t="str">
        <f ca="1">IF(ISNUMBER($I18),INDIRECT(ADDRESS(3+($I18-1)*6,COLUMN(EleData!EJ$1),,,"EleData")),"")</f>
        <v/>
      </c>
    </row>
    <row r="19" spans="1:24" x14ac:dyDescent="0.2">
      <c r="A19" s="12"/>
      <c r="B19" s="12"/>
      <c r="C19" s="12"/>
      <c r="D19" s="12"/>
      <c r="E19" s="12"/>
      <c r="F19" s="12"/>
      <c r="G19" s="12"/>
      <c r="H19" s="12"/>
      <c r="I19" s="320" t="str">
        <f t="shared" ca="1" si="0"/>
        <v/>
      </c>
      <c r="J19" s="216" t="str">
        <f ca="1">IF(ISNUMBER($I19),INDIRECT(ADDRESS(3+($I19-1)*6,COLUMN(EleData!DZ$1),,,"EleData")),"")</f>
        <v/>
      </c>
      <c r="K19" s="206" t="str">
        <f ca="1">IF(ISNUMBER($I19),INDIRECT(ADDRESS(3+($I19-1)*6,COLUMN(EleData!EA$1),,,"EleData")),"")</f>
        <v/>
      </c>
      <c r="L19" s="206" t="str">
        <f ca="1">IF(ISNUMBER($I19),INDIRECT(ADDRESS(3+($I19-1)*6,COLUMN(EleData!EB$1),,,"EleData")),"")</f>
        <v/>
      </c>
      <c r="M19" s="206" t="str">
        <f ca="1">IF(ISNUMBER($I19),INDIRECT(ADDRESS(3+($I19-1)*6,COLUMN(EleData!EC$1),,,"EleData")),"")</f>
        <v/>
      </c>
      <c r="N19" s="206" t="str">
        <f ca="1">IF(ISNUMBER($I19),INDIRECT(ADDRESS(3+($I19-1)*6,COLUMN(EleData!ED$1),,,"EleData")),"")</f>
        <v/>
      </c>
      <c r="O19" s="206" t="str">
        <f ca="1">IF(ISNUMBER($I19),INDIRECT(ADDRESS(3+($I19-1)*6,COLUMN(EleData!EE$1),,,"EleData")),"")</f>
        <v/>
      </c>
      <c r="P19" s="206" t="str">
        <f ca="1">IF(ISNUMBER($I19),INDIRECT(ADDRESS(3+($I19-1)*6,COLUMN(EleData!EF$1),,,"EleData")),"")</f>
        <v/>
      </c>
      <c r="Q19" s="206" t="str">
        <f ca="1">IF(ISNUMBER($I19),INDIRECT(ADDRESS(3+($I19-1)*6,COLUMN(EleData!EG$1),,,"EleData")),"")</f>
        <v/>
      </c>
      <c r="R19" s="206" t="str">
        <f ca="1">IF(ISNUMBER($I19),INDIRECT(ADDRESS(3+($I19-1)*6,COLUMN(EleData!EH$1),,,"EleData")),"")</f>
        <v/>
      </c>
      <c r="S19" s="206" t="str">
        <f ca="1">IF(ISNUMBER($I19),INDIRECT(ADDRESS(3+($I19-1)*6,COLUMN(EleData!EI$1),,,"EleData")),"")</f>
        <v/>
      </c>
      <c r="T19" s="217" t="str">
        <f ca="1">IF(ISNUMBER($I19),INDIRECT(ADDRESS(3+($I19-1)*6,COLUMN(EleData!EJ$1),,,"EleData")),"")</f>
        <v/>
      </c>
    </row>
    <row r="20" spans="1:24" x14ac:dyDescent="0.2">
      <c r="A20" s="12"/>
      <c r="B20" s="12"/>
      <c r="C20" s="12"/>
      <c r="D20" s="12"/>
      <c r="E20" s="12"/>
      <c r="F20" s="12"/>
      <c r="G20" s="12"/>
      <c r="H20" s="12"/>
      <c r="I20" s="320" t="str">
        <f t="shared" ca="1" si="0"/>
        <v/>
      </c>
      <c r="J20" s="216" t="str">
        <f ca="1">IF(ISNUMBER($I20),INDIRECT(ADDRESS(3+($I20-1)*6,COLUMN(EleData!DZ$1),,,"EleData")),"")</f>
        <v/>
      </c>
      <c r="K20" s="206" t="str">
        <f ca="1">IF(ISNUMBER($I20),INDIRECT(ADDRESS(3+($I20-1)*6,COLUMN(EleData!EA$1),,,"EleData")),"")</f>
        <v/>
      </c>
      <c r="L20" s="206" t="str">
        <f ca="1">IF(ISNUMBER($I20),INDIRECT(ADDRESS(3+($I20-1)*6,COLUMN(EleData!EB$1),,,"EleData")),"")</f>
        <v/>
      </c>
      <c r="M20" s="206" t="str">
        <f ca="1">IF(ISNUMBER($I20),INDIRECT(ADDRESS(3+($I20-1)*6,COLUMN(EleData!EC$1),,,"EleData")),"")</f>
        <v/>
      </c>
      <c r="N20" s="206" t="str">
        <f ca="1">IF(ISNUMBER($I20),INDIRECT(ADDRESS(3+($I20-1)*6,COLUMN(EleData!ED$1),,,"EleData")),"")</f>
        <v/>
      </c>
      <c r="O20" s="206" t="str">
        <f ca="1">IF(ISNUMBER($I20),INDIRECT(ADDRESS(3+($I20-1)*6,COLUMN(EleData!EE$1),,,"EleData")),"")</f>
        <v/>
      </c>
      <c r="P20" s="206" t="str">
        <f ca="1">IF(ISNUMBER($I20),INDIRECT(ADDRESS(3+($I20-1)*6,COLUMN(EleData!EF$1),,,"EleData")),"")</f>
        <v/>
      </c>
      <c r="Q20" s="206" t="str">
        <f ca="1">IF(ISNUMBER($I20),INDIRECT(ADDRESS(3+($I20-1)*6,COLUMN(EleData!EG$1),,,"EleData")),"")</f>
        <v/>
      </c>
      <c r="R20" s="206" t="str">
        <f ca="1">IF(ISNUMBER($I20),INDIRECT(ADDRESS(3+($I20-1)*6,COLUMN(EleData!EH$1),,,"EleData")),"")</f>
        <v/>
      </c>
      <c r="S20" s="206" t="str">
        <f ca="1">IF(ISNUMBER($I20),INDIRECT(ADDRESS(3+($I20-1)*6,COLUMN(EleData!EI$1),,,"EleData")),"")</f>
        <v/>
      </c>
      <c r="T20" s="217" t="str">
        <f ca="1">IF(ISNUMBER($I20),INDIRECT(ADDRESS(3+($I20-1)*6,COLUMN(EleData!EJ$1),,,"EleData")),"")</f>
        <v/>
      </c>
    </row>
    <row r="21" spans="1:24" x14ac:dyDescent="0.2">
      <c r="A21" s="12"/>
      <c r="B21" s="12"/>
      <c r="C21" s="12"/>
      <c r="D21" s="12"/>
      <c r="E21" s="12"/>
      <c r="F21" s="12"/>
      <c r="G21" s="12"/>
      <c r="H21" s="12"/>
      <c r="I21" s="320" t="str">
        <f t="shared" ca="1" si="0"/>
        <v/>
      </c>
      <c r="J21" s="216" t="str">
        <f ca="1">IF(ISNUMBER($I21),INDIRECT(ADDRESS(3+($I21-1)*6,COLUMN(EleData!DZ$1),,,"EleData")),"")</f>
        <v/>
      </c>
      <c r="K21" s="206" t="str">
        <f ca="1">IF(ISNUMBER($I21),INDIRECT(ADDRESS(3+($I21-1)*6,COLUMN(EleData!EA$1),,,"EleData")),"")</f>
        <v/>
      </c>
      <c r="L21" s="206" t="str">
        <f ca="1">IF(ISNUMBER($I21),INDIRECT(ADDRESS(3+($I21-1)*6,COLUMN(EleData!EB$1),,,"EleData")),"")</f>
        <v/>
      </c>
      <c r="M21" s="206" t="str">
        <f ca="1">IF(ISNUMBER($I21),INDIRECT(ADDRESS(3+($I21-1)*6,COLUMN(EleData!EC$1),,,"EleData")),"")</f>
        <v/>
      </c>
      <c r="N21" s="206" t="str">
        <f ca="1">IF(ISNUMBER($I21),INDIRECT(ADDRESS(3+($I21-1)*6,COLUMN(EleData!ED$1),,,"EleData")),"")</f>
        <v/>
      </c>
      <c r="O21" s="206" t="str">
        <f ca="1">IF(ISNUMBER($I21),INDIRECT(ADDRESS(3+($I21-1)*6,COLUMN(EleData!EE$1),,,"EleData")),"")</f>
        <v/>
      </c>
      <c r="P21" s="206" t="str">
        <f ca="1">IF(ISNUMBER($I21),INDIRECT(ADDRESS(3+($I21-1)*6,COLUMN(EleData!EF$1),,,"EleData")),"")</f>
        <v/>
      </c>
      <c r="Q21" s="206" t="str">
        <f ca="1">IF(ISNUMBER($I21),INDIRECT(ADDRESS(3+($I21-1)*6,COLUMN(EleData!EG$1),,,"EleData")),"")</f>
        <v/>
      </c>
      <c r="R21" s="206" t="str">
        <f ca="1">IF(ISNUMBER($I21),INDIRECT(ADDRESS(3+($I21-1)*6,COLUMN(EleData!EH$1),,,"EleData")),"")</f>
        <v/>
      </c>
      <c r="S21" s="206" t="str">
        <f ca="1">IF(ISNUMBER($I21),INDIRECT(ADDRESS(3+($I21-1)*6,COLUMN(EleData!EI$1),,,"EleData")),"")</f>
        <v/>
      </c>
      <c r="T21" s="217" t="str">
        <f ca="1">IF(ISNUMBER($I21),INDIRECT(ADDRESS(3+($I21-1)*6,COLUMN(EleData!EJ$1),,,"EleData")),"")</f>
        <v/>
      </c>
    </row>
    <row r="22" spans="1:24" x14ac:dyDescent="0.2">
      <c r="A22" s="12"/>
      <c r="B22" s="12"/>
      <c r="C22" s="12"/>
      <c r="D22" s="12"/>
      <c r="E22" s="12"/>
      <c r="F22" s="12"/>
      <c r="G22" s="12"/>
      <c r="H22" s="92"/>
      <c r="I22" s="320" t="str">
        <f t="shared" ca="1" si="0"/>
        <v/>
      </c>
      <c r="J22" s="216" t="str">
        <f ca="1">IF(ISNUMBER($I22),INDIRECT(ADDRESS(3+($I22-1)*6,COLUMN(EleData!DZ$1),,,"EleData")),"")</f>
        <v/>
      </c>
      <c r="K22" s="206" t="str">
        <f ca="1">IF(ISNUMBER($I22),INDIRECT(ADDRESS(3+($I22-1)*6,COLUMN(EleData!EA$1),,,"EleData")),"")</f>
        <v/>
      </c>
      <c r="L22" s="206" t="str">
        <f ca="1">IF(ISNUMBER($I22),INDIRECT(ADDRESS(3+($I22-1)*6,COLUMN(EleData!EB$1),,,"EleData")),"")</f>
        <v/>
      </c>
      <c r="M22" s="206" t="str">
        <f ca="1">IF(ISNUMBER($I22),INDIRECT(ADDRESS(3+($I22-1)*6,COLUMN(EleData!EC$1),,,"EleData")),"")</f>
        <v/>
      </c>
      <c r="N22" s="206" t="str">
        <f ca="1">IF(ISNUMBER($I22),INDIRECT(ADDRESS(3+($I22-1)*6,COLUMN(EleData!ED$1),,,"EleData")),"")</f>
        <v/>
      </c>
      <c r="O22" s="206" t="str">
        <f ca="1">IF(ISNUMBER($I22),INDIRECT(ADDRESS(3+($I22-1)*6,COLUMN(EleData!EE$1),,,"EleData")),"")</f>
        <v/>
      </c>
      <c r="P22" s="206" t="str">
        <f ca="1">IF(ISNUMBER($I22),INDIRECT(ADDRESS(3+($I22-1)*6,COLUMN(EleData!EF$1),,,"EleData")),"")</f>
        <v/>
      </c>
      <c r="Q22" s="206" t="str">
        <f ca="1">IF(ISNUMBER($I22),INDIRECT(ADDRESS(3+($I22-1)*6,COLUMN(EleData!EG$1),,,"EleData")),"")</f>
        <v/>
      </c>
      <c r="R22" s="206" t="str">
        <f ca="1">IF(ISNUMBER($I22),INDIRECT(ADDRESS(3+($I22-1)*6,COLUMN(EleData!EH$1),,,"EleData")),"")</f>
        <v/>
      </c>
      <c r="S22" s="206" t="str">
        <f ca="1">IF(ISNUMBER($I22),INDIRECT(ADDRESS(3+($I22-1)*6,COLUMN(EleData!EI$1),,,"EleData")),"")</f>
        <v/>
      </c>
      <c r="T22" s="217" t="str">
        <f ca="1">IF(ISNUMBER($I22),INDIRECT(ADDRESS(3+($I22-1)*6,COLUMN(EleData!EJ$1),,,"EleData")),"")</f>
        <v/>
      </c>
      <c r="X22" s="12"/>
    </row>
    <row r="23" spans="1:24" x14ac:dyDescent="0.2">
      <c r="A23" s="12"/>
      <c r="B23" s="12"/>
      <c r="C23" s="12"/>
      <c r="D23" s="12"/>
      <c r="E23" s="12"/>
      <c r="F23" s="12"/>
      <c r="G23" s="12"/>
      <c r="H23" s="12"/>
      <c r="I23" s="320" t="str">
        <f t="shared" ca="1" si="0"/>
        <v/>
      </c>
      <c r="J23" s="216" t="str">
        <f ca="1">IF(ISNUMBER($I23),INDIRECT(ADDRESS(3+($I23-1)*6,COLUMN(EleData!DZ$1),,,"EleData")),"")</f>
        <v/>
      </c>
      <c r="K23" s="206" t="str">
        <f ca="1">IF(ISNUMBER($I23),INDIRECT(ADDRESS(3+($I23-1)*6,COLUMN(EleData!EA$1),,,"EleData")),"")</f>
        <v/>
      </c>
      <c r="L23" s="206" t="str">
        <f ca="1">IF(ISNUMBER($I23),INDIRECT(ADDRESS(3+($I23-1)*6,COLUMN(EleData!EB$1),,,"EleData")),"")</f>
        <v/>
      </c>
      <c r="M23" s="206" t="str">
        <f ca="1">IF(ISNUMBER($I23),INDIRECT(ADDRESS(3+($I23-1)*6,COLUMN(EleData!EC$1),,,"EleData")),"")</f>
        <v/>
      </c>
      <c r="N23" s="206" t="str">
        <f ca="1">IF(ISNUMBER($I23),INDIRECT(ADDRESS(3+($I23-1)*6,COLUMN(EleData!ED$1),,,"EleData")),"")</f>
        <v/>
      </c>
      <c r="O23" s="206" t="str">
        <f ca="1">IF(ISNUMBER($I23),INDIRECT(ADDRESS(3+($I23-1)*6,COLUMN(EleData!EE$1),,,"EleData")),"")</f>
        <v/>
      </c>
      <c r="P23" s="206" t="str">
        <f ca="1">IF(ISNUMBER($I23),INDIRECT(ADDRESS(3+($I23-1)*6,COLUMN(EleData!EF$1),,,"EleData")),"")</f>
        <v/>
      </c>
      <c r="Q23" s="206" t="str">
        <f ca="1">IF(ISNUMBER($I23),INDIRECT(ADDRESS(3+($I23-1)*6,COLUMN(EleData!EG$1),,,"EleData")),"")</f>
        <v/>
      </c>
      <c r="R23" s="206" t="str">
        <f ca="1">IF(ISNUMBER($I23),INDIRECT(ADDRESS(3+($I23-1)*6,COLUMN(EleData!EH$1),,,"EleData")),"")</f>
        <v/>
      </c>
      <c r="S23" s="206" t="str">
        <f ca="1">IF(ISNUMBER($I23),INDIRECT(ADDRESS(3+($I23-1)*6,COLUMN(EleData!EI$1),,,"EleData")),"")</f>
        <v/>
      </c>
      <c r="T23" s="217" t="str">
        <f ca="1">IF(ISNUMBER($I23),INDIRECT(ADDRESS(3+($I23-1)*6,COLUMN(EleData!EJ$1),,,"EleData")),"")</f>
        <v/>
      </c>
      <c r="X23" s="12"/>
    </row>
    <row r="24" spans="1:24" ht="13.5" thickBot="1" x14ac:dyDescent="0.25">
      <c r="A24" s="12"/>
      <c r="B24" s="12"/>
      <c r="C24" s="12"/>
      <c r="D24" s="12"/>
      <c r="E24" s="12"/>
      <c r="F24" s="12"/>
      <c r="G24" s="12"/>
      <c r="H24" s="12"/>
      <c r="I24" s="321" t="str">
        <f t="shared" ca="1" si="0"/>
        <v/>
      </c>
      <c r="J24" s="218" t="str">
        <f ca="1">IF(ISNUMBER($I24),INDIRECT(ADDRESS(3+($I24-1)*6,COLUMN(EleData!DZ$1),,,"EleData")),"")</f>
        <v/>
      </c>
      <c r="K24" s="295" t="str">
        <f ca="1">IF(ISNUMBER($I24),INDIRECT(ADDRESS(3+($I24-1)*6,COLUMN(EleData!EA$1),,,"EleData")),"")</f>
        <v/>
      </c>
      <c r="L24" s="295" t="str">
        <f ca="1">IF(ISNUMBER($I24),INDIRECT(ADDRESS(3+($I24-1)*6,COLUMN(EleData!EB$1),,,"EleData")),"")</f>
        <v/>
      </c>
      <c r="M24" s="295" t="str">
        <f ca="1">IF(ISNUMBER($I24),INDIRECT(ADDRESS(3+($I24-1)*6,COLUMN(EleData!EC$1),,,"EleData")),"")</f>
        <v/>
      </c>
      <c r="N24" s="295" t="str">
        <f ca="1">IF(ISNUMBER($I24),INDIRECT(ADDRESS(3+($I24-1)*6,COLUMN(EleData!ED$1),,,"EleData")),"")</f>
        <v/>
      </c>
      <c r="O24" s="295" t="str">
        <f ca="1">IF(ISNUMBER($I24),INDIRECT(ADDRESS(3+($I24-1)*6,COLUMN(EleData!EE$1),,,"EleData")),"")</f>
        <v/>
      </c>
      <c r="P24" s="295" t="str">
        <f ca="1">IF(ISNUMBER($I24),INDIRECT(ADDRESS(3+($I24-1)*6,COLUMN(EleData!EF$1),,,"EleData")),"")</f>
        <v/>
      </c>
      <c r="Q24" s="295" t="str">
        <f ca="1">IF(ISNUMBER($I24),INDIRECT(ADDRESS(3+($I24-1)*6,COLUMN(EleData!EG$1),,,"EleData")),"")</f>
        <v/>
      </c>
      <c r="R24" s="295" t="str">
        <f ca="1">IF(ISNUMBER($I24),INDIRECT(ADDRESS(3+($I24-1)*6,COLUMN(EleData!EH$1),,,"EleData")),"")</f>
        <v/>
      </c>
      <c r="S24" s="295" t="str">
        <f ca="1">IF(ISNUMBER($I24),INDIRECT(ADDRESS(3+($I24-1)*6,COLUMN(EleData!EI$1),,,"EleData")),"")</f>
        <v/>
      </c>
      <c r="T24" s="219" t="str">
        <f ca="1">IF(ISNUMBER($I24),INDIRECT(ADDRESS(3+($I24-1)*6,COLUMN(EleData!EJ$1),,,"EleData")),"")</f>
        <v/>
      </c>
      <c r="X24" s="12"/>
    </row>
    <row r="25" spans="1:24" x14ac:dyDescent="0.2">
      <c r="A25" s="12"/>
      <c r="B25" s="12"/>
      <c r="C25" s="12"/>
      <c r="D25" s="12"/>
      <c r="E25" s="12"/>
      <c r="F25" s="12"/>
      <c r="G25" s="12"/>
      <c r="H25" s="12"/>
      <c r="I25" s="12"/>
      <c r="J25" s="12"/>
      <c r="K25" s="12"/>
      <c r="L25" s="12"/>
      <c r="M25" s="12"/>
      <c r="N25" s="12"/>
      <c r="X25" s="12"/>
    </row>
    <row r="26" spans="1:24" x14ac:dyDescent="0.2">
      <c r="M26" s="12"/>
      <c r="X26" s="12"/>
    </row>
    <row r="27" spans="1:24" x14ac:dyDescent="0.2">
      <c r="X27" s="12"/>
    </row>
    <row r="28" spans="1:24" x14ac:dyDescent="0.2">
      <c r="X28" s="12"/>
    </row>
    <row r="29" spans="1:24" x14ac:dyDescent="0.2">
      <c r="M29" s="12"/>
      <c r="X29" s="12"/>
    </row>
    <row r="30" spans="1:24" x14ac:dyDescent="0.2">
      <c r="M30" s="12"/>
      <c r="X30" s="12"/>
    </row>
    <row r="36" spans="2:3" x14ac:dyDescent="0.2">
      <c r="B36" s="12"/>
      <c r="C36" s="12"/>
    </row>
    <row r="73" spans="1:30" x14ac:dyDescent="0.2">
      <c r="A73">
        <v>1</v>
      </c>
      <c r="B73">
        <v>2</v>
      </c>
      <c r="C73">
        <v>3</v>
      </c>
      <c r="D73">
        <v>4</v>
      </c>
      <c r="E73">
        <v>5</v>
      </c>
      <c r="F73">
        <v>6</v>
      </c>
      <c r="G73">
        <v>7</v>
      </c>
      <c r="H73">
        <v>8</v>
      </c>
      <c r="I73">
        <v>9</v>
      </c>
      <c r="J73">
        <v>10</v>
      </c>
      <c r="K73">
        <v>11</v>
      </c>
      <c r="L73">
        <v>12</v>
      </c>
      <c r="M73">
        <v>13</v>
      </c>
      <c r="N73">
        <v>14</v>
      </c>
      <c r="O73">
        <v>15</v>
      </c>
      <c r="P73">
        <v>16</v>
      </c>
      <c r="Q73">
        <v>17</v>
      </c>
      <c r="R73">
        <v>18</v>
      </c>
      <c r="S73">
        <v>19</v>
      </c>
      <c r="T73">
        <v>20</v>
      </c>
      <c r="U73">
        <v>21</v>
      </c>
      <c r="V73">
        <v>22</v>
      </c>
      <c r="W73">
        <v>23</v>
      </c>
      <c r="X73">
        <v>24</v>
      </c>
      <c r="Y73">
        <v>25</v>
      </c>
      <c r="Z73">
        <v>26</v>
      </c>
      <c r="AA73">
        <v>27</v>
      </c>
      <c r="AB73">
        <v>28</v>
      </c>
      <c r="AC73">
        <v>29</v>
      </c>
      <c r="AD73">
        <v>30</v>
      </c>
    </row>
    <row r="79" spans="1:30" x14ac:dyDescent="0.2">
      <c r="A79">
        <f>IF(ISBLANK(System!B2),"",System!B2)</f>
        <v>1</v>
      </c>
      <c r="B79" t="str">
        <f t="shared" ref="B79:B98" si="1">IF(A2="","",B2)</f>
        <v/>
      </c>
      <c r="C79">
        <f t="array" ref="C79:AD79">IF(A2="",0,GlobBendMom(B2,System!C2:D2,System!K2:L2,System!M2:N2,System!E2:I2,#REF!))</f>
        <v>0</v>
      </c>
      <c r="D79">
        <v>0</v>
      </c>
      <c r="E79">
        <v>0</v>
      </c>
      <c r="F79">
        <v>0</v>
      </c>
      <c r="G79">
        <v>0</v>
      </c>
      <c r="H79">
        <v>0</v>
      </c>
      <c r="I79">
        <v>0</v>
      </c>
      <c r="J79">
        <v>0</v>
      </c>
      <c r="K79">
        <v>0</v>
      </c>
      <c r="L79">
        <v>0</v>
      </c>
      <c r="M79" s="12">
        <v>0</v>
      </c>
      <c r="N79">
        <v>0</v>
      </c>
      <c r="O79">
        <v>0</v>
      </c>
      <c r="P79" s="30">
        <v>0</v>
      </c>
      <c r="Q79">
        <v>0</v>
      </c>
      <c r="R79">
        <v>0</v>
      </c>
      <c r="S79">
        <v>0</v>
      </c>
      <c r="T79">
        <v>0</v>
      </c>
      <c r="U79">
        <v>0</v>
      </c>
      <c r="V79">
        <v>0</v>
      </c>
      <c r="W79">
        <v>0</v>
      </c>
      <c r="X79" s="12">
        <v>0</v>
      </c>
      <c r="Y79">
        <v>0</v>
      </c>
      <c r="Z79">
        <v>0</v>
      </c>
      <c r="AA79">
        <v>0</v>
      </c>
      <c r="AB79">
        <v>0</v>
      </c>
      <c r="AC79">
        <v>0</v>
      </c>
      <c r="AD79" s="30">
        <v>0</v>
      </c>
    </row>
    <row r="80" spans="1:30" x14ac:dyDescent="0.2">
      <c r="A80">
        <f>IF(ISBLANK(System!B3),"",System!B3)</f>
        <v>2</v>
      </c>
      <c r="B80" t="str">
        <f t="shared" si="1"/>
        <v/>
      </c>
      <c r="C80">
        <f t="array" ref="C80:AD80">IF(A3="",0,GlobBendMom(B3,System!C3:D3,System!K3:L3,System!M3:N3,System!E3:I3,#REF!))</f>
        <v>0</v>
      </c>
      <c r="D80">
        <v>0</v>
      </c>
      <c r="E80">
        <v>0</v>
      </c>
      <c r="F80">
        <v>0</v>
      </c>
      <c r="G80">
        <v>0</v>
      </c>
      <c r="H80">
        <v>0</v>
      </c>
      <c r="I80">
        <v>0</v>
      </c>
      <c r="J80">
        <v>0</v>
      </c>
      <c r="K80">
        <v>0</v>
      </c>
      <c r="L80">
        <v>0</v>
      </c>
      <c r="M80" s="12">
        <v>0</v>
      </c>
      <c r="N80">
        <v>0</v>
      </c>
      <c r="O80">
        <v>0</v>
      </c>
      <c r="P80" s="30">
        <v>0</v>
      </c>
      <c r="Q80">
        <v>0</v>
      </c>
      <c r="R80">
        <v>0</v>
      </c>
      <c r="S80">
        <v>0</v>
      </c>
      <c r="T80">
        <v>0</v>
      </c>
      <c r="U80">
        <v>0</v>
      </c>
      <c r="V80">
        <v>0</v>
      </c>
      <c r="W80">
        <v>0</v>
      </c>
      <c r="X80" s="12">
        <v>0</v>
      </c>
      <c r="Y80">
        <v>0</v>
      </c>
      <c r="Z80">
        <v>0</v>
      </c>
      <c r="AA80">
        <v>0</v>
      </c>
      <c r="AB80">
        <v>0</v>
      </c>
      <c r="AC80">
        <v>0</v>
      </c>
      <c r="AD80" s="30">
        <v>0</v>
      </c>
    </row>
    <row r="81" spans="1:30" x14ac:dyDescent="0.2">
      <c r="A81">
        <f>IF(ISBLANK(System!B4),"",System!B4)</f>
        <v>3</v>
      </c>
      <c r="B81" t="str">
        <f t="shared" si="1"/>
        <v/>
      </c>
      <c r="C81">
        <f t="array" ref="C81:AD81">IF(A4="",0,GlobBendMom(B4,System!C4:D4,System!K4:L4,System!M4:N4,System!E4:I4,#REF!))</f>
        <v>0</v>
      </c>
      <c r="D81">
        <v>0</v>
      </c>
      <c r="E81">
        <v>0</v>
      </c>
      <c r="F81">
        <v>0</v>
      </c>
      <c r="G81">
        <v>0</v>
      </c>
      <c r="H81">
        <v>0</v>
      </c>
      <c r="I81">
        <v>0</v>
      </c>
      <c r="J81">
        <v>0</v>
      </c>
      <c r="K81">
        <v>0</v>
      </c>
      <c r="L81">
        <v>0</v>
      </c>
      <c r="M81" s="12">
        <v>0</v>
      </c>
      <c r="N81">
        <v>0</v>
      </c>
      <c r="O81">
        <v>0</v>
      </c>
      <c r="P81" s="30">
        <v>0</v>
      </c>
      <c r="Q81">
        <v>0</v>
      </c>
      <c r="R81">
        <v>0</v>
      </c>
      <c r="S81">
        <v>0</v>
      </c>
      <c r="T81">
        <v>0</v>
      </c>
      <c r="U81">
        <v>0</v>
      </c>
      <c r="V81">
        <v>0</v>
      </c>
      <c r="W81">
        <v>0</v>
      </c>
      <c r="X81" s="12">
        <v>0</v>
      </c>
      <c r="Y81">
        <v>0</v>
      </c>
      <c r="Z81">
        <v>0</v>
      </c>
      <c r="AA81">
        <v>0</v>
      </c>
      <c r="AB81">
        <v>0</v>
      </c>
      <c r="AC81">
        <v>0</v>
      </c>
      <c r="AD81" s="30">
        <v>0</v>
      </c>
    </row>
    <row r="82" spans="1:30" x14ac:dyDescent="0.2">
      <c r="A82">
        <f>IF(ISBLANK(System!B5),"",System!B5)</f>
        <v>4</v>
      </c>
      <c r="B82" t="str">
        <f t="shared" si="1"/>
        <v/>
      </c>
      <c r="C82">
        <f t="array" ref="C82:AD82">IF(A5="",0,GlobBendMom(B5,System!C5:D5,System!K5:L5,System!M5:N5,System!E5:I5,#REF!))</f>
        <v>0</v>
      </c>
      <c r="D82">
        <v>0</v>
      </c>
      <c r="E82">
        <v>0</v>
      </c>
      <c r="F82">
        <v>0</v>
      </c>
      <c r="G82">
        <v>0</v>
      </c>
      <c r="H82">
        <v>0</v>
      </c>
      <c r="I82">
        <v>0</v>
      </c>
      <c r="J82">
        <v>0</v>
      </c>
      <c r="K82">
        <v>0</v>
      </c>
      <c r="L82">
        <v>0</v>
      </c>
      <c r="M82" s="12">
        <v>0</v>
      </c>
      <c r="N82">
        <v>0</v>
      </c>
      <c r="O82">
        <v>0</v>
      </c>
      <c r="P82" s="30">
        <v>0</v>
      </c>
      <c r="Q82">
        <v>0</v>
      </c>
      <c r="R82">
        <v>0</v>
      </c>
      <c r="S82">
        <v>0</v>
      </c>
      <c r="T82">
        <v>0</v>
      </c>
      <c r="U82">
        <v>0</v>
      </c>
      <c r="V82">
        <v>0</v>
      </c>
      <c r="W82">
        <v>0</v>
      </c>
      <c r="X82" s="12">
        <v>0</v>
      </c>
      <c r="Y82">
        <v>0</v>
      </c>
      <c r="Z82">
        <v>0</v>
      </c>
      <c r="AA82">
        <v>0</v>
      </c>
      <c r="AB82">
        <v>0</v>
      </c>
      <c r="AC82">
        <v>0</v>
      </c>
      <c r="AD82" s="30">
        <v>0</v>
      </c>
    </row>
    <row r="83" spans="1:30" x14ac:dyDescent="0.2">
      <c r="A83">
        <f>IF(ISBLANK(System!B6),"",System!B6)</f>
        <v>5</v>
      </c>
      <c r="B83" t="str">
        <f t="shared" si="1"/>
        <v/>
      </c>
      <c r="C83">
        <f t="array" ref="C83:AD83">IF(A6="",0,GlobBendMom(B6,System!C6:D6,System!K6:L6,System!M6:N6,System!E6:I6,#REF!))</f>
        <v>0</v>
      </c>
      <c r="D83">
        <v>0</v>
      </c>
      <c r="E83">
        <v>0</v>
      </c>
      <c r="F83">
        <v>0</v>
      </c>
      <c r="G83">
        <v>0</v>
      </c>
      <c r="H83">
        <v>0</v>
      </c>
      <c r="I83">
        <v>0</v>
      </c>
      <c r="J83">
        <v>0</v>
      </c>
      <c r="K83">
        <v>0</v>
      </c>
      <c r="L83">
        <v>0</v>
      </c>
      <c r="M83" s="12">
        <v>0</v>
      </c>
      <c r="N83">
        <v>0</v>
      </c>
      <c r="O83">
        <v>0</v>
      </c>
      <c r="P83" s="30">
        <v>0</v>
      </c>
      <c r="Q83">
        <v>0</v>
      </c>
      <c r="R83">
        <v>0</v>
      </c>
      <c r="S83">
        <v>0</v>
      </c>
      <c r="T83">
        <v>0</v>
      </c>
      <c r="U83">
        <v>0</v>
      </c>
      <c r="V83">
        <v>0</v>
      </c>
      <c r="W83">
        <v>0</v>
      </c>
      <c r="X83" s="12">
        <v>0</v>
      </c>
      <c r="Y83">
        <v>0</v>
      </c>
      <c r="Z83">
        <v>0</v>
      </c>
      <c r="AA83">
        <v>0</v>
      </c>
      <c r="AB83">
        <v>0</v>
      </c>
      <c r="AC83">
        <v>0</v>
      </c>
      <c r="AD83" s="30">
        <v>0</v>
      </c>
    </row>
    <row r="84" spans="1:30" x14ac:dyDescent="0.2">
      <c r="A84">
        <f>IF(ISBLANK(System!B7),"",System!B7)</f>
        <v>6</v>
      </c>
      <c r="B84" t="str">
        <f t="shared" si="1"/>
        <v/>
      </c>
      <c r="C84">
        <f t="array" ref="C84:AD84">IF(A7="",0,GlobBendMom(B7,System!C7:D7,System!K7:L7,System!M7:N7,System!E7:I7,#REF!))</f>
        <v>0</v>
      </c>
      <c r="D84">
        <v>0</v>
      </c>
      <c r="E84">
        <v>0</v>
      </c>
      <c r="F84">
        <v>0</v>
      </c>
      <c r="G84">
        <v>0</v>
      </c>
      <c r="H84">
        <v>0</v>
      </c>
      <c r="I84">
        <v>0</v>
      </c>
      <c r="J84">
        <v>0</v>
      </c>
      <c r="K84">
        <v>0</v>
      </c>
      <c r="L84">
        <v>0</v>
      </c>
      <c r="M84" s="12">
        <v>0</v>
      </c>
      <c r="N84">
        <v>0</v>
      </c>
      <c r="O84">
        <v>0</v>
      </c>
      <c r="P84" s="30">
        <v>0</v>
      </c>
      <c r="Q84">
        <v>0</v>
      </c>
      <c r="R84">
        <v>0</v>
      </c>
      <c r="S84">
        <v>0</v>
      </c>
      <c r="T84">
        <v>0</v>
      </c>
      <c r="U84">
        <v>0</v>
      </c>
      <c r="V84">
        <v>0</v>
      </c>
      <c r="W84">
        <v>0</v>
      </c>
      <c r="X84" s="12">
        <v>0</v>
      </c>
      <c r="Y84">
        <v>0</v>
      </c>
      <c r="Z84">
        <v>0</v>
      </c>
      <c r="AA84">
        <v>0</v>
      </c>
      <c r="AB84">
        <v>0</v>
      </c>
      <c r="AC84">
        <v>0</v>
      </c>
      <c r="AD84" s="30">
        <v>0</v>
      </c>
    </row>
    <row r="85" spans="1:30" x14ac:dyDescent="0.2">
      <c r="A85">
        <f>IF(ISBLANK(System!B8),"",System!B8)</f>
        <v>7</v>
      </c>
      <c r="B85" t="str">
        <f t="shared" si="1"/>
        <v/>
      </c>
      <c r="C85">
        <f t="array" ref="C85:AD85">IF(A8="",0,GlobBendMom(B8,System!C8:D8,System!K8:L8,System!M8:N8,System!E8:I8,#REF!))</f>
        <v>0</v>
      </c>
      <c r="D85">
        <v>0</v>
      </c>
      <c r="E85">
        <v>0</v>
      </c>
      <c r="F85">
        <v>0</v>
      </c>
      <c r="G85">
        <v>0</v>
      </c>
      <c r="H85">
        <v>0</v>
      </c>
      <c r="I85">
        <v>0</v>
      </c>
      <c r="J85">
        <v>0</v>
      </c>
      <c r="K85">
        <v>0</v>
      </c>
      <c r="L85">
        <v>0</v>
      </c>
      <c r="M85" s="12">
        <v>0</v>
      </c>
      <c r="N85">
        <v>0</v>
      </c>
      <c r="O85">
        <v>0</v>
      </c>
      <c r="P85" s="30">
        <v>0</v>
      </c>
      <c r="Q85">
        <v>0</v>
      </c>
      <c r="R85">
        <v>0</v>
      </c>
      <c r="S85">
        <v>0</v>
      </c>
      <c r="T85">
        <v>0</v>
      </c>
      <c r="U85">
        <v>0</v>
      </c>
      <c r="V85">
        <v>0</v>
      </c>
      <c r="W85">
        <v>0</v>
      </c>
      <c r="X85" s="12">
        <v>0</v>
      </c>
      <c r="Y85">
        <v>0</v>
      </c>
      <c r="Z85">
        <v>0</v>
      </c>
      <c r="AA85">
        <v>0</v>
      </c>
      <c r="AB85">
        <v>0</v>
      </c>
      <c r="AC85">
        <v>0</v>
      </c>
      <c r="AD85" s="30">
        <v>0</v>
      </c>
    </row>
    <row r="86" spans="1:30" x14ac:dyDescent="0.2">
      <c r="A86">
        <f>IF(ISBLANK(System!B9),"",System!B9)</f>
        <v>8</v>
      </c>
      <c r="B86" t="str">
        <f t="shared" si="1"/>
        <v/>
      </c>
      <c r="C86">
        <f t="array" ref="C86:AD86">IF(A9="",0,GlobBendMom(B9,System!C9:D9,System!K9:L9,System!M9:N9,System!E9:I9,#REF!))</f>
        <v>0</v>
      </c>
      <c r="D86">
        <v>0</v>
      </c>
      <c r="E86">
        <v>0</v>
      </c>
      <c r="F86">
        <v>0</v>
      </c>
      <c r="G86">
        <v>0</v>
      </c>
      <c r="H86">
        <v>0</v>
      </c>
      <c r="I86">
        <v>0</v>
      </c>
      <c r="J86">
        <v>0</v>
      </c>
      <c r="K86">
        <v>0</v>
      </c>
      <c r="L86">
        <v>0</v>
      </c>
      <c r="M86" s="12">
        <v>0</v>
      </c>
      <c r="N86">
        <v>0</v>
      </c>
      <c r="O86">
        <v>0</v>
      </c>
      <c r="P86" s="30">
        <v>0</v>
      </c>
      <c r="Q86">
        <v>0</v>
      </c>
      <c r="R86">
        <v>0</v>
      </c>
      <c r="S86">
        <v>0</v>
      </c>
      <c r="T86">
        <v>0</v>
      </c>
      <c r="U86">
        <v>0</v>
      </c>
      <c r="V86">
        <v>0</v>
      </c>
      <c r="W86">
        <v>0</v>
      </c>
      <c r="X86" s="12">
        <v>0</v>
      </c>
      <c r="Y86">
        <v>0</v>
      </c>
      <c r="Z86">
        <v>0</v>
      </c>
      <c r="AA86">
        <v>0</v>
      </c>
      <c r="AB86">
        <v>0</v>
      </c>
      <c r="AC86">
        <v>0</v>
      </c>
      <c r="AD86" s="30">
        <v>0</v>
      </c>
    </row>
    <row r="87" spans="1:30" x14ac:dyDescent="0.2">
      <c r="A87">
        <f>IF(ISBLANK(System!B10),"",System!B10)</f>
        <v>9</v>
      </c>
      <c r="B87" t="str">
        <f t="shared" si="1"/>
        <v/>
      </c>
      <c r="C87">
        <f t="array" ref="C87:AD87">IF(A10="",0,GlobBendMom(B10,System!C10:D10,System!K10:L10,System!M10:N10,System!E10:I10,#REF!))</f>
        <v>0</v>
      </c>
      <c r="D87">
        <v>0</v>
      </c>
      <c r="E87">
        <v>0</v>
      </c>
      <c r="F87">
        <v>0</v>
      </c>
      <c r="G87">
        <v>0</v>
      </c>
      <c r="H87">
        <v>0</v>
      </c>
      <c r="I87">
        <v>0</v>
      </c>
      <c r="J87">
        <v>0</v>
      </c>
      <c r="K87">
        <v>0</v>
      </c>
      <c r="L87">
        <v>0</v>
      </c>
      <c r="M87" s="12">
        <v>0</v>
      </c>
      <c r="N87">
        <v>0</v>
      </c>
      <c r="O87">
        <v>0</v>
      </c>
      <c r="P87" s="30">
        <v>0</v>
      </c>
      <c r="Q87">
        <v>0</v>
      </c>
      <c r="R87">
        <v>0</v>
      </c>
      <c r="S87">
        <v>0</v>
      </c>
      <c r="T87">
        <v>0</v>
      </c>
      <c r="U87">
        <v>0</v>
      </c>
      <c r="V87">
        <v>0</v>
      </c>
      <c r="W87">
        <v>0</v>
      </c>
      <c r="X87" s="12">
        <v>0</v>
      </c>
      <c r="Y87">
        <v>0</v>
      </c>
      <c r="Z87">
        <v>0</v>
      </c>
      <c r="AA87">
        <v>0</v>
      </c>
      <c r="AB87">
        <v>0</v>
      </c>
      <c r="AC87">
        <v>0</v>
      </c>
      <c r="AD87" s="30">
        <v>0</v>
      </c>
    </row>
    <row r="88" spans="1:30" x14ac:dyDescent="0.2">
      <c r="A88">
        <f>IF(ISBLANK(System!B11),"",System!B11)</f>
        <v>10</v>
      </c>
      <c r="B88" t="str">
        <f t="shared" si="1"/>
        <v/>
      </c>
      <c r="C88">
        <f t="array" ref="C88:AD88">IF(A11="",0,GlobBendMom(B11,System!C11:D11,System!K11:L11,System!M11:N11,System!E11:I11,#REF!))</f>
        <v>0</v>
      </c>
      <c r="D88">
        <v>0</v>
      </c>
      <c r="E88">
        <v>0</v>
      </c>
      <c r="F88">
        <v>0</v>
      </c>
      <c r="G88">
        <v>0</v>
      </c>
      <c r="H88">
        <v>0</v>
      </c>
      <c r="I88">
        <v>0</v>
      </c>
      <c r="J88">
        <v>0</v>
      </c>
      <c r="K88">
        <v>0</v>
      </c>
      <c r="L88">
        <v>0</v>
      </c>
      <c r="M88" s="12">
        <v>0</v>
      </c>
      <c r="N88">
        <v>0</v>
      </c>
      <c r="O88">
        <v>0</v>
      </c>
      <c r="P88" s="30">
        <v>0</v>
      </c>
      <c r="Q88">
        <v>0</v>
      </c>
      <c r="R88">
        <v>0</v>
      </c>
      <c r="S88">
        <v>0</v>
      </c>
      <c r="T88">
        <v>0</v>
      </c>
      <c r="U88">
        <v>0</v>
      </c>
      <c r="V88">
        <v>0</v>
      </c>
      <c r="W88">
        <v>0</v>
      </c>
      <c r="X88" s="12">
        <v>0</v>
      </c>
      <c r="Y88">
        <v>0</v>
      </c>
      <c r="Z88">
        <v>0</v>
      </c>
      <c r="AA88">
        <v>0</v>
      </c>
      <c r="AB88">
        <v>0</v>
      </c>
      <c r="AC88">
        <v>0</v>
      </c>
      <c r="AD88" s="30">
        <v>0</v>
      </c>
    </row>
    <row r="89" spans="1:30" x14ac:dyDescent="0.2">
      <c r="A89">
        <f>IF(ISBLANK(System!B12),"",System!B12)</f>
        <v>11</v>
      </c>
      <c r="B89" t="str">
        <f t="shared" si="1"/>
        <v/>
      </c>
      <c r="C89">
        <f t="array" ref="C89:AD89">IF(A12="",0,GlobBendMom(B12,System!C12:D12,System!K12:L12,System!M12:N12,System!E12:I12,#REF!))</f>
        <v>0</v>
      </c>
      <c r="D89">
        <v>0</v>
      </c>
      <c r="E89">
        <v>0</v>
      </c>
      <c r="F89">
        <v>0</v>
      </c>
      <c r="G89">
        <v>0</v>
      </c>
      <c r="H89">
        <v>0</v>
      </c>
      <c r="I89">
        <v>0</v>
      </c>
      <c r="J89">
        <v>0</v>
      </c>
      <c r="K89">
        <v>0</v>
      </c>
      <c r="L89">
        <v>0</v>
      </c>
      <c r="M89" s="12">
        <v>0</v>
      </c>
      <c r="N89">
        <v>0</v>
      </c>
      <c r="O89">
        <v>0</v>
      </c>
      <c r="P89" s="30">
        <v>0</v>
      </c>
      <c r="Q89">
        <v>0</v>
      </c>
      <c r="R89">
        <v>0</v>
      </c>
      <c r="S89">
        <v>0</v>
      </c>
      <c r="T89">
        <v>0</v>
      </c>
      <c r="U89">
        <v>0</v>
      </c>
      <c r="V89">
        <v>0</v>
      </c>
      <c r="W89">
        <v>0</v>
      </c>
      <c r="X89" s="12">
        <v>0</v>
      </c>
      <c r="Y89">
        <v>0</v>
      </c>
      <c r="Z89">
        <v>0</v>
      </c>
      <c r="AA89">
        <v>0</v>
      </c>
      <c r="AB89">
        <v>0</v>
      </c>
      <c r="AC89">
        <v>0</v>
      </c>
      <c r="AD89" s="30">
        <v>0</v>
      </c>
    </row>
    <row r="90" spans="1:30" x14ac:dyDescent="0.2">
      <c r="A90">
        <f>IF(ISBLANK(System!B13),"",System!B13)</f>
        <v>12</v>
      </c>
      <c r="B90" t="str">
        <f t="shared" si="1"/>
        <v/>
      </c>
      <c r="C90">
        <f t="array" ref="C90:AD90">IF(A13="",0,GlobBendMom(B13,System!C13:D13,System!K13:L13,System!M13:N13,System!E13:I13,#REF!))</f>
        <v>0</v>
      </c>
      <c r="D90">
        <v>0</v>
      </c>
      <c r="E90">
        <v>0</v>
      </c>
      <c r="F90">
        <v>0</v>
      </c>
      <c r="G90">
        <v>0</v>
      </c>
      <c r="H90">
        <v>0</v>
      </c>
      <c r="I90">
        <v>0</v>
      </c>
      <c r="J90">
        <v>0</v>
      </c>
      <c r="K90">
        <v>0</v>
      </c>
      <c r="L90">
        <v>0</v>
      </c>
      <c r="M90" s="12">
        <v>0</v>
      </c>
      <c r="N90">
        <v>0</v>
      </c>
      <c r="O90">
        <v>0</v>
      </c>
      <c r="P90" s="30">
        <v>0</v>
      </c>
      <c r="Q90">
        <v>0</v>
      </c>
      <c r="R90">
        <v>0</v>
      </c>
      <c r="S90">
        <v>0</v>
      </c>
      <c r="T90">
        <v>0</v>
      </c>
      <c r="U90">
        <v>0</v>
      </c>
      <c r="V90">
        <v>0</v>
      </c>
      <c r="W90">
        <v>0</v>
      </c>
      <c r="X90" s="12">
        <v>0</v>
      </c>
      <c r="Y90">
        <v>0</v>
      </c>
      <c r="Z90">
        <v>0</v>
      </c>
      <c r="AA90">
        <v>0</v>
      </c>
      <c r="AB90">
        <v>0</v>
      </c>
      <c r="AC90">
        <v>0</v>
      </c>
      <c r="AD90" s="30">
        <v>0</v>
      </c>
    </row>
    <row r="91" spans="1:30" x14ac:dyDescent="0.2">
      <c r="A91">
        <f>IF(ISBLANK(System!B14),"",System!B14)</f>
        <v>13</v>
      </c>
      <c r="B91" t="str">
        <f t="shared" si="1"/>
        <v/>
      </c>
      <c r="C91">
        <f t="array" ref="C91:AD91">IF(A14="",0,GlobBendMom(B14,System!C14:D14,System!K14:L14,System!M14:N14,System!E14:I14,#REF!))</f>
        <v>0</v>
      </c>
      <c r="D91">
        <v>0</v>
      </c>
      <c r="E91">
        <v>0</v>
      </c>
      <c r="F91">
        <v>0</v>
      </c>
      <c r="G91">
        <v>0</v>
      </c>
      <c r="H91">
        <v>0</v>
      </c>
      <c r="I91">
        <v>0</v>
      </c>
      <c r="J91">
        <v>0</v>
      </c>
      <c r="K91">
        <v>0</v>
      </c>
      <c r="L91">
        <v>0</v>
      </c>
      <c r="M91" s="12">
        <v>0</v>
      </c>
      <c r="N91">
        <v>0</v>
      </c>
      <c r="O91">
        <v>0</v>
      </c>
      <c r="P91" s="30">
        <v>0</v>
      </c>
      <c r="Q91">
        <v>0</v>
      </c>
      <c r="R91">
        <v>0</v>
      </c>
      <c r="S91">
        <v>0</v>
      </c>
      <c r="T91">
        <v>0</v>
      </c>
      <c r="U91">
        <v>0</v>
      </c>
      <c r="V91">
        <v>0</v>
      </c>
      <c r="W91">
        <v>0</v>
      </c>
      <c r="X91" s="12">
        <v>0</v>
      </c>
      <c r="Y91">
        <v>0</v>
      </c>
      <c r="Z91">
        <v>0</v>
      </c>
      <c r="AA91">
        <v>0</v>
      </c>
      <c r="AB91">
        <v>0</v>
      </c>
      <c r="AC91">
        <v>0</v>
      </c>
      <c r="AD91" s="30">
        <v>0</v>
      </c>
    </row>
    <row r="92" spans="1:30" x14ac:dyDescent="0.2">
      <c r="A92">
        <f>IF(ISBLANK(System!B15),"",System!B15)</f>
        <v>14</v>
      </c>
      <c r="B92" t="str">
        <f t="shared" si="1"/>
        <v/>
      </c>
      <c r="C92">
        <f t="array" ref="C92:AD92">IF(A15="",0,GlobBendMom(B15,System!C15:D15,System!K15:L15,System!M15:N15,System!E15:I15,#REF!))</f>
        <v>0</v>
      </c>
      <c r="D92">
        <v>0</v>
      </c>
      <c r="E92">
        <v>0</v>
      </c>
      <c r="F92">
        <v>0</v>
      </c>
      <c r="G92">
        <v>0</v>
      </c>
      <c r="H92">
        <v>0</v>
      </c>
      <c r="I92">
        <v>0</v>
      </c>
      <c r="J92">
        <v>0</v>
      </c>
      <c r="K92">
        <v>0</v>
      </c>
      <c r="L92">
        <v>0</v>
      </c>
      <c r="M92" s="12">
        <v>0</v>
      </c>
      <c r="N92">
        <v>0</v>
      </c>
      <c r="O92">
        <v>0</v>
      </c>
      <c r="P92" s="30">
        <v>0</v>
      </c>
      <c r="Q92">
        <v>0</v>
      </c>
      <c r="R92">
        <v>0</v>
      </c>
      <c r="S92">
        <v>0</v>
      </c>
      <c r="T92">
        <v>0</v>
      </c>
      <c r="U92">
        <v>0</v>
      </c>
      <c r="V92">
        <v>0</v>
      </c>
      <c r="W92">
        <v>0</v>
      </c>
      <c r="X92" s="12">
        <v>0</v>
      </c>
      <c r="Y92">
        <v>0</v>
      </c>
      <c r="Z92">
        <v>0</v>
      </c>
      <c r="AA92">
        <v>0</v>
      </c>
      <c r="AB92">
        <v>0</v>
      </c>
      <c r="AC92">
        <v>0</v>
      </c>
      <c r="AD92" s="30">
        <v>0</v>
      </c>
    </row>
    <row r="93" spans="1:30" x14ac:dyDescent="0.2">
      <c r="A93">
        <f>IF(ISBLANK(System!B16),"",System!B16)</f>
        <v>15</v>
      </c>
      <c r="B93" t="str">
        <f t="shared" si="1"/>
        <v/>
      </c>
      <c r="C93">
        <f t="array" ref="C93:AD93">IF(A16="",0,GlobBendMom(B16,System!C16:D16,System!K16:L16,System!M16:N16,System!E16:I16,#REF!))</f>
        <v>0</v>
      </c>
      <c r="D93">
        <v>0</v>
      </c>
      <c r="E93">
        <v>0</v>
      </c>
      <c r="F93">
        <v>0</v>
      </c>
      <c r="G93">
        <v>0</v>
      </c>
      <c r="H93">
        <v>0</v>
      </c>
      <c r="I93">
        <v>0</v>
      </c>
      <c r="J93">
        <v>0</v>
      </c>
      <c r="K93">
        <v>0</v>
      </c>
      <c r="L93">
        <v>0</v>
      </c>
      <c r="M93" s="12">
        <v>0</v>
      </c>
      <c r="N93">
        <v>0</v>
      </c>
      <c r="O93">
        <v>0</v>
      </c>
      <c r="P93" s="30">
        <v>0</v>
      </c>
      <c r="Q93">
        <v>0</v>
      </c>
      <c r="R93">
        <v>0</v>
      </c>
      <c r="S93">
        <v>0</v>
      </c>
      <c r="T93">
        <v>0</v>
      </c>
      <c r="U93">
        <v>0</v>
      </c>
      <c r="V93">
        <v>0</v>
      </c>
      <c r="W93">
        <v>0</v>
      </c>
      <c r="X93" s="12">
        <v>0</v>
      </c>
      <c r="Y93">
        <v>0</v>
      </c>
      <c r="Z93">
        <v>0</v>
      </c>
      <c r="AA93">
        <v>0</v>
      </c>
      <c r="AB93">
        <v>0</v>
      </c>
      <c r="AC93">
        <v>0</v>
      </c>
      <c r="AD93" s="30">
        <v>0</v>
      </c>
    </row>
    <row r="94" spans="1:30" x14ac:dyDescent="0.2">
      <c r="A94">
        <f>IF(ISBLANK(System!B17),"",System!B17)</f>
        <v>16</v>
      </c>
      <c r="B94" t="str">
        <f t="shared" si="1"/>
        <v/>
      </c>
      <c r="C94">
        <f t="array" ref="C94:AD94">IF(A17="",0,GlobBendMom(B17,System!C17:D17,System!K17:L17,System!M17:N17,System!E17:I17,#REF!))</f>
        <v>0</v>
      </c>
      <c r="D94">
        <v>0</v>
      </c>
      <c r="E94">
        <v>0</v>
      </c>
      <c r="F94">
        <v>0</v>
      </c>
      <c r="G94">
        <v>0</v>
      </c>
      <c r="H94">
        <v>0</v>
      </c>
      <c r="I94">
        <v>0</v>
      </c>
      <c r="J94">
        <v>0</v>
      </c>
      <c r="K94">
        <v>0</v>
      </c>
      <c r="L94">
        <v>0</v>
      </c>
      <c r="M94" s="12">
        <v>0</v>
      </c>
      <c r="N94">
        <v>0</v>
      </c>
      <c r="O94">
        <v>0</v>
      </c>
      <c r="P94" s="30">
        <v>0</v>
      </c>
      <c r="Q94">
        <v>0</v>
      </c>
      <c r="R94">
        <v>0</v>
      </c>
      <c r="S94">
        <v>0</v>
      </c>
      <c r="T94">
        <v>0</v>
      </c>
      <c r="U94">
        <v>0</v>
      </c>
      <c r="V94">
        <v>0</v>
      </c>
      <c r="W94">
        <v>0</v>
      </c>
      <c r="X94" s="12">
        <v>0</v>
      </c>
      <c r="Y94">
        <v>0</v>
      </c>
      <c r="Z94">
        <v>0</v>
      </c>
      <c r="AA94">
        <v>0</v>
      </c>
      <c r="AB94">
        <v>0</v>
      </c>
      <c r="AC94">
        <v>0</v>
      </c>
      <c r="AD94" s="30">
        <v>0</v>
      </c>
    </row>
    <row r="95" spans="1:30" x14ac:dyDescent="0.2">
      <c r="A95">
        <f>IF(ISBLANK(System!B18),"",System!B18)</f>
        <v>17</v>
      </c>
      <c r="B95" t="str">
        <f t="shared" si="1"/>
        <v/>
      </c>
      <c r="C95">
        <f t="array" ref="C95:AD95">IF(A18="",0,GlobBendMom(B18,System!C18:D18,System!K18:L18,System!M18:N18,System!E18:I18,#REF!))</f>
        <v>0</v>
      </c>
      <c r="D95">
        <v>0</v>
      </c>
      <c r="E95">
        <v>0</v>
      </c>
      <c r="F95">
        <v>0</v>
      </c>
      <c r="G95">
        <v>0</v>
      </c>
      <c r="H95">
        <v>0</v>
      </c>
      <c r="I95">
        <v>0</v>
      </c>
      <c r="J95">
        <v>0</v>
      </c>
      <c r="K95">
        <v>0</v>
      </c>
      <c r="L95">
        <v>0</v>
      </c>
      <c r="M95" s="12">
        <v>0</v>
      </c>
      <c r="N95">
        <v>0</v>
      </c>
      <c r="O95">
        <v>0</v>
      </c>
      <c r="P95" s="30">
        <v>0</v>
      </c>
      <c r="Q95">
        <v>0</v>
      </c>
      <c r="R95">
        <v>0</v>
      </c>
      <c r="S95">
        <v>0</v>
      </c>
      <c r="T95">
        <v>0</v>
      </c>
      <c r="U95">
        <v>0</v>
      </c>
      <c r="V95">
        <v>0</v>
      </c>
      <c r="W95">
        <v>0</v>
      </c>
      <c r="X95" s="12">
        <v>0</v>
      </c>
      <c r="Y95">
        <v>0</v>
      </c>
      <c r="Z95">
        <v>0</v>
      </c>
      <c r="AA95">
        <v>0</v>
      </c>
      <c r="AB95">
        <v>0</v>
      </c>
      <c r="AC95">
        <v>0</v>
      </c>
      <c r="AD95" s="30">
        <v>0</v>
      </c>
    </row>
    <row r="96" spans="1:30" x14ac:dyDescent="0.2">
      <c r="A96">
        <f>IF(ISBLANK(System!B19),"",System!B19)</f>
        <v>18</v>
      </c>
      <c r="B96" t="str">
        <f t="shared" si="1"/>
        <v/>
      </c>
      <c r="C96">
        <f t="array" ref="C96:AD96">IF(A19="",0,GlobBendMom(B19,System!C19:D19,System!K19:L19,System!M19:N19,System!E19:I19,#REF!))</f>
        <v>0</v>
      </c>
      <c r="D96">
        <v>0</v>
      </c>
      <c r="E96">
        <v>0</v>
      </c>
      <c r="F96">
        <v>0</v>
      </c>
      <c r="G96">
        <v>0</v>
      </c>
      <c r="H96">
        <v>0</v>
      </c>
      <c r="I96">
        <v>0</v>
      </c>
      <c r="J96">
        <v>0</v>
      </c>
      <c r="K96">
        <v>0</v>
      </c>
      <c r="L96">
        <v>0</v>
      </c>
      <c r="M96" s="12">
        <v>0</v>
      </c>
      <c r="N96">
        <v>0</v>
      </c>
      <c r="O96">
        <v>0</v>
      </c>
      <c r="P96" s="30">
        <v>0</v>
      </c>
      <c r="Q96">
        <v>0</v>
      </c>
      <c r="R96">
        <v>0</v>
      </c>
      <c r="S96">
        <v>0</v>
      </c>
      <c r="T96">
        <v>0</v>
      </c>
      <c r="U96">
        <v>0</v>
      </c>
      <c r="V96">
        <v>0</v>
      </c>
      <c r="W96">
        <v>0</v>
      </c>
      <c r="X96" s="12">
        <v>0</v>
      </c>
      <c r="Y96">
        <v>0</v>
      </c>
      <c r="Z96">
        <v>0</v>
      </c>
      <c r="AA96">
        <v>0</v>
      </c>
      <c r="AB96">
        <v>0</v>
      </c>
      <c r="AC96">
        <v>0</v>
      </c>
      <c r="AD96" s="30">
        <v>0</v>
      </c>
    </row>
    <row r="97" spans="1:30" x14ac:dyDescent="0.2">
      <c r="A97">
        <f>IF(ISBLANK(System!B20),"",System!B20)</f>
        <v>19</v>
      </c>
      <c r="B97" t="str">
        <f t="shared" si="1"/>
        <v/>
      </c>
      <c r="C97">
        <f t="array" ref="C97:AD97">IF(A20="",0,GlobBendMom(B20,System!C20:D20,System!K20:L20,System!M20:N20,System!E20:I20,#REF!))</f>
        <v>0</v>
      </c>
      <c r="D97">
        <v>0</v>
      </c>
      <c r="E97">
        <v>0</v>
      </c>
      <c r="F97">
        <v>0</v>
      </c>
      <c r="G97">
        <v>0</v>
      </c>
      <c r="H97">
        <v>0</v>
      </c>
      <c r="I97">
        <v>0</v>
      </c>
      <c r="J97">
        <v>0</v>
      </c>
      <c r="K97">
        <v>0</v>
      </c>
      <c r="L97">
        <v>0</v>
      </c>
      <c r="M97" s="12">
        <v>0</v>
      </c>
      <c r="N97">
        <v>0</v>
      </c>
      <c r="O97">
        <v>0</v>
      </c>
      <c r="P97" s="30">
        <v>0</v>
      </c>
      <c r="Q97">
        <v>0</v>
      </c>
      <c r="R97">
        <v>0</v>
      </c>
      <c r="S97">
        <v>0</v>
      </c>
      <c r="T97">
        <v>0</v>
      </c>
      <c r="U97">
        <v>0</v>
      </c>
      <c r="V97">
        <v>0</v>
      </c>
      <c r="W97">
        <v>0</v>
      </c>
      <c r="X97" s="12">
        <v>0</v>
      </c>
      <c r="Y97">
        <v>0</v>
      </c>
      <c r="Z97">
        <v>0</v>
      </c>
      <c r="AA97">
        <v>0</v>
      </c>
      <c r="AB97">
        <v>0</v>
      </c>
      <c r="AC97">
        <v>0</v>
      </c>
      <c r="AD97" s="30">
        <v>0</v>
      </c>
    </row>
    <row r="98" spans="1:30" x14ac:dyDescent="0.2">
      <c r="A98">
        <f>IF(ISBLANK(System!B21),"",System!B21)</f>
        <v>20</v>
      </c>
      <c r="B98" t="str">
        <f t="shared" si="1"/>
        <v/>
      </c>
      <c r="C98">
        <f t="array" ref="C98:AD98">IF(A21="",0,GlobBendMom(B21,System!C21:D21,System!K21:L21,System!M21:N21,System!E21:I21,#REF!))</f>
        <v>0</v>
      </c>
      <c r="D98">
        <v>0</v>
      </c>
      <c r="E98">
        <v>0</v>
      </c>
      <c r="F98">
        <v>0</v>
      </c>
      <c r="G98">
        <v>0</v>
      </c>
      <c r="H98">
        <v>0</v>
      </c>
      <c r="I98">
        <v>0</v>
      </c>
      <c r="J98">
        <v>0</v>
      </c>
      <c r="K98">
        <v>0</v>
      </c>
      <c r="L98">
        <v>0</v>
      </c>
      <c r="M98" s="12">
        <v>0</v>
      </c>
      <c r="N98">
        <v>0</v>
      </c>
      <c r="O98">
        <v>0</v>
      </c>
      <c r="P98" s="30">
        <v>0</v>
      </c>
      <c r="Q98">
        <v>0</v>
      </c>
      <c r="R98">
        <v>0</v>
      </c>
      <c r="S98">
        <v>0</v>
      </c>
      <c r="T98">
        <v>0</v>
      </c>
      <c r="U98">
        <v>0</v>
      </c>
      <c r="V98">
        <v>0</v>
      </c>
      <c r="W98">
        <v>0</v>
      </c>
      <c r="X98" s="12">
        <v>0</v>
      </c>
      <c r="Y98">
        <v>0</v>
      </c>
      <c r="Z98">
        <v>0</v>
      </c>
      <c r="AA98">
        <v>0</v>
      </c>
      <c r="AB98">
        <v>0</v>
      </c>
      <c r="AC98">
        <v>0</v>
      </c>
      <c r="AD98" s="30">
        <v>0</v>
      </c>
    </row>
    <row r="99" spans="1:30" x14ac:dyDescent="0.2">
      <c r="M99" s="12"/>
      <c r="X99" s="12"/>
    </row>
    <row r="100" spans="1:30" x14ac:dyDescent="0.2">
      <c r="X100" s="12"/>
    </row>
  </sheetData>
  <sheetProtection password="C690" sheet="1" objects="1" scenarios="1"/>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H51"/>
  <sheetViews>
    <sheetView zoomScale="75" zoomScaleNormal="75" workbookViewId="0">
      <selection activeCell="P51" sqref="P51"/>
    </sheetView>
  </sheetViews>
  <sheetFormatPr baseColWidth="10" defaultRowHeight="12.75" x14ac:dyDescent="0.2"/>
  <cols>
    <col min="1" max="1" width="3.7109375" customWidth="1"/>
    <col min="2" max="2" width="7.28515625" bestFit="1" customWidth="1"/>
    <col min="4" max="4" width="10.42578125" customWidth="1"/>
    <col min="5" max="5" width="9.85546875" customWidth="1"/>
    <col min="6" max="7" width="3.85546875" bestFit="1" customWidth="1"/>
    <col min="8" max="9" width="7.7109375" customWidth="1"/>
    <col min="10" max="10" width="3.28515625" customWidth="1"/>
    <col min="11" max="11" width="7.7109375" customWidth="1"/>
    <col min="12" max="12" width="9.85546875" bestFit="1" customWidth="1"/>
    <col min="13" max="13" width="12.85546875" bestFit="1" customWidth="1"/>
    <col min="14" max="14" width="3.85546875" customWidth="1"/>
    <col min="15" max="34" width="7.7109375" customWidth="1"/>
  </cols>
  <sheetData>
    <row r="1" spans="1:34" ht="13.5" thickBot="1" x14ac:dyDescent="0.25">
      <c r="A1" s="92"/>
      <c r="C1" s="455" t="s">
        <v>32</v>
      </c>
      <c r="D1" s="456"/>
      <c r="G1" s="172" t="s">
        <v>109</v>
      </c>
      <c r="K1" s="45" t="s">
        <v>30</v>
      </c>
      <c r="L1" s="229" t="s">
        <v>86</v>
      </c>
      <c r="M1" s="162" t="s">
        <v>66</v>
      </c>
      <c r="O1" s="409">
        <v>1</v>
      </c>
      <c r="P1" s="410">
        <v>2</v>
      </c>
      <c r="Q1" s="410">
        <v>3</v>
      </c>
      <c r="R1" s="410">
        <v>4</v>
      </c>
      <c r="S1" s="410">
        <v>5</v>
      </c>
      <c r="T1" s="410">
        <v>6</v>
      </c>
      <c r="U1" s="410">
        <v>7</v>
      </c>
      <c r="V1" s="410">
        <v>8</v>
      </c>
      <c r="W1" s="410">
        <v>9</v>
      </c>
      <c r="X1" s="410">
        <v>10</v>
      </c>
      <c r="Y1" s="410">
        <v>11</v>
      </c>
      <c r="Z1" s="410">
        <v>12</v>
      </c>
      <c r="AA1" s="410">
        <v>13</v>
      </c>
      <c r="AB1" s="410">
        <v>14</v>
      </c>
      <c r="AC1" s="410">
        <v>15</v>
      </c>
      <c r="AD1" s="410">
        <v>16</v>
      </c>
      <c r="AE1" s="410">
        <v>17</v>
      </c>
      <c r="AF1" s="410">
        <v>18</v>
      </c>
      <c r="AG1" s="410">
        <v>19</v>
      </c>
      <c r="AH1" s="411">
        <v>20</v>
      </c>
    </row>
    <row r="2" spans="1:34" ht="13.5" thickBot="1" x14ac:dyDescent="0.25">
      <c r="A2" s="92"/>
      <c r="B2" s="55" t="s">
        <v>3</v>
      </c>
      <c r="C2" s="267" t="s">
        <v>1</v>
      </c>
      <c r="D2" s="268" t="s">
        <v>2</v>
      </c>
      <c r="E2" s="269" t="s">
        <v>89</v>
      </c>
      <c r="G2" s="270" t="s">
        <v>87</v>
      </c>
      <c r="H2" s="271">
        <f>(MAX(C3:C22)+MIN(C3:C22))/2</f>
        <v>0.5</v>
      </c>
      <c r="I2" s="6"/>
      <c r="K2" s="194">
        <v>1</v>
      </c>
      <c r="L2" s="195">
        <f t="shared" ref="L2:L41" ca="1" si="0">SUM(O2:AH2)</f>
        <v>0</v>
      </c>
      <c r="M2" s="22">
        <f ca="1">IF(ISNA(Ksys!B2),0,Ksys!B2)</f>
        <v>-3.440928079939998E-3</v>
      </c>
      <c r="O2" s="406">
        <f ca="1">IF(ABS(INDIRECT("Knoten!E" &amp; 2+O$1))=$K2,SIGN(INDIRECT("Knoten!E" &amp; 2+O$1))*INDIRECT("Knoten!H" &amp; 2+O$1),0)
+ IF(ABS(INDIRECT("Knoten!F" &amp; 2+O$1))=$K2,SIGN(INDIRECT("Knoten!F" &amp; 2+O$1))*INDIRECT("Knoten!I" &amp; 2+O$1),0)
+ IF(ABS(INDIRECT("Knoten!G" &amp; 2+O$1))=$K2,SIGN(INDIRECT("Knoten!G" &amp; 2+O$1))*INDIRECT("Knoten!J" &amp; 2+O$1),0)</f>
        <v>0</v>
      </c>
      <c r="P2" s="407">
        <f t="shared" ref="P2:AH2" ca="1" si="1">IF(ABS(INDIRECT("Knoten!E" &amp; 2+P$1))=$K2,SIGN(INDIRECT("Knoten!E" &amp; 2+P$1))*INDIRECT("Knoten!H" &amp; 2+P$1),0)
+ IF(ABS(INDIRECT("Knoten!F" &amp; 2+P$1))=$K2,SIGN(INDIRECT("Knoten!F" &amp; 2+P$1))*INDIRECT("Knoten!I" &amp; 2+P$1),0)
+ IF(ABS(INDIRECT("Knoten!G" &amp; 2+P$1))=$K2,SIGN(INDIRECT("Knoten!G" &amp; 2+P$1))*INDIRECT("Knoten!J" &amp; 2+P$1),0)</f>
        <v>0</v>
      </c>
      <c r="Q2" s="407">
        <f t="shared" ca="1" si="1"/>
        <v>0</v>
      </c>
      <c r="R2" s="407">
        <f t="shared" ca="1" si="1"/>
        <v>0</v>
      </c>
      <c r="S2" s="407">
        <f t="shared" ca="1" si="1"/>
        <v>0</v>
      </c>
      <c r="T2" s="407">
        <f t="shared" ca="1" si="1"/>
        <v>0</v>
      </c>
      <c r="U2" s="407">
        <f t="shared" ca="1" si="1"/>
        <v>0</v>
      </c>
      <c r="V2" s="407">
        <f t="shared" ca="1" si="1"/>
        <v>0</v>
      </c>
      <c r="W2" s="407">
        <f t="shared" ca="1" si="1"/>
        <v>0</v>
      </c>
      <c r="X2" s="407">
        <f t="shared" ca="1" si="1"/>
        <v>0</v>
      </c>
      <c r="Y2" s="407">
        <f t="shared" ca="1" si="1"/>
        <v>0</v>
      </c>
      <c r="Z2" s="407">
        <f t="shared" ca="1" si="1"/>
        <v>0</v>
      </c>
      <c r="AA2" s="407">
        <f t="shared" ca="1" si="1"/>
        <v>0</v>
      </c>
      <c r="AB2" s="407">
        <f t="shared" ca="1" si="1"/>
        <v>0</v>
      </c>
      <c r="AC2" s="407">
        <f t="shared" ca="1" si="1"/>
        <v>0</v>
      </c>
      <c r="AD2" s="407">
        <f t="shared" ca="1" si="1"/>
        <v>0</v>
      </c>
      <c r="AE2" s="407">
        <f t="shared" ca="1" si="1"/>
        <v>0</v>
      </c>
      <c r="AF2" s="407">
        <f t="shared" ca="1" si="1"/>
        <v>0</v>
      </c>
      <c r="AG2" s="407">
        <f t="shared" ca="1" si="1"/>
        <v>0</v>
      </c>
      <c r="AH2" s="408">
        <f t="shared" ca="1" si="1"/>
        <v>0</v>
      </c>
    </row>
    <row r="3" spans="1:34" x14ac:dyDescent="0.2">
      <c r="A3" s="92"/>
      <c r="B3" s="264">
        <v>1</v>
      </c>
      <c r="C3" s="31">
        <f>IF(ISNUMBER(Knoten!C3),Knoten!C3-KLasten!B27*KLasten!$B$1*$C$25,"")</f>
        <v>0</v>
      </c>
      <c r="D3" s="13">
        <f>IF(ISNUMBER(Knoten!D3),Knoten!D3 - KLasten!B4*KLasten!$B$1*$D$25,"")</f>
        <v>0.75</v>
      </c>
      <c r="E3" s="335">
        <f t="shared" ref="E3:E22" si="2">IF(ISNUMBER(C3),SQRT((C3-$H$2)^2+(D3-$H$3)^2),"")</f>
        <v>0.57063561052566636</v>
      </c>
      <c r="G3" s="272" t="s">
        <v>88</v>
      </c>
      <c r="H3" s="1">
        <f>(MAX(D3:D22)+MIN(D3:D22))/2</f>
        <v>0.47499999999999998</v>
      </c>
      <c r="I3" s="8"/>
      <c r="K3" s="196">
        <v>2</v>
      </c>
      <c r="L3" s="197">
        <f t="shared" ca="1" si="0"/>
        <v>0</v>
      </c>
      <c r="M3" s="23">
        <f ca="1">IF(ISNA(Ksys!B3),0,Ksys!B3)</f>
        <v>3.8609276954815165E-4</v>
      </c>
      <c r="O3" s="401">
        <f t="shared" ref="O3:AD18" ca="1" si="3">IF(ABS(INDIRECT("Knoten!E" &amp; 2+O$1))=$K3,SIGN(INDIRECT("Knoten!E" &amp; 2+O$1))*INDIRECT("Knoten!H" &amp; 2+O$1),0)
+ IF(ABS(INDIRECT("Knoten!F" &amp; 2+O$1))=$K3,SIGN(INDIRECT("Knoten!F" &amp; 2+O$1))*INDIRECT("Knoten!I" &amp; 2+O$1),0)
+ IF(ABS(INDIRECT("Knoten!G" &amp; 2+O$1))=$K3,SIGN(INDIRECT("Knoten!G" &amp; 2+O$1))*INDIRECT("Knoten!J" &amp; 2+O$1),0)</f>
        <v>0</v>
      </c>
      <c r="P3" s="90">
        <f t="shared" ca="1" si="3"/>
        <v>0</v>
      </c>
      <c r="Q3" s="90">
        <f t="shared" ca="1" si="3"/>
        <v>0</v>
      </c>
      <c r="R3" s="90">
        <f t="shared" ca="1" si="3"/>
        <v>0</v>
      </c>
      <c r="S3" s="90">
        <f t="shared" ca="1" si="3"/>
        <v>0</v>
      </c>
      <c r="T3" s="90">
        <f t="shared" ca="1" si="3"/>
        <v>0</v>
      </c>
      <c r="U3" s="90">
        <f t="shared" ca="1" si="3"/>
        <v>0</v>
      </c>
      <c r="V3" s="90">
        <f t="shared" ca="1" si="3"/>
        <v>0</v>
      </c>
      <c r="W3" s="90">
        <f t="shared" ca="1" si="3"/>
        <v>0</v>
      </c>
      <c r="X3" s="90">
        <f t="shared" ca="1" si="3"/>
        <v>0</v>
      </c>
      <c r="Y3" s="90">
        <f t="shared" ca="1" si="3"/>
        <v>0</v>
      </c>
      <c r="Z3" s="90">
        <f t="shared" ca="1" si="3"/>
        <v>0</v>
      </c>
      <c r="AA3" s="90">
        <f t="shared" ca="1" si="3"/>
        <v>0</v>
      </c>
      <c r="AB3" s="90">
        <f t="shared" ca="1" si="3"/>
        <v>0</v>
      </c>
      <c r="AC3" s="90">
        <f t="shared" ca="1" si="3"/>
        <v>0</v>
      </c>
      <c r="AD3" s="90">
        <f t="shared" ca="1" si="3"/>
        <v>0</v>
      </c>
      <c r="AE3" s="90">
        <f t="shared" ref="AE3:AH17" ca="1" si="4">IF(ABS(INDIRECT("Knoten!E" &amp; 2+AE$1))=$K3,SIGN(INDIRECT("Knoten!E" &amp; 2+AE$1))*INDIRECT("Knoten!H" &amp; 2+AE$1),0)
+ IF(ABS(INDIRECT("Knoten!F" &amp; 2+AE$1))=$K3,SIGN(INDIRECT("Knoten!F" &amp; 2+AE$1))*INDIRECT("Knoten!I" &amp; 2+AE$1),0)
+ IF(ABS(INDIRECT("Knoten!G" &amp; 2+AE$1))=$K3,SIGN(INDIRECT("Knoten!G" &amp; 2+AE$1))*INDIRECT("Knoten!J" &amp; 2+AE$1),0)</f>
        <v>0</v>
      </c>
      <c r="AF3" s="90">
        <f t="shared" ca="1" si="4"/>
        <v>0</v>
      </c>
      <c r="AG3" s="90">
        <f t="shared" ca="1" si="4"/>
        <v>0</v>
      </c>
      <c r="AH3" s="402">
        <f t="shared" ca="1" si="4"/>
        <v>0</v>
      </c>
    </row>
    <row r="4" spans="1:34" x14ac:dyDescent="0.2">
      <c r="A4" s="92"/>
      <c r="B4" s="265">
        <v>2</v>
      </c>
      <c r="C4" s="32">
        <f>IF(ISNUMBER(Knoten!C4),Knoten!C4-KLasten!B28*KLasten!$B$1*$C$25,"")</f>
        <v>0.5</v>
      </c>
      <c r="D4" s="14">
        <f>IF(ISNUMBER(Knoten!D4),Knoten!D4 - KLasten!B5*KLasten!$B$1*$D$25,"")</f>
        <v>0.2</v>
      </c>
      <c r="E4" s="336">
        <f t="shared" si="2"/>
        <v>0.27499999999999997</v>
      </c>
      <c r="G4" s="272" t="s">
        <v>90</v>
      </c>
      <c r="H4" s="1">
        <f>MAX($E$3:$E$22)*$H$5</f>
        <v>0.62769917157823307</v>
      </c>
      <c r="I4" s="8"/>
      <c r="K4" s="196">
        <v>3</v>
      </c>
      <c r="L4" s="197">
        <f t="shared" ca="1" si="0"/>
        <v>1</v>
      </c>
      <c r="M4" s="23">
        <f ca="1">IF(ISNA(Ksys!B4),0,Ksys!B4)</f>
        <v>1.6470609543335233E-3</v>
      </c>
      <c r="O4" s="401">
        <f t="shared" ca="1" si="3"/>
        <v>0</v>
      </c>
      <c r="P4" s="90">
        <f t="shared" ca="1" si="3"/>
        <v>1</v>
      </c>
      <c r="Q4" s="90">
        <f t="shared" ca="1" si="3"/>
        <v>0</v>
      </c>
      <c r="R4" s="90">
        <f t="shared" ca="1" si="3"/>
        <v>0</v>
      </c>
      <c r="S4" s="90">
        <f t="shared" ca="1" si="3"/>
        <v>0</v>
      </c>
      <c r="T4" s="90">
        <f t="shared" ca="1" si="3"/>
        <v>0</v>
      </c>
      <c r="U4" s="90">
        <f t="shared" ca="1" si="3"/>
        <v>0</v>
      </c>
      <c r="V4" s="90">
        <f t="shared" ca="1" si="3"/>
        <v>0</v>
      </c>
      <c r="W4" s="90">
        <f t="shared" ca="1" si="3"/>
        <v>0</v>
      </c>
      <c r="X4" s="90">
        <f t="shared" ca="1" si="3"/>
        <v>0</v>
      </c>
      <c r="Y4" s="90">
        <f t="shared" ca="1" si="3"/>
        <v>0</v>
      </c>
      <c r="Z4" s="90">
        <f t="shared" ca="1" si="3"/>
        <v>0</v>
      </c>
      <c r="AA4" s="90">
        <f t="shared" ca="1" si="3"/>
        <v>0</v>
      </c>
      <c r="AB4" s="90">
        <f t="shared" ca="1" si="3"/>
        <v>0</v>
      </c>
      <c r="AC4" s="90">
        <f t="shared" ca="1" si="3"/>
        <v>0</v>
      </c>
      <c r="AD4" s="90">
        <f t="shared" ca="1" si="3"/>
        <v>0</v>
      </c>
      <c r="AE4" s="90">
        <f t="shared" ca="1" si="4"/>
        <v>0</v>
      </c>
      <c r="AF4" s="90">
        <f t="shared" ca="1" si="4"/>
        <v>0</v>
      </c>
      <c r="AG4" s="90">
        <f t="shared" ca="1" si="4"/>
        <v>0</v>
      </c>
      <c r="AH4" s="402">
        <f t="shared" ca="1" si="4"/>
        <v>0</v>
      </c>
    </row>
    <row r="5" spans="1:34" x14ac:dyDescent="0.2">
      <c r="A5" s="92"/>
      <c r="B5" s="266">
        <v>3</v>
      </c>
      <c r="C5" s="32">
        <f>IF(ISNUMBER(Knoten!C5),Knoten!C5-KLasten!B29*KLasten!$B$1*$C$25,"")</f>
        <v>1</v>
      </c>
      <c r="D5" s="14">
        <f>IF(ISNUMBER(Knoten!D5),Knoten!D5 - KLasten!B6*KLasten!$B$1*$D$25,"")</f>
        <v>0.25</v>
      </c>
      <c r="E5" s="336">
        <f t="shared" si="2"/>
        <v>0.54829280498653266</v>
      </c>
      <c r="G5" s="272" t="s">
        <v>91</v>
      </c>
      <c r="H5" s="1">
        <v>1.1000000000000001</v>
      </c>
      <c r="I5" s="8"/>
      <c r="K5" s="196">
        <v>4</v>
      </c>
      <c r="L5" s="197">
        <f t="shared" ca="1" si="0"/>
        <v>0</v>
      </c>
      <c r="M5" s="23">
        <f ca="1">IF(ISNA(Ksys!B5),0,Ksys!B5)</f>
        <v>7.8239498823497731E-4</v>
      </c>
      <c r="O5" s="401">
        <f t="shared" ca="1" si="3"/>
        <v>0</v>
      </c>
      <c r="P5" s="90">
        <f t="shared" ca="1" si="3"/>
        <v>0</v>
      </c>
      <c r="Q5" s="90">
        <f t="shared" ca="1" si="3"/>
        <v>0</v>
      </c>
      <c r="R5" s="90">
        <f t="shared" ca="1" si="3"/>
        <v>0</v>
      </c>
      <c r="S5" s="90">
        <f t="shared" ca="1" si="3"/>
        <v>0</v>
      </c>
      <c r="T5" s="90">
        <f t="shared" ca="1" si="3"/>
        <v>0</v>
      </c>
      <c r="U5" s="90">
        <f t="shared" ca="1" si="3"/>
        <v>0</v>
      </c>
      <c r="V5" s="90">
        <f t="shared" ca="1" si="3"/>
        <v>0</v>
      </c>
      <c r="W5" s="90">
        <f t="shared" ca="1" si="3"/>
        <v>0</v>
      </c>
      <c r="X5" s="90">
        <f t="shared" ca="1" si="3"/>
        <v>0</v>
      </c>
      <c r="Y5" s="90">
        <f t="shared" ca="1" si="3"/>
        <v>0</v>
      </c>
      <c r="Z5" s="90">
        <f t="shared" ca="1" si="3"/>
        <v>0</v>
      </c>
      <c r="AA5" s="90">
        <f t="shared" ca="1" si="3"/>
        <v>0</v>
      </c>
      <c r="AB5" s="90">
        <f t="shared" ca="1" si="3"/>
        <v>0</v>
      </c>
      <c r="AC5" s="90">
        <f t="shared" ca="1" si="3"/>
        <v>0</v>
      </c>
      <c r="AD5" s="90">
        <f t="shared" ca="1" si="3"/>
        <v>0</v>
      </c>
      <c r="AE5" s="90">
        <f t="shared" ca="1" si="4"/>
        <v>0</v>
      </c>
      <c r="AF5" s="90">
        <f t="shared" ca="1" si="4"/>
        <v>0</v>
      </c>
      <c r="AG5" s="90">
        <f t="shared" ca="1" si="4"/>
        <v>0</v>
      </c>
      <c r="AH5" s="402">
        <f t="shared" ca="1" si="4"/>
        <v>0</v>
      </c>
    </row>
    <row r="6" spans="1:34" x14ac:dyDescent="0.2">
      <c r="A6" s="92"/>
      <c r="B6" s="265">
        <v>4</v>
      </c>
      <c r="C6" s="32" t="str">
        <f>IF(ISNUMBER(Knoten!C6),Knoten!C6-KLasten!B30*KLasten!$B$1*$C$25,"")</f>
        <v/>
      </c>
      <c r="D6" s="14" t="str">
        <f>IF(ISNUMBER(Knoten!D6),Knoten!D6 - KLasten!B7*KLasten!$B$1*$D$25,"")</f>
        <v/>
      </c>
      <c r="E6" s="336" t="str">
        <f t="shared" si="2"/>
        <v/>
      </c>
      <c r="G6" s="272" t="s">
        <v>92</v>
      </c>
      <c r="H6" s="1">
        <f>$H$2-$H$4</f>
        <v>-0.12769917157823307</v>
      </c>
      <c r="I6" s="8">
        <f>$H$3+$H$4</f>
        <v>1.1026991715782331</v>
      </c>
      <c r="K6" s="196">
        <v>5</v>
      </c>
      <c r="L6" s="197">
        <f t="shared" ca="1" si="0"/>
        <v>0</v>
      </c>
      <c r="M6" s="23">
        <f ca="1">IF(ISNA(Ksys!B6),0,Ksys!B6)</f>
        <v>4.8104020355497473E-3</v>
      </c>
      <c r="O6" s="401">
        <f t="shared" ca="1" si="3"/>
        <v>0</v>
      </c>
      <c r="P6" s="90">
        <f t="shared" ca="1" si="3"/>
        <v>0</v>
      </c>
      <c r="Q6" s="90">
        <f t="shared" ca="1" si="3"/>
        <v>0</v>
      </c>
      <c r="R6" s="90">
        <f t="shared" ca="1" si="3"/>
        <v>0</v>
      </c>
      <c r="S6" s="90">
        <f t="shared" ca="1" si="3"/>
        <v>0</v>
      </c>
      <c r="T6" s="90">
        <f t="shared" ca="1" si="3"/>
        <v>0</v>
      </c>
      <c r="U6" s="90">
        <f t="shared" ca="1" si="3"/>
        <v>0</v>
      </c>
      <c r="V6" s="90">
        <f t="shared" ca="1" si="3"/>
        <v>0</v>
      </c>
      <c r="W6" s="90">
        <f t="shared" ca="1" si="3"/>
        <v>0</v>
      </c>
      <c r="X6" s="90">
        <f t="shared" ca="1" si="3"/>
        <v>0</v>
      </c>
      <c r="Y6" s="90">
        <f t="shared" ca="1" si="3"/>
        <v>0</v>
      </c>
      <c r="Z6" s="90">
        <f t="shared" ca="1" si="3"/>
        <v>0</v>
      </c>
      <c r="AA6" s="90">
        <f t="shared" ca="1" si="3"/>
        <v>0</v>
      </c>
      <c r="AB6" s="90">
        <f t="shared" ca="1" si="3"/>
        <v>0</v>
      </c>
      <c r="AC6" s="90">
        <f t="shared" ca="1" si="3"/>
        <v>0</v>
      </c>
      <c r="AD6" s="90">
        <f t="shared" ca="1" si="3"/>
        <v>0</v>
      </c>
      <c r="AE6" s="90">
        <f t="shared" ca="1" si="4"/>
        <v>0</v>
      </c>
      <c r="AF6" s="90">
        <f t="shared" ca="1" si="4"/>
        <v>0</v>
      </c>
      <c r="AG6" s="90">
        <f t="shared" ca="1" si="4"/>
        <v>0</v>
      </c>
      <c r="AH6" s="402">
        <f t="shared" ca="1" si="4"/>
        <v>0</v>
      </c>
    </row>
    <row r="7" spans="1:34" x14ac:dyDescent="0.2">
      <c r="A7" s="92"/>
      <c r="B7" s="265">
        <v>5</v>
      </c>
      <c r="C7" s="32" t="str">
        <f>IF(ISNUMBER(Knoten!C7),Knoten!C7-KLasten!B31*KLasten!$B$1*$C$25,"")</f>
        <v/>
      </c>
      <c r="D7" s="14" t="str">
        <f>IF(ISNUMBER(Knoten!D7),Knoten!D7 - KLasten!B8*KLasten!$B$1*$D$25,"")</f>
        <v/>
      </c>
      <c r="E7" s="336" t="str">
        <f t="shared" si="2"/>
        <v/>
      </c>
      <c r="G7" s="272" t="s">
        <v>93</v>
      </c>
      <c r="H7" s="1">
        <f>$H$2+$H$4</f>
        <v>1.1276991715782332</v>
      </c>
      <c r="I7" s="8">
        <f>$H$3+$H$4</f>
        <v>1.1026991715782331</v>
      </c>
      <c r="K7" s="196">
        <v>6</v>
      </c>
      <c r="L7" s="197">
        <f t="shared" ca="1" si="0"/>
        <v>0</v>
      </c>
      <c r="M7" s="23">
        <f ca="1">IF(ISNA(Ksys!B7),0,Ksys!B7)</f>
        <v>0</v>
      </c>
      <c r="O7" s="401">
        <f t="shared" ca="1" si="3"/>
        <v>0</v>
      </c>
      <c r="P7" s="90">
        <f t="shared" ca="1" si="3"/>
        <v>0</v>
      </c>
      <c r="Q7" s="90">
        <f t="shared" ca="1" si="3"/>
        <v>0</v>
      </c>
      <c r="R7" s="90">
        <f t="shared" ca="1" si="3"/>
        <v>0</v>
      </c>
      <c r="S7" s="90">
        <f t="shared" ca="1" si="3"/>
        <v>0</v>
      </c>
      <c r="T7" s="90">
        <f t="shared" ca="1" si="3"/>
        <v>0</v>
      </c>
      <c r="U7" s="90">
        <f t="shared" ca="1" si="3"/>
        <v>0</v>
      </c>
      <c r="V7" s="90">
        <f t="shared" ca="1" si="3"/>
        <v>0</v>
      </c>
      <c r="W7" s="90">
        <f t="shared" ca="1" si="3"/>
        <v>0</v>
      </c>
      <c r="X7" s="90">
        <f t="shared" ca="1" si="3"/>
        <v>0</v>
      </c>
      <c r="Y7" s="90">
        <f t="shared" ca="1" si="3"/>
        <v>0</v>
      </c>
      <c r="Z7" s="90">
        <f t="shared" ca="1" si="3"/>
        <v>0</v>
      </c>
      <c r="AA7" s="90">
        <f t="shared" ca="1" si="3"/>
        <v>0</v>
      </c>
      <c r="AB7" s="90">
        <f t="shared" ca="1" si="3"/>
        <v>0</v>
      </c>
      <c r="AC7" s="90">
        <f t="shared" ca="1" si="3"/>
        <v>0</v>
      </c>
      <c r="AD7" s="90">
        <f t="shared" ca="1" si="3"/>
        <v>0</v>
      </c>
      <c r="AE7" s="90">
        <f t="shared" ca="1" si="4"/>
        <v>0</v>
      </c>
      <c r="AF7" s="90">
        <f t="shared" ca="1" si="4"/>
        <v>0</v>
      </c>
      <c r="AG7" s="90">
        <f t="shared" ca="1" si="4"/>
        <v>0</v>
      </c>
      <c r="AH7" s="402">
        <f t="shared" ca="1" si="4"/>
        <v>0</v>
      </c>
    </row>
    <row r="8" spans="1:34" x14ac:dyDescent="0.2">
      <c r="A8" s="92"/>
      <c r="B8" s="265">
        <v>6</v>
      </c>
      <c r="C8" s="32" t="str">
        <f>IF(ISNUMBER(Knoten!C8),Knoten!C8-KLasten!B32*KLasten!$B$1*$C$25,"")</f>
        <v/>
      </c>
      <c r="D8" s="14" t="str">
        <f>IF(ISNUMBER(Knoten!D8),Knoten!D8 - KLasten!B9*KLasten!$B$1*$D$25,"")</f>
        <v/>
      </c>
      <c r="E8" s="336" t="str">
        <f t="shared" si="2"/>
        <v/>
      </c>
      <c r="G8" s="272" t="s">
        <v>94</v>
      </c>
      <c r="H8" s="1">
        <f>$H$2+$H$4</f>
        <v>1.1276991715782332</v>
      </c>
      <c r="I8" s="8">
        <f>$H$3-$H$4</f>
        <v>-0.15269917157823309</v>
      </c>
      <c r="K8" s="196">
        <v>7</v>
      </c>
      <c r="L8" s="197">
        <f t="shared" ca="1" si="0"/>
        <v>0</v>
      </c>
      <c r="M8" s="23">
        <f ca="1">IF(ISNA(Ksys!B8),0,Ksys!B8)</f>
        <v>0</v>
      </c>
      <c r="O8" s="401">
        <f t="shared" ca="1" si="3"/>
        <v>0</v>
      </c>
      <c r="P8" s="90">
        <f t="shared" ca="1" si="3"/>
        <v>0</v>
      </c>
      <c r="Q8" s="90">
        <f t="shared" ca="1" si="3"/>
        <v>0</v>
      </c>
      <c r="R8" s="90">
        <f t="shared" ca="1" si="3"/>
        <v>0</v>
      </c>
      <c r="S8" s="90">
        <f t="shared" ca="1" si="3"/>
        <v>0</v>
      </c>
      <c r="T8" s="90">
        <f t="shared" ca="1" si="3"/>
        <v>0</v>
      </c>
      <c r="U8" s="90">
        <f t="shared" ca="1" si="3"/>
        <v>0</v>
      </c>
      <c r="V8" s="90">
        <f t="shared" ca="1" si="3"/>
        <v>0</v>
      </c>
      <c r="W8" s="90">
        <f t="shared" ca="1" si="3"/>
        <v>0</v>
      </c>
      <c r="X8" s="90">
        <f t="shared" ca="1" si="3"/>
        <v>0</v>
      </c>
      <c r="Y8" s="90">
        <f t="shared" ca="1" si="3"/>
        <v>0</v>
      </c>
      <c r="Z8" s="90">
        <f t="shared" ca="1" si="3"/>
        <v>0</v>
      </c>
      <c r="AA8" s="90">
        <f t="shared" ca="1" si="3"/>
        <v>0</v>
      </c>
      <c r="AB8" s="90">
        <f t="shared" ca="1" si="3"/>
        <v>0</v>
      </c>
      <c r="AC8" s="90">
        <f t="shared" ca="1" si="3"/>
        <v>0</v>
      </c>
      <c r="AD8" s="90">
        <f t="shared" ca="1" si="3"/>
        <v>0</v>
      </c>
      <c r="AE8" s="90">
        <f t="shared" ca="1" si="4"/>
        <v>0</v>
      </c>
      <c r="AF8" s="90">
        <f t="shared" ca="1" si="4"/>
        <v>0</v>
      </c>
      <c r="AG8" s="90">
        <f t="shared" ca="1" si="4"/>
        <v>0</v>
      </c>
      <c r="AH8" s="402">
        <f t="shared" ca="1" si="4"/>
        <v>0</v>
      </c>
    </row>
    <row r="9" spans="1:34" ht="13.5" thickBot="1" x14ac:dyDescent="0.25">
      <c r="A9" s="92"/>
      <c r="B9" s="265">
        <v>7</v>
      </c>
      <c r="C9" s="32" t="str">
        <f>IF(ISNUMBER(Knoten!C9),Knoten!C9-KLasten!B33*KLasten!$B$1*$C$25,"")</f>
        <v/>
      </c>
      <c r="D9" s="14" t="str">
        <f>IF(ISNUMBER(Knoten!D9),Knoten!D9 - KLasten!B10*KLasten!$B$1*$D$25,"")</f>
        <v/>
      </c>
      <c r="E9" s="336" t="str">
        <f t="shared" si="2"/>
        <v/>
      </c>
      <c r="G9" s="166" t="s">
        <v>95</v>
      </c>
      <c r="H9" s="10">
        <f>$H$2-$H$4</f>
        <v>-0.12769917157823307</v>
      </c>
      <c r="I9" s="146">
        <f>$H$3-$H$4</f>
        <v>-0.15269917157823309</v>
      </c>
      <c r="K9" s="196">
        <v>8</v>
      </c>
      <c r="L9" s="197">
        <f t="shared" ca="1" si="0"/>
        <v>0</v>
      </c>
      <c r="M9" s="23">
        <f ca="1">IF(ISNA(Ksys!B9),0,Ksys!B9)</f>
        <v>0</v>
      </c>
      <c r="O9" s="401">
        <f t="shared" ca="1" si="3"/>
        <v>0</v>
      </c>
      <c r="P9" s="90">
        <f t="shared" ca="1" si="3"/>
        <v>0</v>
      </c>
      <c r="Q9" s="90">
        <f t="shared" ca="1" si="3"/>
        <v>0</v>
      </c>
      <c r="R9" s="90">
        <f t="shared" ca="1" si="3"/>
        <v>0</v>
      </c>
      <c r="S9" s="90">
        <f t="shared" ca="1" si="3"/>
        <v>0</v>
      </c>
      <c r="T9" s="90">
        <f t="shared" ca="1" si="3"/>
        <v>0</v>
      </c>
      <c r="U9" s="90">
        <f t="shared" ca="1" si="3"/>
        <v>0</v>
      </c>
      <c r="V9" s="90">
        <f t="shared" ca="1" si="3"/>
        <v>0</v>
      </c>
      <c r="W9" s="90">
        <f t="shared" ca="1" si="3"/>
        <v>0</v>
      </c>
      <c r="X9" s="90">
        <f t="shared" ca="1" si="3"/>
        <v>0</v>
      </c>
      <c r="Y9" s="90">
        <f t="shared" ca="1" si="3"/>
        <v>0</v>
      </c>
      <c r="Z9" s="90">
        <f t="shared" ca="1" si="3"/>
        <v>0</v>
      </c>
      <c r="AA9" s="90">
        <f t="shared" ca="1" si="3"/>
        <v>0</v>
      </c>
      <c r="AB9" s="90">
        <f t="shared" ca="1" si="3"/>
        <v>0</v>
      </c>
      <c r="AC9" s="90">
        <f t="shared" ca="1" si="3"/>
        <v>0</v>
      </c>
      <c r="AD9" s="90">
        <f t="shared" ca="1" si="3"/>
        <v>0</v>
      </c>
      <c r="AE9" s="90">
        <f t="shared" ca="1" si="4"/>
        <v>0</v>
      </c>
      <c r="AF9" s="90">
        <f t="shared" ca="1" si="4"/>
        <v>0</v>
      </c>
      <c r="AG9" s="90">
        <f t="shared" ca="1" si="4"/>
        <v>0</v>
      </c>
      <c r="AH9" s="402">
        <f t="shared" ca="1" si="4"/>
        <v>0</v>
      </c>
    </row>
    <row r="10" spans="1:34" x14ac:dyDescent="0.2">
      <c r="A10" s="92"/>
      <c r="B10" s="265">
        <v>8</v>
      </c>
      <c r="C10" s="32" t="str">
        <f>IF(ISNUMBER(Knoten!C10),Knoten!C10-KLasten!B34*KLasten!$B$1*$C$25,"")</f>
        <v/>
      </c>
      <c r="D10" s="14" t="str">
        <f>IF(ISNUMBER(Knoten!D10),Knoten!D10 - KLasten!B11*KLasten!$B$1*$D$25,"")</f>
        <v/>
      </c>
      <c r="E10" s="336" t="str">
        <f t="shared" si="2"/>
        <v/>
      </c>
      <c r="K10" s="196">
        <v>9</v>
      </c>
      <c r="L10" s="197">
        <f t="shared" ca="1" si="0"/>
        <v>0</v>
      </c>
      <c r="M10" s="23">
        <f ca="1">IF(ISNA(Ksys!B10),0,Ksys!B10)</f>
        <v>0</v>
      </c>
      <c r="O10" s="401">
        <f t="shared" ca="1" si="3"/>
        <v>0</v>
      </c>
      <c r="P10" s="90">
        <f t="shared" ca="1" si="3"/>
        <v>0</v>
      </c>
      <c r="Q10" s="90">
        <f t="shared" ca="1" si="3"/>
        <v>0</v>
      </c>
      <c r="R10" s="90">
        <f t="shared" ca="1" si="3"/>
        <v>0</v>
      </c>
      <c r="S10" s="90">
        <f t="shared" ca="1" si="3"/>
        <v>0</v>
      </c>
      <c r="T10" s="90">
        <f t="shared" ca="1" si="3"/>
        <v>0</v>
      </c>
      <c r="U10" s="90">
        <f t="shared" ca="1" si="3"/>
        <v>0</v>
      </c>
      <c r="V10" s="90">
        <f t="shared" ca="1" si="3"/>
        <v>0</v>
      </c>
      <c r="W10" s="90">
        <f t="shared" ca="1" si="3"/>
        <v>0</v>
      </c>
      <c r="X10" s="90">
        <f t="shared" ca="1" si="3"/>
        <v>0</v>
      </c>
      <c r="Y10" s="90">
        <f t="shared" ca="1" si="3"/>
        <v>0</v>
      </c>
      <c r="Z10" s="90">
        <f t="shared" ca="1" si="3"/>
        <v>0</v>
      </c>
      <c r="AA10" s="90">
        <f t="shared" ca="1" si="3"/>
        <v>0</v>
      </c>
      <c r="AB10" s="90">
        <f t="shared" ca="1" si="3"/>
        <v>0</v>
      </c>
      <c r="AC10" s="90">
        <f t="shared" ca="1" si="3"/>
        <v>0</v>
      </c>
      <c r="AD10" s="90">
        <f t="shared" ca="1" si="3"/>
        <v>0</v>
      </c>
      <c r="AE10" s="90">
        <f t="shared" ca="1" si="4"/>
        <v>0</v>
      </c>
      <c r="AF10" s="90">
        <f t="shared" ca="1" si="4"/>
        <v>0</v>
      </c>
      <c r="AG10" s="90">
        <f t="shared" ca="1" si="4"/>
        <v>0</v>
      </c>
      <c r="AH10" s="402">
        <f t="shared" ca="1" si="4"/>
        <v>0</v>
      </c>
    </row>
    <row r="11" spans="1:34" ht="13.5" thickBot="1" x14ac:dyDescent="0.25">
      <c r="A11" s="92"/>
      <c r="B11" s="265">
        <v>9</v>
      </c>
      <c r="C11" s="32" t="str">
        <f>IF(ISNUMBER(Knoten!C11),Knoten!C11-KLasten!B35*KLasten!$B$1*$C$25,"")</f>
        <v/>
      </c>
      <c r="D11" s="14" t="str">
        <f>IF(ISNUMBER(Knoten!D11),Knoten!D11 - KLasten!B12*KLasten!$B$1*$D$25,"")</f>
        <v/>
      </c>
      <c r="E11" s="336" t="str">
        <f t="shared" si="2"/>
        <v/>
      </c>
      <c r="G11" s="172" t="s">
        <v>105</v>
      </c>
      <c r="K11" s="196">
        <v>10</v>
      </c>
      <c r="L11" s="197">
        <f t="shared" ca="1" si="0"/>
        <v>0</v>
      </c>
      <c r="M11" s="23">
        <f ca="1">IF(ISNA(Ksys!B11),0,Ksys!B11)</f>
        <v>0</v>
      </c>
      <c r="O11" s="401">
        <f t="shared" ca="1" si="3"/>
        <v>0</v>
      </c>
      <c r="P11" s="90">
        <f t="shared" ca="1" si="3"/>
        <v>0</v>
      </c>
      <c r="Q11" s="90">
        <f t="shared" ca="1" si="3"/>
        <v>0</v>
      </c>
      <c r="R11" s="90">
        <f t="shared" ca="1" si="3"/>
        <v>0</v>
      </c>
      <c r="S11" s="90">
        <f t="shared" ca="1" si="3"/>
        <v>0</v>
      </c>
      <c r="T11" s="90">
        <f t="shared" ca="1" si="3"/>
        <v>0</v>
      </c>
      <c r="U11" s="90">
        <f t="shared" ca="1" si="3"/>
        <v>0</v>
      </c>
      <c r="V11" s="90">
        <f t="shared" ca="1" si="3"/>
        <v>0</v>
      </c>
      <c r="W11" s="90">
        <f t="shared" ca="1" si="3"/>
        <v>0</v>
      </c>
      <c r="X11" s="90">
        <f t="shared" ca="1" si="3"/>
        <v>0</v>
      </c>
      <c r="Y11" s="90">
        <f t="shared" ca="1" si="3"/>
        <v>0</v>
      </c>
      <c r="Z11" s="90">
        <f t="shared" ca="1" si="3"/>
        <v>0</v>
      </c>
      <c r="AA11" s="90">
        <f t="shared" ca="1" si="3"/>
        <v>0</v>
      </c>
      <c r="AB11" s="90">
        <f t="shared" ca="1" si="3"/>
        <v>0</v>
      </c>
      <c r="AC11" s="90">
        <f t="shared" ca="1" si="3"/>
        <v>0</v>
      </c>
      <c r="AD11" s="90">
        <f t="shared" ca="1" si="3"/>
        <v>0</v>
      </c>
      <c r="AE11" s="90">
        <f t="shared" ca="1" si="4"/>
        <v>0</v>
      </c>
      <c r="AF11" s="90">
        <f t="shared" ca="1" si="4"/>
        <v>0</v>
      </c>
      <c r="AG11" s="90">
        <f t="shared" ca="1" si="4"/>
        <v>0</v>
      </c>
      <c r="AH11" s="402">
        <f t="shared" ca="1" si="4"/>
        <v>0</v>
      </c>
    </row>
    <row r="12" spans="1:34" x14ac:dyDescent="0.2">
      <c r="A12" s="92"/>
      <c r="B12" s="265">
        <v>10</v>
      </c>
      <c r="C12" s="32" t="str">
        <f>IF(ISNUMBER(Knoten!C12),Knoten!C12-KLasten!B36*KLasten!$B$1*$C$25,"")</f>
        <v/>
      </c>
      <c r="D12" s="14" t="str">
        <f>IF(ISNUMBER(Knoten!D12),Knoten!D12 - KLasten!B13*KLasten!$B$1*$D$25,"")</f>
        <v/>
      </c>
      <c r="E12" s="336" t="str">
        <f t="shared" si="2"/>
        <v/>
      </c>
      <c r="G12" s="270" t="s">
        <v>87</v>
      </c>
      <c r="H12" s="271">
        <f ca="1">(MAX(EleData!CI2:CI121)+MIN(EleData!CI2:CI121))/2</f>
        <v>0.5</v>
      </c>
      <c r="I12" s="6"/>
      <c r="K12" s="196">
        <v>11</v>
      </c>
      <c r="L12" s="197">
        <f t="shared" ca="1" si="0"/>
        <v>0</v>
      </c>
      <c r="M12" s="23">
        <f ca="1">IF(ISNA(Ksys!B12),0,Ksys!B12)</f>
        <v>0</v>
      </c>
      <c r="O12" s="401">
        <f t="shared" ca="1" si="3"/>
        <v>0</v>
      </c>
      <c r="P12" s="90">
        <f t="shared" ca="1" si="3"/>
        <v>0</v>
      </c>
      <c r="Q12" s="90">
        <f t="shared" ca="1" si="3"/>
        <v>0</v>
      </c>
      <c r="R12" s="90">
        <f t="shared" ca="1" si="3"/>
        <v>0</v>
      </c>
      <c r="S12" s="90">
        <f t="shared" ca="1" si="3"/>
        <v>0</v>
      </c>
      <c r="T12" s="90">
        <f t="shared" ca="1" si="3"/>
        <v>0</v>
      </c>
      <c r="U12" s="90">
        <f t="shared" ca="1" si="3"/>
        <v>0</v>
      </c>
      <c r="V12" s="90">
        <f t="shared" ca="1" si="3"/>
        <v>0</v>
      </c>
      <c r="W12" s="90">
        <f t="shared" ca="1" si="3"/>
        <v>0</v>
      </c>
      <c r="X12" s="90">
        <f t="shared" ca="1" si="3"/>
        <v>0</v>
      </c>
      <c r="Y12" s="90">
        <f t="shared" ca="1" si="3"/>
        <v>0</v>
      </c>
      <c r="Z12" s="90">
        <f t="shared" ca="1" si="3"/>
        <v>0</v>
      </c>
      <c r="AA12" s="90">
        <f t="shared" ca="1" si="3"/>
        <v>0</v>
      </c>
      <c r="AB12" s="90">
        <f t="shared" ca="1" si="3"/>
        <v>0</v>
      </c>
      <c r="AC12" s="90">
        <f t="shared" ca="1" si="3"/>
        <v>0</v>
      </c>
      <c r="AD12" s="90">
        <f t="shared" ca="1" si="3"/>
        <v>0</v>
      </c>
      <c r="AE12" s="90">
        <f t="shared" ca="1" si="4"/>
        <v>0</v>
      </c>
      <c r="AF12" s="90">
        <f t="shared" ca="1" si="4"/>
        <v>0</v>
      </c>
      <c r="AG12" s="90">
        <f t="shared" ca="1" si="4"/>
        <v>0</v>
      </c>
      <c r="AH12" s="402">
        <f t="shared" ca="1" si="4"/>
        <v>0</v>
      </c>
    </row>
    <row r="13" spans="1:34" x14ac:dyDescent="0.2">
      <c r="A13" s="92"/>
      <c r="B13" s="265">
        <v>11</v>
      </c>
      <c r="C13" s="32" t="str">
        <f>IF(ISNUMBER(Knoten!C13),Knoten!C13-KLasten!B37*KLasten!$B$1*$C$25,"")</f>
        <v/>
      </c>
      <c r="D13" s="14" t="str">
        <f>IF(ISNUMBER(Knoten!D13),Knoten!D13 - KLasten!B14*KLasten!$B$1*$D$25,"")</f>
        <v/>
      </c>
      <c r="E13" s="336" t="str">
        <f t="shared" si="2"/>
        <v/>
      </c>
      <c r="G13" s="272" t="s">
        <v>88</v>
      </c>
      <c r="H13" s="1">
        <f ca="1">(MAX(EleData!CJ2:CJ121)+MIN(EleData!CJ2:CJ121))/2</f>
        <v>0.5</v>
      </c>
      <c r="I13" s="8"/>
      <c r="K13" s="196">
        <v>12</v>
      </c>
      <c r="L13" s="197">
        <f t="shared" ca="1" si="0"/>
        <v>0</v>
      </c>
      <c r="M13" s="23">
        <f ca="1">IF(ISNA(Ksys!B13),0,Ksys!B13)</f>
        <v>0</v>
      </c>
      <c r="O13" s="401">
        <f t="shared" ca="1" si="3"/>
        <v>0</v>
      </c>
      <c r="P13" s="90">
        <f t="shared" ca="1" si="3"/>
        <v>0</v>
      </c>
      <c r="Q13" s="90">
        <f t="shared" ca="1" si="3"/>
        <v>0</v>
      </c>
      <c r="R13" s="90">
        <f t="shared" ca="1" si="3"/>
        <v>0</v>
      </c>
      <c r="S13" s="90">
        <f t="shared" ca="1" si="3"/>
        <v>0</v>
      </c>
      <c r="T13" s="90">
        <f t="shared" ca="1" si="3"/>
        <v>0</v>
      </c>
      <c r="U13" s="90">
        <f t="shared" ca="1" si="3"/>
        <v>0</v>
      </c>
      <c r="V13" s="90">
        <f t="shared" ca="1" si="3"/>
        <v>0</v>
      </c>
      <c r="W13" s="90">
        <f t="shared" ca="1" si="3"/>
        <v>0</v>
      </c>
      <c r="X13" s="90">
        <f t="shared" ca="1" si="3"/>
        <v>0</v>
      </c>
      <c r="Y13" s="90">
        <f t="shared" ca="1" si="3"/>
        <v>0</v>
      </c>
      <c r="Z13" s="90">
        <f t="shared" ca="1" si="3"/>
        <v>0</v>
      </c>
      <c r="AA13" s="90">
        <f t="shared" ca="1" si="3"/>
        <v>0</v>
      </c>
      <c r="AB13" s="90">
        <f t="shared" ca="1" si="3"/>
        <v>0</v>
      </c>
      <c r="AC13" s="90">
        <f t="shared" ca="1" si="3"/>
        <v>0</v>
      </c>
      <c r="AD13" s="90">
        <f t="shared" ca="1" si="3"/>
        <v>0</v>
      </c>
      <c r="AE13" s="90">
        <f t="shared" ca="1" si="4"/>
        <v>0</v>
      </c>
      <c r="AF13" s="90">
        <f t="shared" ca="1" si="4"/>
        <v>0</v>
      </c>
      <c r="AG13" s="90">
        <f t="shared" ca="1" si="4"/>
        <v>0</v>
      </c>
      <c r="AH13" s="402">
        <f t="shared" ca="1" si="4"/>
        <v>0</v>
      </c>
    </row>
    <row r="14" spans="1:34" x14ac:dyDescent="0.2">
      <c r="A14" s="92"/>
      <c r="B14" s="265">
        <v>12</v>
      </c>
      <c r="C14" s="32" t="str">
        <f>IF(ISNUMBER(Knoten!C14),Knoten!C14-KLasten!B38*KLasten!$B$1*$C$25,"")</f>
        <v/>
      </c>
      <c r="D14" s="14" t="str">
        <f>IF(ISNUMBER(Knoten!D14),Knoten!D14 - KLasten!B15*KLasten!$B$1*$D$25,"")</f>
        <v/>
      </c>
      <c r="E14" s="336" t="str">
        <f t="shared" si="2"/>
        <v/>
      </c>
      <c r="G14" s="272" t="s">
        <v>90</v>
      </c>
      <c r="H14" s="1">
        <f ca="1">$H$15 * SQRT((MAX(EleData!$CI$2:$CI$121)-MIN(EleData!$CI$2:$CI$121))^2 + (MAX(EleData!$CJ$2:$CJ$121)-MIN(EleData!$CJ$2:$CJ$121))^2)/2</f>
        <v>0.55901699437494745</v>
      </c>
      <c r="I14" s="8"/>
      <c r="K14" s="196">
        <v>13</v>
      </c>
      <c r="L14" s="197">
        <f t="shared" ca="1" si="0"/>
        <v>0</v>
      </c>
      <c r="M14" s="23">
        <f ca="1">IF(ISNA(Ksys!B14),0,Ksys!B14)</f>
        <v>0</v>
      </c>
      <c r="O14" s="401">
        <f t="shared" ca="1" si="3"/>
        <v>0</v>
      </c>
      <c r="P14" s="90">
        <f t="shared" ca="1" si="3"/>
        <v>0</v>
      </c>
      <c r="Q14" s="90">
        <f t="shared" ca="1" si="3"/>
        <v>0</v>
      </c>
      <c r="R14" s="90">
        <f t="shared" ca="1" si="3"/>
        <v>0</v>
      </c>
      <c r="S14" s="90">
        <f t="shared" ca="1" si="3"/>
        <v>0</v>
      </c>
      <c r="T14" s="90">
        <f t="shared" ca="1" si="3"/>
        <v>0</v>
      </c>
      <c r="U14" s="90">
        <f t="shared" ca="1" si="3"/>
        <v>0</v>
      </c>
      <c r="V14" s="90">
        <f t="shared" ca="1" si="3"/>
        <v>0</v>
      </c>
      <c r="W14" s="90">
        <f t="shared" ca="1" si="3"/>
        <v>0</v>
      </c>
      <c r="X14" s="90">
        <f t="shared" ca="1" si="3"/>
        <v>0</v>
      </c>
      <c r="Y14" s="90">
        <f t="shared" ca="1" si="3"/>
        <v>0</v>
      </c>
      <c r="Z14" s="90">
        <f t="shared" ca="1" si="3"/>
        <v>0</v>
      </c>
      <c r="AA14" s="90">
        <f t="shared" ca="1" si="3"/>
        <v>0</v>
      </c>
      <c r="AB14" s="90">
        <f t="shared" ca="1" si="3"/>
        <v>0</v>
      </c>
      <c r="AC14" s="90">
        <f t="shared" ca="1" si="3"/>
        <v>0</v>
      </c>
      <c r="AD14" s="90">
        <f t="shared" ca="1" si="3"/>
        <v>0</v>
      </c>
      <c r="AE14" s="90">
        <f t="shared" ca="1" si="4"/>
        <v>0</v>
      </c>
      <c r="AF14" s="90">
        <f t="shared" ca="1" si="4"/>
        <v>0</v>
      </c>
      <c r="AG14" s="90">
        <f t="shared" ca="1" si="4"/>
        <v>0</v>
      </c>
      <c r="AH14" s="402">
        <f t="shared" ca="1" si="4"/>
        <v>0</v>
      </c>
    </row>
    <row r="15" spans="1:34" x14ac:dyDescent="0.2">
      <c r="A15" s="92"/>
      <c r="B15" s="265">
        <v>13</v>
      </c>
      <c r="C15" s="32" t="str">
        <f>IF(ISNUMBER(Knoten!C15),Knoten!C15-KLasten!B39*KLasten!$B$1*$C$25,"")</f>
        <v/>
      </c>
      <c r="D15" s="14" t="str">
        <f>IF(ISNUMBER(Knoten!D15),Knoten!D15 - KLasten!B16*KLasten!$B$1*$D$25,"")</f>
        <v/>
      </c>
      <c r="E15" s="336" t="str">
        <f t="shared" si="2"/>
        <v/>
      </c>
      <c r="G15" s="272" t="s">
        <v>91</v>
      </c>
      <c r="H15" s="1">
        <v>1</v>
      </c>
      <c r="I15" s="8"/>
      <c r="K15" s="196">
        <v>14</v>
      </c>
      <c r="L15" s="197">
        <f t="shared" ca="1" si="0"/>
        <v>0</v>
      </c>
      <c r="M15" s="23">
        <f ca="1">IF(ISNA(Ksys!B15),0,Ksys!B15)</f>
        <v>0</v>
      </c>
      <c r="O15" s="401">
        <f t="shared" ca="1" si="3"/>
        <v>0</v>
      </c>
      <c r="P15" s="90">
        <f t="shared" ca="1" si="3"/>
        <v>0</v>
      </c>
      <c r="Q15" s="90">
        <f t="shared" ca="1" si="3"/>
        <v>0</v>
      </c>
      <c r="R15" s="90">
        <f t="shared" ca="1" si="3"/>
        <v>0</v>
      </c>
      <c r="S15" s="90">
        <f t="shared" ca="1" si="3"/>
        <v>0</v>
      </c>
      <c r="T15" s="90">
        <f t="shared" ca="1" si="3"/>
        <v>0</v>
      </c>
      <c r="U15" s="90">
        <f t="shared" ca="1" si="3"/>
        <v>0</v>
      </c>
      <c r="V15" s="90">
        <f t="shared" ca="1" si="3"/>
        <v>0</v>
      </c>
      <c r="W15" s="90">
        <f t="shared" ca="1" si="3"/>
        <v>0</v>
      </c>
      <c r="X15" s="90">
        <f t="shared" ca="1" si="3"/>
        <v>0</v>
      </c>
      <c r="Y15" s="90">
        <f t="shared" ca="1" si="3"/>
        <v>0</v>
      </c>
      <c r="Z15" s="90">
        <f t="shared" ca="1" si="3"/>
        <v>0</v>
      </c>
      <c r="AA15" s="90">
        <f t="shared" ca="1" si="3"/>
        <v>0</v>
      </c>
      <c r="AB15" s="90">
        <f t="shared" ca="1" si="3"/>
        <v>0</v>
      </c>
      <c r="AC15" s="90">
        <f t="shared" ca="1" si="3"/>
        <v>0</v>
      </c>
      <c r="AD15" s="90">
        <f t="shared" ca="1" si="3"/>
        <v>0</v>
      </c>
      <c r="AE15" s="90">
        <f t="shared" ca="1" si="4"/>
        <v>0</v>
      </c>
      <c r="AF15" s="90">
        <f t="shared" ca="1" si="4"/>
        <v>0</v>
      </c>
      <c r="AG15" s="90">
        <f t="shared" ca="1" si="4"/>
        <v>0</v>
      </c>
      <c r="AH15" s="402">
        <f t="shared" ca="1" si="4"/>
        <v>0</v>
      </c>
    </row>
    <row r="16" spans="1:34" x14ac:dyDescent="0.2">
      <c r="A16" s="92"/>
      <c r="B16" s="265">
        <v>14</v>
      </c>
      <c r="C16" s="32" t="str">
        <f>IF(ISNUMBER(Knoten!C16),Knoten!C16-KLasten!B40*KLasten!$B$1*$C$25,"")</f>
        <v/>
      </c>
      <c r="D16" s="14" t="str">
        <f>IF(ISNUMBER(Knoten!D16),Knoten!D16 - KLasten!B17*KLasten!$B$1*$D$25,"")</f>
        <v/>
      </c>
      <c r="E16" s="336" t="str">
        <f t="shared" si="2"/>
        <v/>
      </c>
      <c r="G16" s="272" t="s">
        <v>92</v>
      </c>
      <c r="H16" s="1">
        <f ca="1">$H$12-$H$14</f>
        <v>-5.9016994374947451E-2</v>
      </c>
      <c r="I16" s="8">
        <f ca="1">$H$13+$H$14</f>
        <v>1.0590169943749475</v>
      </c>
      <c r="K16" s="196">
        <v>15</v>
      </c>
      <c r="L16" s="197">
        <f t="shared" ca="1" si="0"/>
        <v>0</v>
      </c>
      <c r="M16" s="23">
        <f ca="1">IF(ISNA(Ksys!B16),0,Ksys!B16)</f>
        <v>0</v>
      </c>
      <c r="O16" s="401">
        <f t="shared" ca="1" si="3"/>
        <v>0</v>
      </c>
      <c r="P16" s="90">
        <f t="shared" ca="1" si="3"/>
        <v>0</v>
      </c>
      <c r="Q16" s="90">
        <f t="shared" ca="1" si="3"/>
        <v>0</v>
      </c>
      <c r="R16" s="90">
        <f t="shared" ca="1" si="3"/>
        <v>0</v>
      </c>
      <c r="S16" s="90">
        <f t="shared" ca="1" si="3"/>
        <v>0</v>
      </c>
      <c r="T16" s="90">
        <f t="shared" ca="1" si="3"/>
        <v>0</v>
      </c>
      <c r="U16" s="90">
        <f t="shared" ca="1" si="3"/>
        <v>0</v>
      </c>
      <c r="V16" s="90">
        <f t="shared" ca="1" si="3"/>
        <v>0</v>
      </c>
      <c r="W16" s="90">
        <f t="shared" ca="1" si="3"/>
        <v>0</v>
      </c>
      <c r="X16" s="90">
        <f t="shared" ca="1" si="3"/>
        <v>0</v>
      </c>
      <c r="Y16" s="90">
        <f t="shared" ca="1" si="3"/>
        <v>0</v>
      </c>
      <c r="Z16" s="90">
        <f t="shared" ca="1" si="3"/>
        <v>0</v>
      </c>
      <c r="AA16" s="90">
        <f t="shared" ca="1" si="3"/>
        <v>0</v>
      </c>
      <c r="AB16" s="90">
        <f t="shared" ca="1" si="3"/>
        <v>0</v>
      </c>
      <c r="AC16" s="90">
        <f t="shared" ca="1" si="3"/>
        <v>0</v>
      </c>
      <c r="AD16" s="90">
        <f t="shared" ca="1" si="3"/>
        <v>0</v>
      </c>
      <c r="AE16" s="90">
        <f t="shared" ca="1" si="4"/>
        <v>0</v>
      </c>
      <c r="AF16" s="90">
        <f t="shared" ca="1" si="4"/>
        <v>0</v>
      </c>
      <c r="AG16" s="90">
        <f t="shared" ca="1" si="4"/>
        <v>0</v>
      </c>
      <c r="AH16" s="402">
        <f t="shared" ca="1" si="4"/>
        <v>0</v>
      </c>
    </row>
    <row r="17" spans="1:34" x14ac:dyDescent="0.2">
      <c r="A17" s="92"/>
      <c r="B17" s="265">
        <v>15</v>
      </c>
      <c r="C17" s="32" t="str">
        <f>IF(ISNUMBER(Knoten!C17),Knoten!C17-KLasten!B41*KLasten!$B$1*$C$25,"")</f>
        <v/>
      </c>
      <c r="D17" s="14" t="str">
        <f>IF(ISNUMBER(Knoten!D17),Knoten!D17 - KLasten!B18*KLasten!$B$1*$D$25,"")</f>
        <v/>
      </c>
      <c r="E17" s="336" t="str">
        <f t="shared" si="2"/>
        <v/>
      </c>
      <c r="G17" s="272" t="s">
        <v>93</v>
      </c>
      <c r="H17" s="1">
        <f ca="1">$H$12+$H$14</f>
        <v>1.0590169943749475</v>
      </c>
      <c r="I17" s="8">
        <f ca="1">$H$13+$H$14</f>
        <v>1.0590169943749475</v>
      </c>
      <c r="K17" s="196">
        <v>16</v>
      </c>
      <c r="L17" s="197">
        <f t="shared" ca="1" si="0"/>
        <v>0</v>
      </c>
      <c r="M17" s="23">
        <f ca="1">IF(ISNA(Ksys!B17),0,Ksys!B17)</f>
        <v>0</v>
      </c>
      <c r="O17" s="401">
        <f t="shared" ca="1" si="3"/>
        <v>0</v>
      </c>
      <c r="P17" s="90">
        <f t="shared" ca="1" si="3"/>
        <v>0</v>
      </c>
      <c r="Q17" s="90">
        <f t="shared" ca="1" si="3"/>
        <v>0</v>
      </c>
      <c r="R17" s="90">
        <f t="shared" ca="1" si="3"/>
        <v>0</v>
      </c>
      <c r="S17" s="90">
        <f t="shared" ca="1" si="3"/>
        <v>0</v>
      </c>
      <c r="T17" s="90">
        <f t="shared" ca="1" si="3"/>
        <v>0</v>
      </c>
      <c r="U17" s="90">
        <f t="shared" ca="1" si="3"/>
        <v>0</v>
      </c>
      <c r="V17" s="90">
        <f t="shared" ca="1" si="3"/>
        <v>0</v>
      </c>
      <c r="W17" s="90">
        <f t="shared" ca="1" si="3"/>
        <v>0</v>
      </c>
      <c r="X17" s="90">
        <f t="shared" ca="1" si="3"/>
        <v>0</v>
      </c>
      <c r="Y17" s="90">
        <f t="shared" ca="1" si="3"/>
        <v>0</v>
      </c>
      <c r="Z17" s="90">
        <f t="shared" ca="1" si="3"/>
        <v>0</v>
      </c>
      <c r="AA17" s="90">
        <f t="shared" ca="1" si="3"/>
        <v>0</v>
      </c>
      <c r="AB17" s="90">
        <f t="shared" ca="1" si="3"/>
        <v>0</v>
      </c>
      <c r="AC17" s="90">
        <f t="shared" ca="1" si="3"/>
        <v>0</v>
      </c>
      <c r="AD17" s="90">
        <f t="shared" ca="1" si="3"/>
        <v>0</v>
      </c>
      <c r="AE17" s="90">
        <f t="shared" ca="1" si="4"/>
        <v>0</v>
      </c>
      <c r="AF17" s="90">
        <f t="shared" ca="1" si="4"/>
        <v>0</v>
      </c>
      <c r="AG17" s="90">
        <f t="shared" ca="1" si="4"/>
        <v>0</v>
      </c>
      <c r="AH17" s="402">
        <f t="shared" ca="1" si="4"/>
        <v>0</v>
      </c>
    </row>
    <row r="18" spans="1:34" x14ac:dyDescent="0.2">
      <c r="A18" s="92"/>
      <c r="B18" s="265">
        <v>16</v>
      </c>
      <c r="C18" s="32" t="str">
        <f>IF(ISNUMBER(Knoten!C18),Knoten!C18-KLasten!B42*KLasten!$B$1*$C$25,"")</f>
        <v/>
      </c>
      <c r="D18" s="14" t="str">
        <f>IF(ISNUMBER(Knoten!D18),Knoten!D18 - KLasten!B19*KLasten!$B$1*$D$25,"")</f>
        <v/>
      </c>
      <c r="E18" s="336" t="str">
        <f t="shared" si="2"/>
        <v/>
      </c>
      <c r="G18" s="272" t="s">
        <v>94</v>
      </c>
      <c r="H18" s="1">
        <f ca="1">$H$12+$H$14</f>
        <v>1.0590169943749475</v>
      </c>
      <c r="I18" s="8">
        <f ca="1">$H$13-$H$14</f>
        <v>-5.9016994374947451E-2</v>
      </c>
      <c r="K18" s="196">
        <v>17</v>
      </c>
      <c r="L18" s="197">
        <f t="shared" ca="1" si="0"/>
        <v>0</v>
      </c>
      <c r="M18" s="23">
        <f ca="1">IF(ISNA(Ksys!B18),0,Ksys!B18)</f>
        <v>0</v>
      </c>
      <c r="O18" s="401">
        <f t="shared" ca="1" si="3"/>
        <v>0</v>
      </c>
      <c r="P18" s="90">
        <f t="shared" ca="1" si="3"/>
        <v>0</v>
      </c>
      <c r="Q18" s="90">
        <f t="shared" ca="1" si="3"/>
        <v>0</v>
      </c>
      <c r="R18" s="90">
        <f t="shared" ca="1" si="3"/>
        <v>0</v>
      </c>
      <c r="S18" s="90">
        <f t="shared" ca="1" si="3"/>
        <v>0</v>
      </c>
      <c r="T18" s="90">
        <f t="shared" ca="1" si="3"/>
        <v>0</v>
      </c>
      <c r="U18" s="90">
        <f t="shared" ca="1" si="3"/>
        <v>0</v>
      </c>
      <c r="V18" s="90">
        <f t="shared" ca="1" si="3"/>
        <v>0</v>
      </c>
      <c r="W18" s="90">
        <f t="shared" ca="1" si="3"/>
        <v>0</v>
      </c>
      <c r="X18" s="90">
        <f t="shared" ca="1" si="3"/>
        <v>0</v>
      </c>
      <c r="Y18" s="90">
        <f t="shared" ca="1" si="3"/>
        <v>0</v>
      </c>
      <c r="Z18" s="90">
        <f t="shared" ca="1" si="3"/>
        <v>0</v>
      </c>
      <c r="AA18" s="90">
        <f t="shared" ca="1" si="3"/>
        <v>0</v>
      </c>
      <c r="AB18" s="90">
        <f t="shared" ca="1" si="3"/>
        <v>0</v>
      </c>
      <c r="AC18" s="90">
        <f t="shared" ca="1" si="3"/>
        <v>0</v>
      </c>
      <c r="AD18" s="90">
        <f t="shared" ref="AD18:AH33" ca="1" si="5">IF(ABS(INDIRECT("Knoten!E" &amp; 2+AD$1))=$K18,SIGN(INDIRECT("Knoten!E" &amp; 2+AD$1))*INDIRECT("Knoten!H" &amp; 2+AD$1),0)
+ IF(ABS(INDIRECT("Knoten!F" &amp; 2+AD$1))=$K18,SIGN(INDIRECT("Knoten!F" &amp; 2+AD$1))*INDIRECT("Knoten!I" &amp; 2+AD$1),0)
+ IF(ABS(INDIRECT("Knoten!G" &amp; 2+AD$1))=$K18,SIGN(INDIRECT("Knoten!G" &amp; 2+AD$1))*INDIRECT("Knoten!J" &amp; 2+AD$1),0)</f>
        <v>0</v>
      </c>
      <c r="AE18" s="90">
        <f t="shared" ca="1" si="5"/>
        <v>0</v>
      </c>
      <c r="AF18" s="90">
        <f t="shared" ca="1" si="5"/>
        <v>0</v>
      </c>
      <c r="AG18" s="90">
        <f t="shared" ca="1" si="5"/>
        <v>0</v>
      </c>
      <c r="AH18" s="402">
        <f t="shared" ca="1" si="5"/>
        <v>0</v>
      </c>
    </row>
    <row r="19" spans="1:34" ht="13.5" thickBot="1" x14ac:dyDescent="0.25">
      <c r="A19" s="92"/>
      <c r="B19" s="265">
        <v>17</v>
      </c>
      <c r="C19" s="32" t="str">
        <f>IF(ISNUMBER(Knoten!C19),Knoten!C19-KLasten!B43*KLasten!$B$1*$C$25,"")</f>
        <v/>
      </c>
      <c r="D19" s="14" t="str">
        <f>IF(ISNUMBER(Knoten!D19),Knoten!D19 - KLasten!B20*KLasten!$B$1*$D$25,"")</f>
        <v/>
      </c>
      <c r="E19" s="336" t="str">
        <f t="shared" si="2"/>
        <v/>
      </c>
      <c r="G19" s="166" t="s">
        <v>95</v>
      </c>
      <c r="H19" s="10">
        <f ca="1">$H$12-$H$14</f>
        <v>-5.9016994374947451E-2</v>
      </c>
      <c r="I19" s="146">
        <f ca="1">$H$13-$H$14</f>
        <v>-5.9016994374947451E-2</v>
      </c>
      <c r="K19" s="196">
        <v>18</v>
      </c>
      <c r="L19" s="197">
        <f t="shared" ca="1" si="0"/>
        <v>0</v>
      </c>
      <c r="M19" s="23">
        <f ca="1">IF(ISNA(Ksys!B19),0,Ksys!B19)</f>
        <v>0</v>
      </c>
      <c r="O19" s="401">
        <f t="shared" ref="O19:AD34" ca="1" si="6">IF(ABS(INDIRECT("Knoten!E" &amp; 2+O$1))=$K19,SIGN(INDIRECT("Knoten!E" &amp; 2+O$1))*INDIRECT("Knoten!H" &amp; 2+O$1),0)
+ IF(ABS(INDIRECT("Knoten!F" &amp; 2+O$1))=$K19,SIGN(INDIRECT("Knoten!F" &amp; 2+O$1))*INDIRECT("Knoten!I" &amp; 2+O$1),0)
+ IF(ABS(INDIRECT("Knoten!G" &amp; 2+O$1))=$K19,SIGN(INDIRECT("Knoten!G" &amp; 2+O$1))*INDIRECT("Knoten!J" &amp; 2+O$1),0)</f>
        <v>0</v>
      </c>
      <c r="P19" s="90">
        <f t="shared" ca="1" si="6"/>
        <v>0</v>
      </c>
      <c r="Q19" s="90">
        <f t="shared" ca="1" si="6"/>
        <v>0</v>
      </c>
      <c r="R19" s="90">
        <f t="shared" ca="1" si="6"/>
        <v>0</v>
      </c>
      <c r="S19" s="90">
        <f t="shared" ca="1" si="6"/>
        <v>0</v>
      </c>
      <c r="T19" s="90">
        <f t="shared" ca="1" si="6"/>
        <v>0</v>
      </c>
      <c r="U19" s="90">
        <f t="shared" ca="1" si="6"/>
        <v>0</v>
      </c>
      <c r="V19" s="90">
        <f t="shared" ca="1" si="6"/>
        <v>0</v>
      </c>
      <c r="W19" s="90">
        <f t="shared" ca="1" si="6"/>
        <v>0</v>
      </c>
      <c r="X19" s="90">
        <f t="shared" ca="1" si="6"/>
        <v>0</v>
      </c>
      <c r="Y19" s="90">
        <f t="shared" ca="1" si="6"/>
        <v>0</v>
      </c>
      <c r="Z19" s="90">
        <f t="shared" ca="1" si="6"/>
        <v>0</v>
      </c>
      <c r="AA19" s="90">
        <f t="shared" ca="1" si="6"/>
        <v>0</v>
      </c>
      <c r="AB19" s="90">
        <f t="shared" ca="1" si="6"/>
        <v>0</v>
      </c>
      <c r="AC19" s="90">
        <f t="shared" ca="1" si="6"/>
        <v>0</v>
      </c>
      <c r="AD19" s="90">
        <f t="shared" ca="1" si="6"/>
        <v>0</v>
      </c>
      <c r="AE19" s="90">
        <f t="shared" ca="1" si="5"/>
        <v>0</v>
      </c>
      <c r="AF19" s="90">
        <f t="shared" ca="1" si="5"/>
        <v>0</v>
      </c>
      <c r="AG19" s="90">
        <f t="shared" ca="1" si="5"/>
        <v>0</v>
      </c>
      <c r="AH19" s="402">
        <f t="shared" ca="1" si="5"/>
        <v>0</v>
      </c>
    </row>
    <row r="20" spans="1:34" x14ac:dyDescent="0.2">
      <c r="A20" s="92"/>
      <c r="B20" s="265">
        <v>18</v>
      </c>
      <c r="C20" s="32" t="str">
        <f>IF(ISNUMBER(Knoten!C20),Knoten!C20-KLasten!B44*KLasten!$B$1*$C$25,"")</f>
        <v/>
      </c>
      <c r="D20" s="14" t="str">
        <f>IF(ISNUMBER(Knoten!D20),Knoten!D20 - KLasten!B21*KLasten!$B$1*$D$25,"")</f>
        <v/>
      </c>
      <c r="E20" s="336" t="str">
        <f t="shared" si="2"/>
        <v/>
      </c>
      <c r="K20" s="196">
        <v>19</v>
      </c>
      <c r="L20" s="197">
        <f t="shared" ca="1" si="0"/>
        <v>0</v>
      </c>
      <c r="M20" s="23">
        <f ca="1">IF(ISNA(Ksys!B20),0,Ksys!B20)</f>
        <v>0</v>
      </c>
      <c r="O20" s="401">
        <f t="shared" ca="1" si="6"/>
        <v>0</v>
      </c>
      <c r="P20" s="90">
        <f t="shared" ca="1" si="6"/>
        <v>0</v>
      </c>
      <c r="Q20" s="90">
        <f t="shared" ca="1" si="6"/>
        <v>0</v>
      </c>
      <c r="R20" s="90">
        <f t="shared" ca="1" si="6"/>
        <v>0</v>
      </c>
      <c r="S20" s="90">
        <f t="shared" ca="1" si="6"/>
        <v>0</v>
      </c>
      <c r="T20" s="90">
        <f t="shared" ca="1" si="6"/>
        <v>0</v>
      </c>
      <c r="U20" s="90">
        <f t="shared" ca="1" si="6"/>
        <v>0</v>
      </c>
      <c r="V20" s="90">
        <f t="shared" ca="1" si="6"/>
        <v>0</v>
      </c>
      <c r="W20" s="90">
        <f t="shared" ca="1" si="6"/>
        <v>0</v>
      </c>
      <c r="X20" s="90">
        <f t="shared" ca="1" si="6"/>
        <v>0</v>
      </c>
      <c r="Y20" s="90">
        <f t="shared" ca="1" si="6"/>
        <v>0</v>
      </c>
      <c r="Z20" s="90">
        <f t="shared" ca="1" si="6"/>
        <v>0</v>
      </c>
      <c r="AA20" s="90">
        <f t="shared" ca="1" si="6"/>
        <v>0</v>
      </c>
      <c r="AB20" s="90">
        <f t="shared" ca="1" si="6"/>
        <v>0</v>
      </c>
      <c r="AC20" s="90">
        <f t="shared" ca="1" si="6"/>
        <v>0</v>
      </c>
      <c r="AD20" s="90">
        <f t="shared" ca="1" si="6"/>
        <v>0</v>
      </c>
      <c r="AE20" s="90">
        <f t="shared" ca="1" si="5"/>
        <v>0</v>
      </c>
      <c r="AF20" s="90">
        <f t="shared" ca="1" si="5"/>
        <v>0</v>
      </c>
      <c r="AG20" s="90">
        <f t="shared" ca="1" si="5"/>
        <v>0</v>
      </c>
      <c r="AH20" s="402">
        <f t="shared" ca="1" si="5"/>
        <v>0</v>
      </c>
    </row>
    <row r="21" spans="1:34" ht="13.5" thickBot="1" x14ac:dyDescent="0.25">
      <c r="A21" s="92"/>
      <c r="B21" s="265">
        <v>19</v>
      </c>
      <c r="C21" s="32" t="str">
        <f>IF(ISNUMBER(Knoten!C21),Knoten!C21-KLasten!B45*KLasten!$B$1*$C$25,"")</f>
        <v/>
      </c>
      <c r="D21" s="14" t="str">
        <f>IF(ISNUMBER(Knoten!D21),Knoten!D21 - KLasten!B22*KLasten!$B$1*$D$25,"")</f>
        <v/>
      </c>
      <c r="E21" s="336" t="str">
        <f t="shared" si="2"/>
        <v/>
      </c>
      <c r="G21" s="172" t="s">
        <v>110</v>
      </c>
      <c r="K21" s="196">
        <v>20</v>
      </c>
      <c r="L21" s="197">
        <f t="shared" ca="1" si="0"/>
        <v>0</v>
      </c>
      <c r="M21" s="23">
        <f ca="1">IF(ISNA(Ksys!B21),0,Ksys!B21)</f>
        <v>0</v>
      </c>
      <c r="O21" s="401">
        <f t="shared" ca="1" si="6"/>
        <v>0</v>
      </c>
      <c r="P21" s="90">
        <f t="shared" ca="1" si="6"/>
        <v>0</v>
      </c>
      <c r="Q21" s="90">
        <f t="shared" ca="1" si="6"/>
        <v>0</v>
      </c>
      <c r="R21" s="90">
        <f t="shared" ca="1" si="6"/>
        <v>0</v>
      </c>
      <c r="S21" s="90">
        <f t="shared" ca="1" si="6"/>
        <v>0</v>
      </c>
      <c r="T21" s="90">
        <f t="shared" ca="1" si="6"/>
        <v>0</v>
      </c>
      <c r="U21" s="90">
        <f t="shared" ca="1" si="6"/>
        <v>0</v>
      </c>
      <c r="V21" s="90">
        <f t="shared" ca="1" si="6"/>
        <v>0</v>
      </c>
      <c r="W21" s="90">
        <f t="shared" ca="1" si="6"/>
        <v>0</v>
      </c>
      <c r="X21" s="90">
        <f t="shared" ca="1" si="6"/>
        <v>0</v>
      </c>
      <c r="Y21" s="90">
        <f t="shared" ca="1" si="6"/>
        <v>0</v>
      </c>
      <c r="Z21" s="90">
        <f t="shared" ca="1" si="6"/>
        <v>0</v>
      </c>
      <c r="AA21" s="90">
        <f t="shared" ca="1" si="6"/>
        <v>0</v>
      </c>
      <c r="AB21" s="90">
        <f t="shared" ca="1" si="6"/>
        <v>0</v>
      </c>
      <c r="AC21" s="90">
        <f t="shared" ca="1" si="6"/>
        <v>0</v>
      </c>
      <c r="AD21" s="90">
        <f t="shared" ca="1" si="6"/>
        <v>0</v>
      </c>
      <c r="AE21" s="90">
        <f t="shared" ca="1" si="5"/>
        <v>0</v>
      </c>
      <c r="AF21" s="90">
        <f t="shared" ca="1" si="5"/>
        <v>0</v>
      </c>
      <c r="AG21" s="90">
        <f t="shared" ca="1" si="5"/>
        <v>0</v>
      </c>
      <c r="AH21" s="402">
        <f t="shared" ca="1" si="5"/>
        <v>0</v>
      </c>
    </row>
    <row r="22" spans="1:34" ht="13.5" thickBot="1" x14ac:dyDescent="0.25">
      <c r="A22" s="92"/>
      <c r="B22" s="266">
        <v>20</v>
      </c>
      <c r="C22" s="48" t="str">
        <f>IF(ISNUMBER(Knoten!C22),Knoten!C22-KLasten!B46*KLasten!$B$1*$C$25,"")</f>
        <v/>
      </c>
      <c r="D22" s="49" t="str">
        <f>IF(ISNUMBER(Knoten!D22),Knoten!D22 - KLasten!B23*KLasten!$B$1*$D$25,"")</f>
        <v/>
      </c>
      <c r="E22" s="337" t="str">
        <f t="shared" si="2"/>
        <v/>
      </c>
      <c r="G22" s="270" t="s">
        <v>87</v>
      </c>
      <c r="H22" s="271">
        <f ca="1">(MAX(EleData!$DB$2:$DB$121)+MIN(EleData!$DB$2:$DB$121))/2</f>
        <v>0.49999999999999989</v>
      </c>
      <c r="I22" s="6"/>
      <c r="K22" s="196">
        <v>21</v>
      </c>
      <c r="L22" s="197">
        <f t="shared" ca="1" si="0"/>
        <v>0</v>
      </c>
      <c r="M22" s="23">
        <f ca="1">IF(ISNA(Ksys!B22),0,Ksys!B22)</f>
        <v>0</v>
      </c>
      <c r="O22" s="401">
        <f t="shared" ca="1" si="6"/>
        <v>0</v>
      </c>
      <c r="P22" s="90">
        <f t="shared" ca="1" si="6"/>
        <v>0</v>
      </c>
      <c r="Q22" s="90">
        <f t="shared" ca="1" si="6"/>
        <v>0</v>
      </c>
      <c r="R22" s="90">
        <f t="shared" ca="1" si="6"/>
        <v>0</v>
      </c>
      <c r="S22" s="90">
        <f t="shared" ca="1" si="6"/>
        <v>0</v>
      </c>
      <c r="T22" s="90">
        <f t="shared" ca="1" si="6"/>
        <v>0</v>
      </c>
      <c r="U22" s="90">
        <f t="shared" ca="1" si="6"/>
        <v>0</v>
      </c>
      <c r="V22" s="90">
        <f t="shared" ca="1" si="6"/>
        <v>0</v>
      </c>
      <c r="W22" s="90">
        <f t="shared" ca="1" si="6"/>
        <v>0</v>
      </c>
      <c r="X22" s="90">
        <f t="shared" ca="1" si="6"/>
        <v>0</v>
      </c>
      <c r="Y22" s="90">
        <f t="shared" ca="1" si="6"/>
        <v>0</v>
      </c>
      <c r="Z22" s="90">
        <f t="shared" ca="1" si="6"/>
        <v>0</v>
      </c>
      <c r="AA22" s="90">
        <f t="shared" ca="1" si="6"/>
        <v>0</v>
      </c>
      <c r="AB22" s="90">
        <f t="shared" ca="1" si="6"/>
        <v>0</v>
      </c>
      <c r="AC22" s="90">
        <f t="shared" ca="1" si="6"/>
        <v>0</v>
      </c>
      <c r="AD22" s="90">
        <f t="shared" ca="1" si="6"/>
        <v>0</v>
      </c>
      <c r="AE22" s="90">
        <f t="shared" ca="1" si="5"/>
        <v>0</v>
      </c>
      <c r="AF22" s="90">
        <f t="shared" ca="1" si="5"/>
        <v>0</v>
      </c>
      <c r="AG22" s="90">
        <f t="shared" ca="1" si="5"/>
        <v>0</v>
      </c>
      <c r="AH22" s="402">
        <f t="shared" ca="1" si="5"/>
        <v>0</v>
      </c>
    </row>
    <row r="23" spans="1:34" x14ac:dyDescent="0.2">
      <c r="A23" s="92"/>
      <c r="B23" s="286" t="s">
        <v>107</v>
      </c>
      <c r="C23" s="4">
        <f>MIN(Knoten!C3:C22)</f>
        <v>0</v>
      </c>
      <c r="D23" s="6">
        <f>MIN(Knoten!D3:D22)</f>
        <v>0.25</v>
      </c>
      <c r="G23" s="272" t="s">
        <v>88</v>
      </c>
      <c r="H23" s="1">
        <f ca="1">(MAX(EleData!$DC$2:$DC$121)+MIN(EleData!$DC$2:$DC$121))/2</f>
        <v>0.5</v>
      </c>
      <c r="I23" s="8"/>
      <c r="K23" s="196">
        <v>22</v>
      </c>
      <c r="L23" s="197">
        <f t="shared" ca="1" si="0"/>
        <v>0</v>
      </c>
      <c r="M23" s="23">
        <f ca="1">IF(ISNA(Ksys!B23),0,Ksys!B23)</f>
        <v>0</v>
      </c>
      <c r="O23" s="401">
        <f t="shared" ca="1" si="6"/>
        <v>0</v>
      </c>
      <c r="P23" s="90">
        <f t="shared" ca="1" si="6"/>
        <v>0</v>
      </c>
      <c r="Q23" s="90">
        <f t="shared" ca="1" si="6"/>
        <v>0</v>
      </c>
      <c r="R23" s="90">
        <f t="shared" ca="1" si="6"/>
        <v>0</v>
      </c>
      <c r="S23" s="90">
        <f t="shared" ca="1" si="6"/>
        <v>0</v>
      </c>
      <c r="T23" s="90">
        <f t="shared" ca="1" si="6"/>
        <v>0</v>
      </c>
      <c r="U23" s="90">
        <f t="shared" ca="1" si="6"/>
        <v>0</v>
      </c>
      <c r="V23" s="90">
        <f t="shared" ca="1" si="6"/>
        <v>0</v>
      </c>
      <c r="W23" s="90">
        <f t="shared" ca="1" si="6"/>
        <v>0</v>
      </c>
      <c r="X23" s="90">
        <f t="shared" ca="1" si="6"/>
        <v>0</v>
      </c>
      <c r="Y23" s="90">
        <f t="shared" ca="1" si="6"/>
        <v>0</v>
      </c>
      <c r="Z23" s="90">
        <f t="shared" ca="1" si="6"/>
        <v>0</v>
      </c>
      <c r="AA23" s="90">
        <f t="shared" ca="1" si="6"/>
        <v>0</v>
      </c>
      <c r="AB23" s="90">
        <f t="shared" ca="1" si="6"/>
        <v>0</v>
      </c>
      <c r="AC23" s="90">
        <f t="shared" ca="1" si="6"/>
        <v>0</v>
      </c>
      <c r="AD23" s="90">
        <f t="shared" ca="1" si="6"/>
        <v>0</v>
      </c>
      <c r="AE23" s="90">
        <f t="shared" ca="1" si="5"/>
        <v>0</v>
      </c>
      <c r="AF23" s="90">
        <f t="shared" ca="1" si="5"/>
        <v>0</v>
      </c>
      <c r="AG23" s="90">
        <f t="shared" ca="1" si="5"/>
        <v>0</v>
      </c>
      <c r="AH23" s="402">
        <f t="shared" ca="1" si="5"/>
        <v>0</v>
      </c>
    </row>
    <row r="24" spans="1:34" ht="13.5" thickBot="1" x14ac:dyDescent="0.25">
      <c r="A24" s="92"/>
      <c r="B24" s="287" t="s">
        <v>108</v>
      </c>
      <c r="C24" s="7">
        <f>MAX(Knoten!C3:C22)</f>
        <v>1</v>
      </c>
      <c r="D24" s="8">
        <f>MAX(Knoten!D3:D22)</f>
        <v>0.75</v>
      </c>
      <c r="G24" s="272" t="s">
        <v>90</v>
      </c>
      <c r="H24" s="1">
        <f ca="1">$H$25 * SQRT((MAX(EleData!$DB$2:$DB$121)-MIN(EleData!$DB$2:$DB$121))^2 + (MAX(EleData!$DC$2:$DC$121)-MIN(EleData!$DC$2:$DC$121))^2)/2</f>
        <v>0.55901699437494756</v>
      </c>
      <c r="I24" s="8"/>
      <c r="K24" s="196">
        <v>23</v>
      </c>
      <c r="L24" s="197">
        <f t="shared" ca="1" si="0"/>
        <v>0</v>
      </c>
      <c r="M24" s="23">
        <f ca="1">IF(ISNA(Ksys!B24),0,Ksys!B24)</f>
        <v>0</v>
      </c>
      <c r="O24" s="401">
        <f t="shared" ca="1" si="6"/>
        <v>0</v>
      </c>
      <c r="P24" s="90">
        <f t="shared" ca="1" si="6"/>
        <v>0</v>
      </c>
      <c r="Q24" s="90">
        <f t="shared" ca="1" si="6"/>
        <v>0</v>
      </c>
      <c r="R24" s="90">
        <f t="shared" ca="1" si="6"/>
        <v>0</v>
      </c>
      <c r="S24" s="90">
        <f t="shared" ca="1" si="6"/>
        <v>0</v>
      </c>
      <c r="T24" s="90">
        <f t="shared" ca="1" si="6"/>
        <v>0</v>
      </c>
      <c r="U24" s="90">
        <f t="shared" ca="1" si="6"/>
        <v>0</v>
      </c>
      <c r="V24" s="90">
        <f t="shared" ca="1" si="6"/>
        <v>0</v>
      </c>
      <c r="W24" s="90">
        <f t="shared" ca="1" si="6"/>
        <v>0</v>
      </c>
      <c r="X24" s="90">
        <f t="shared" ca="1" si="6"/>
        <v>0</v>
      </c>
      <c r="Y24" s="90">
        <f t="shared" ca="1" si="6"/>
        <v>0</v>
      </c>
      <c r="Z24" s="90">
        <f t="shared" ca="1" si="6"/>
        <v>0</v>
      </c>
      <c r="AA24" s="90">
        <f t="shared" ca="1" si="6"/>
        <v>0</v>
      </c>
      <c r="AB24" s="90">
        <f t="shared" ca="1" si="6"/>
        <v>0</v>
      </c>
      <c r="AC24" s="90">
        <f t="shared" ca="1" si="6"/>
        <v>0</v>
      </c>
      <c r="AD24" s="90">
        <f t="shared" ca="1" si="6"/>
        <v>0</v>
      </c>
      <c r="AE24" s="90">
        <f t="shared" ca="1" si="5"/>
        <v>0</v>
      </c>
      <c r="AF24" s="90">
        <f t="shared" ca="1" si="5"/>
        <v>0</v>
      </c>
      <c r="AG24" s="90">
        <f t="shared" ca="1" si="5"/>
        <v>0</v>
      </c>
      <c r="AH24" s="402">
        <f t="shared" ca="1" si="5"/>
        <v>0</v>
      </c>
    </row>
    <row r="25" spans="1:34" ht="13.5" thickBot="1" x14ac:dyDescent="0.25">
      <c r="B25" s="351" t="s">
        <v>190</v>
      </c>
      <c r="C25" s="73">
        <f>(C24-C23)/2</f>
        <v>0.5</v>
      </c>
      <c r="D25" s="75">
        <f>(D24-D23)/2</f>
        <v>0.25</v>
      </c>
      <c r="G25" s="272" t="s">
        <v>91</v>
      </c>
      <c r="H25" s="1">
        <f>1/Momente!G2</f>
        <v>1</v>
      </c>
      <c r="I25" s="8"/>
      <c r="K25" s="196">
        <v>24</v>
      </c>
      <c r="L25" s="197">
        <f t="shared" ca="1" si="0"/>
        <v>0</v>
      </c>
      <c r="M25" s="23">
        <f ca="1">IF(ISNA(Ksys!B25),0,Ksys!B25)</f>
        <v>0</v>
      </c>
      <c r="O25" s="401">
        <f t="shared" ca="1" si="6"/>
        <v>0</v>
      </c>
      <c r="P25" s="90">
        <f t="shared" ca="1" si="6"/>
        <v>0</v>
      </c>
      <c r="Q25" s="90">
        <f t="shared" ca="1" si="6"/>
        <v>0</v>
      </c>
      <c r="R25" s="90">
        <f t="shared" ca="1" si="6"/>
        <v>0</v>
      </c>
      <c r="S25" s="90">
        <f t="shared" ca="1" si="6"/>
        <v>0</v>
      </c>
      <c r="T25" s="90">
        <f t="shared" ca="1" si="6"/>
        <v>0</v>
      </c>
      <c r="U25" s="90">
        <f t="shared" ca="1" si="6"/>
        <v>0</v>
      </c>
      <c r="V25" s="90">
        <f t="shared" ca="1" si="6"/>
        <v>0</v>
      </c>
      <c r="W25" s="90">
        <f t="shared" ca="1" si="6"/>
        <v>0</v>
      </c>
      <c r="X25" s="90">
        <f t="shared" ca="1" si="6"/>
        <v>0</v>
      </c>
      <c r="Y25" s="90">
        <f t="shared" ca="1" si="6"/>
        <v>0</v>
      </c>
      <c r="Z25" s="90">
        <f t="shared" ca="1" si="6"/>
        <v>0</v>
      </c>
      <c r="AA25" s="90">
        <f t="shared" ca="1" si="6"/>
        <v>0</v>
      </c>
      <c r="AB25" s="90">
        <f t="shared" ca="1" si="6"/>
        <v>0</v>
      </c>
      <c r="AC25" s="90">
        <f t="shared" ca="1" si="6"/>
        <v>0</v>
      </c>
      <c r="AD25" s="90">
        <f t="shared" ca="1" si="6"/>
        <v>0</v>
      </c>
      <c r="AE25" s="90">
        <f t="shared" ca="1" si="5"/>
        <v>0</v>
      </c>
      <c r="AF25" s="90">
        <f t="shared" ca="1" si="5"/>
        <v>0</v>
      </c>
      <c r="AG25" s="90">
        <f t="shared" ca="1" si="5"/>
        <v>0</v>
      </c>
      <c r="AH25" s="402">
        <f t="shared" ca="1" si="5"/>
        <v>0</v>
      </c>
    </row>
    <row r="26" spans="1:34" x14ac:dyDescent="0.2">
      <c r="G26" s="272" t="s">
        <v>92</v>
      </c>
      <c r="H26" s="1">
        <f ca="1">H22-H24</f>
        <v>-5.9016994374947673E-2</v>
      </c>
      <c r="I26" s="8">
        <f ca="1">H23+H24</f>
        <v>1.0590169943749475</v>
      </c>
      <c r="K26" s="196">
        <v>25</v>
      </c>
      <c r="L26" s="197">
        <f t="shared" ca="1" si="0"/>
        <v>0</v>
      </c>
      <c r="M26" s="23">
        <f ca="1">IF(ISNA(Ksys!B26),0,Ksys!B26)</f>
        <v>0</v>
      </c>
      <c r="O26" s="401">
        <f t="shared" ca="1" si="6"/>
        <v>0</v>
      </c>
      <c r="P26" s="90">
        <f t="shared" ca="1" si="6"/>
        <v>0</v>
      </c>
      <c r="Q26" s="90">
        <f t="shared" ca="1" si="6"/>
        <v>0</v>
      </c>
      <c r="R26" s="90">
        <f t="shared" ca="1" si="6"/>
        <v>0</v>
      </c>
      <c r="S26" s="90">
        <f t="shared" ca="1" si="6"/>
        <v>0</v>
      </c>
      <c r="T26" s="90">
        <f t="shared" ca="1" si="6"/>
        <v>0</v>
      </c>
      <c r="U26" s="90">
        <f t="shared" ca="1" si="6"/>
        <v>0</v>
      </c>
      <c r="V26" s="90">
        <f t="shared" ca="1" si="6"/>
        <v>0</v>
      </c>
      <c r="W26" s="90">
        <f t="shared" ca="1" si="6"/>
        <v>0</v>
      </c>
      <c r="X26" s="90">
        <f t="shared" ca="1" si="6"/>
        <v>0</v>
      </c>
      <c r="Y26" s="90">
        <f t="shared" ca="1" si="6"/>
        <v>0</v>
      </c>
      <c r="Z26" s="90">
        <f t="shared" ca="1" si="6"/>
        <v>0</v>
      </c>
      <c r="AA26" s="90">
        <f t="shared" ca="1" si="6"/>
        <v>0</v>
      </c>
      <c r="AB26" s="90">
        <f t="shared" ca="1" si="6"/>
        <v>0</v>
      </c>
      <c r="AC26" s="90">
        <f t="shared" ca="1" si="6"/>
        <v>0</v>
      </c>
      <c r="AD26" s="90">
        <f t="shared" ca="1" si="6"/>
        <v>0</v>
      </c>
      <c r="AE26" s="90">
        <f t="shared" ca="1" si="5"/>
        <v>0</v>
      </c>
      <c r="AF26" s="90">
        <f t="shared" ca="1" si="5"/>
        <v>0</v>
      </c>
      <c r="AG26" s="90">
        <f t="shared" ca="1" si="5"/>
        <v>0</v>
      </c>
      <c r="AH26" s="402">
        <f t="shared" ca="1" si="5"/>
        <v>0</v>
      </c>
    </row>
    <row r="27" spans="1:34" x14ac:dyDescent="0.2">
      <c r="B27" s="92"/>
      <c r="C27" s="480"/>
      <c r="D27" s="481"/>
      <c r="E27" s="450"/>
      <c r="G27" s="272" t="s">
        <v>93</v>
      </c>
      <c r="H27" s="1">
        <f ca="1">H22+H24</f>
        <v>1.0590169943749475</v>
      </c>
      <c r="I27" s="8">
        <f ca="1">H23+H24</f>
        <v>1.0590169943749475</v>
      </c>
      <c r="K27" s="196">
        <v>26</v>
      </c>
      <c r="L27" s="197">
        <f t="shared" ca="1" si="0"/>
        <v>0</v>
      </c>
      <c r="M27" s="23">
        <f ca="1">IF(ISNA(Ksys!B27),0,Ksys!B27)</f>
        <v>0</v>
      </c>
      <c r="O27" s="401">
        <f t="shared" ca="1" si="6"/>
        <v>0</v>
      </c>
      <c r="P27" s="90">
        <f t="shared" ca="1" si="6"/>
        <v>0</v>
      </c>
      <c r="Q27" s="90">
        <f t="shared" ca="1" si="6"/>
        <v>0</v>
      </c>
      <c r="R27" s="90">
        <f t="shared" ca="1" si="6"/>
        <v>0</v>
      </c>
      <c r="S27" s="90">
        <f t="shared" ca="1" si="6"/>
        <v>0</v>
      </c>
      <c r="T27" s="90">
        <f t="shared" ca="1" si="6"/>
        <v>0</v>
      </c>
      <c r="U27" s="90">
        <f t="shared" ca="1" si="6"/>
        <v>0</v>
      </c>
      <c r="V27" s="90">
        <f t="shared" ca="1" si="6"/>
        <v>0</v>
      </c>
      <c r="W27" s="90">
        <f t="shared" ca="1" si="6"/>
        <v>0</v>
      </c>
      <c r="X27" s="90">
        <f t="shared" ca="1" si="6"/>
        <v>0</v>
      </c>
      <c r="Y27" s="90">
        <f t="shared" ca="1" si="6"/>
        <v>0</v>
      </c>
      <c r="Z27" s="90">
        <f t="shared" ca="1" si="6"/>
        <v>0</v>
      </c>
      <c r="AA27" s="90">
        <f t="shared" ca="1" si="6"/>
        <v>0</v>
      </c>
      <c r="AB27" s="90">
        <f t="shared" ca="1" si="6"/>
        <v>0</v>
      </c>
      <c r="AC27" s="90">
        <f t="shared" ca="1" si="6"/>
        <v>0</v>
      </c>
      <c r="AD27" s="90">
        <f t="shared" ca="1" si="6"/>
        <v>0</v>
      </c>
      <c r="AE27" s="90">
        <f t="shared" ca="1" si="5"/>
        <v>0</v>
      </c>
      <c r="AF27" s="90">
        <f t="shared" ca="1" si="5"/>
        <v>0</v>
      </c>
      <c r="AG27" s="90">
        <f t="shared" ca="1" si="5"/>
        <v>0</v>
      </c>
      <c r="AH27" s="402">
        <f t="shared" ca="1" si="5"/>
        <v>0</v>
      </c>
    </row>
    <row r="28" spans="1:34" x14ac:dyDescent="0.2">
      <c r="B28" s="92"/>
      <c r="C28" s="451"/>
      <c r="D28" s="451"/>
      <c r="E28" s="452"/>
      <c r="G28" s="272" t="s">
        <v>94</v>
      </c>
      <c r="H28" s="1">
        <f ca="1">H27</f>
        <v>1.0590169943749475</v>
      </c>
      <c r="I28" s="8">
        <f ca="1">H23-H24</f>
        <v>-5.9016994374947562E-2</v>
      </c>
      <c r="K28" s="196">
        <v>27</v>
      </c>
      <c r="L28" s="197">
        <f t="shared" ca="1" si="0"/>
        <v>0</v>
      </c>
      <c r="M28" s="23">
        <f ca="1">IF(ISNA(Ksys!B28),0,Ksys!B28)</f>
        <v>0</v>
      </c>
      <c r="O28" s="401">
        <f t="shared" ca="1" si="6"/>
        <v>0</v>
      </c>
      <c r="P28" s="90">
        <f t="shared" ca="1" si="6"/>
        <v>0</v>
      </c>
      <c r="Q28" s="90">
        <f t="shared" ca="1" si="6"/>
        <v>0</v>
      </c>
      <c r="R28" s="90">
        <f t="shared" ca="1" si="6"/>
        <v>0</v>
      </c>
      <c r="S28" s="90">
        <f t="shared" ca="1" si="6"/>
        <v>0</v>
      </c>
      <c r="T28" s="90">
        <f t="shared" ca="1" si="6"/>
        <v>0</v>
      </c>
      <c r="U28" s="90">
        <f t="shared" ca="1" si="6"/>
        <v>0</v>
      </c>
      <c r="V28" s="90">
        <f t="shared" ca="1" si="6"/>
        <v>0</v>
      </c>
      <c r="W28" s="90">
        <f t="shared" ca="1" si="6"/>
        <v>0</v>
      </c>
      <c r="X28" s="90">
        <f t="shared" ca="1" si="6"/>
        <v>0</v>
      </c>
      <c r="Y28" s="90">
        <f t="shared" ca="1" si="6"/>
        <v>0</v>
      </c>
      <c r="Z28" s="90">
        <f t="shared" ca="1" si="6"/>
        <v>0</v>
      </c>
      <c r="AA28" s="90">
        <f t="shared" ca="1" si="6"/>
        <v>0</v>
      </c>
      <c r="AB28" s="90">
        <f t="shared" ca="1" si="6"/>
        <v>0</v>
      </c>
      <c r="AC28" s="90">
        <f t="shared" ca="1" si="6"/>
        <v>0</v>
      </c>
      <c r="AD28" s="90">
        <f t="shared" ca="1" si="6"/>
        <v>0</v>
      </c>
      <c r="AE28" s="90">
        <f t="shared" ca="1" si="5"/>
        <v>0</v>
      </c>
      <c r="AF28" s="90">
        <f t="shared" ca="1" si="5"/>
        <v>0</v>
      </c>
      <c r="AG28" s="90">
        <f t="shared" ca="1" si="5"/>
        <v>0</v>
      </c>
      <c r="AH28" s="402">
        <f t="shared" ca="1" si="5"/>
        <v>0</v>
      </c>
    </row>
    <row r="29" spans="1:34" ht="13.5" thickBot="1" x14ac:dyDescent="0.25">
      <c r="B29" s="92"/>
      <c r="C29" s="92"/>
      <c r="D29" s="92"/>
      <c r="E29" s="92"/>
      <c r="G29" s="166" t="s">
        <v>95</v>
      </c>
      <c r="H29" s="10">
        <f ca="1">H26</f>
        <v>-5.9016994374947673E-2</v>
      </c>
      <c r="I29" s="146">
        <f ca="1">I28</f>
        <v>-5.9016994374947562E-2</v>
      </c>
      <c r="K29" s="196">
        <v>28</v>
      </c>
      <c r="L29" s="197">
        <f t="shared" ca="1" si="0"/>
        <v>0</v>
      </c>
      <c r="M29" s="23">
        <f ca="1">IF(ISNA(Ksys!B29),0,Ksys!B29)</f>
        <v>0</v>
      </c>
      <c r="O29" s="401">
        <f t="shared" ca="1" si="6"/>
        <v>0</v>
      </c>
      <c r="P29" s="90">
        <f t="shared" ca="1" si="6"/>
        <v>0</v>
      </c>
      <c r="Q29" s="90">
        <f t="shared" ca="1" si="6"/>
        <v>0</v>
      </c>
      <c r="R29" s="90">
        <f t="shared" ca="1" si="6"/>
        <v>0</v>
      </c>
      <c r="S29" s="90">
        <f t="shared" ca="1" si="6"/>
        <v>0</v>
      </c>
      <c r="T29" s="90">
        <f t="shared" ca="1" si="6"/>
        <v>0</v>
      </c>
      <c r="U29" s="90">
        <f t="shared" ca="1" si="6"/>
        <v>0</v>
      </c>
      <c r="V29" s="90">
        <f t="shared" ca="1" si="6"/>
        <v>0</v>
      </c>
      <c r="W29" s="90">
        <f t="shared" ca="1" si="6"/>
        <v>0</v>
      </c>
      <c r="X29" s="90">
        <f t="shared" ca="1" si="6"/>
        <v>0</v>
      </c>
      <c r="Y29" s="90">
        <f t="shared" ca="1" si="6"/>
        <v>0</v>
      </c>
      <c r="Z29" s="90">
        <f t="shared" ca="1" si="6"/>
        <v>0</v>
      </c>
      <c r="AA29" s="90">
        <f t="shared" ca="1" si="6"/>
        <v>0</v>
      </c>
      <c r="AB29" s="90">
        <f t="shared" ca="1" si="6"/>
        <v>0</v>
      </c>
      <c r="AC29" s="90">
        <f t="shared" ca="1" si="6"/>
        <v>0</v>
      </c>
      <c r="AD29" s="90">
        <f t="shared" ca="1" si="6"/>
        <v>0</v>
      </c>
      <c r="AE29" s="90">
        <f t="shared" ca="1" si="5"/>
        <v>0</v>
      </c>
      <c r="AF29" s="90">
        <f t="shared" ca="1" si="5"/>
        <v>0</v>
      </c>
      <c r="AG29" s="90">
        <f t="shared" ca="1" si="5"/>
        <v>0</v>
      </c>
      <c r="AH29" s="402">
        <f t="shared" ca="1" si="5"/>
        <v>0</v>
      </c>
    </row>
    <row r="30" spans="1:34" x14ac:dyDescent="0.2">
      <c r="B30" s="92"/>
      <c r="C30" s="92"/>
      <c r="D30" s="92"/>
      <c r="E30" s="92"/>
      <c r="K30" s="196">
        <v>29</v>
      </c>
      <c r="L30" s="197">
        <f t="shared" ca="1" si="0"/>
        <v>0</v>
      </c>
      <c r="M30" s="23">
        <f ca="1">IF(ISNA(Ksys!B30),0,Ksys!B30)</f>
        <v>0</v>
      </c>
      <c r="O30" s="401">
        <f t="shared" ca="1" si="6"/>
        <v>0</v>
      </c>
      <c r="P30" s="90">
        <f t="shared" ca="1" si="6"/>
        <v>0</v>
      </c>
      <c r="Q30" s="90">
        <f t="shared" ca="1" si="6"/>
        <v>0</v>
      </c>
      <c r="R30" s="90">
        <f t="shared" ca="1" si="6"/>
        <v>0</v>
      </c>
      <c r="S30" s="90">
        <f t="shared" ca="1" si="6"/>
        <v>0</v>
      </c>
      <c r="T30" s="90">
        <f t="shared" ca="1" si="6"/>
        <v>0</v>
      </c>
      <c r="U30" s="90">
        <f t="shared" ca="1" si="6"/>
        <v>0</v>
      </c>
      <c r="V30" s="90">
        <f t="shared" ca="1" si="6"/>
        <v>0</v>
      </c>
      <c r="W30" s="90">
        <f t="shared" ca="1" si="6"/>
        <v>0</v>
      </c>
      <c r="X30" s="90">
        <f t="shared" ca="1" si="6"/>
        <v>0</v>
      </c>
      <c r="Y30" s="90">
        <f t="shared" ca="1" si="6"/>
        <v>0</v>
      </c>
      <c r="Z30" s="90">
        <f t="shared" ca="1" si="6"/>
        <v>0</v>
      </c>
      <c r="AA30" s="90">
        <f t="shared" ca="1" si="6"/>
        <v>0</v>
      </c>
      <c r="AB30" s="90">
        <f t="shared" ca="1" si="6"/>
        <v>0</v>
      </c>
      <c r="AC30" s="90">
        <f t="shared" ca="1" si="6"/>
        <v>0</v>
      </c>
      <c r="AD30" s="90">
        <f t="shared" ca="1" si="6"/>
        <v>0</v>
      </c>
      <c r="AE30" s="90">
        <f t="shared" ca="1" si="5"/>
        <v>0</v>
      </c>
      <c r="AF30" s="90">
        <f t="shared" ca="1" si="5"/>
        <v>0</v>
      </c>
      <c r="AG30" s="90">
        <f t="shared" ca="1" si="5"/>
        <v>0</v>
      </c>
      <c r="AH30" s="402">
        <f t="shared" ca="1" si="5"/>
        <v>0</v>
      </c>
    </row>
    <row r="31" spans="1:34" ht="13.5" thickBot="1" x14ac:dyDescent="0.25">
      <c r="B31" s="92"/>
      <c r="C31" s="92"/>
      <c r="D31" s="92"/>
      <c r="E31" s="92"/>
      <c r="G31" s="172" t="s">
        <v>60</v>
      </c>
      <c r="K31" s="196">
        <v>30</v>
      </c>
      <c r="L31" s="197">
        <f t="shared" ca="1" si="0"/>
        <v>0</v>
      </c>
      <c r="M31" s="23">
        <f ca="1">IF(ISNA(Ksys!B31),0,Ksys!B31)</f>
        <v>0</v>
      </c>
      <c r="O31" s="401">
        <f t="shared" ca="1" si="6"/>
        <v>0</v>
      </c>
      <c r="P31" s="90">
        <f t="shared" ca="1" si="6"/>
        <v>0</v>
      </c>
      <c r="Q31" s="90">
        <f t="shared" ca="1" si="6"/>
        <v>0</v>
      </c>
      <c r="R31" s="90">
        <f t="shared" ca="1" si="6"/>
        <v>0</v>
      </c>
      <c r="S31" s="90">
        <f t="shared" ca="1" si="6"/>
        <v>0</v>
      </c>
      <c r="T31" s="90">
        <f t="shared" ca="1" si="6"/>
        <v>0</v>
      </c>
      <c r="U31" s="90">
        <f t="shared" ca="1" si="6"/>
        <v>0</v>
      </c>
      <c r="V31" s="90">
        <f t="shared" ca="1" si="6"/>
        <v>0</v>
      </c>
      <c r="W31" s="90">
        <f t="shared" ca="1" si="6"/>
        <v>0</v>
      </c>
      <c r="X31" s="90">
        <f t="shared" ca="1" si="6"/>
        <v>0</v>
      </c>
      <c r="Y31" s="90">
        <f t="shared" ca="1" si="6"/>
        <v>0</v>
      </c>
      <c r="Z31" s="90">
        <f t="shared" ca="1" si="6"/>
        <v>0</v>
      </c>
      <c r="AA31" s="90">
        <f t="shared" ca="1" si="6"/>
        <v>0</v>
      </c>
      <c r="AB31" s="90">
        <f t="shared" ca="1" si="6"/>
        <v>0</v>
      </c>
      <c r="AC31" s="90">
        <f t="shared" ca="1" si="6"/>
        <v>0</v>
      </c>
      <c r="AD31" s="90">
        <f t="shared" ca="1" si="6"/>
        <v>0</v>
      </c>
      <c r="AE31" s="90">
        <f t="shared" ca="1" si="5"/>
        <v>0</v>
      </c>
      <c r="AF31" s="90">
        <f t="shared" ca="1" si="5"/>
        <v>0</v>
      </c>
      <c r="AG31" s="90">
        <f t="shared" ca="1" si="5"/>
        <v>0</v>
      </c>
      <c r="AH31" s="402">
        <f t="shared" ca="1" si="5"/>
        <v>0</v>
      </c>
    </row>
    <row r="32" spans="1:34" x14ac:dyDescent="0.2">
      <c r="B32" s="92"/>
      <c r="C32" s="92"/>
      <c r="D32" s="92"/>
      <c r="E32" s="92"/>
      <c r="G32" s="270" t="s">
        <v>87</v>
      </c>
      <c r="H32" s="271">
        <f ca="1">(MAX(EleData!$DU$2:$DU$121)+MIN(EleData!$DU$2:$DU$121))/2</f>
        <v>0.52300465118404171</v>
      </c>
      <c r="I32" s="6"/>
      <c r="K32" s="196">
        <v>31</v>
      </c>
      <c r="L32" s="197">
        <f t="shared" ca="1" si="0"/>
        <v>0</v>
      </c>
      <c r="M32" s="23">
        <f ca="1">IF(ISNA(Ksys!B32),0,Ksys!B32)</f>
        <v>0</v>
      </c>
      <c r="O32" s="401">
        <f t="shared" ca="1" si="6"/>
        <v>0</v>
      </c>
      <c r="P32" s="90">
        <f t="shared" ca="1" si="6"/>
        <v>0</v>
      </c>
      <c r="Q32" s="90">
        <f t="shared" ca="1" si="6"/>
        <v>0</v>
      </c>
      <c r="R32" s="90">
        <f t="shared" ca="1" si="6"/>
        <v>0</v>
      </c>
      <c r="S32" s="90">
        <f t="shared" ca="1" si="6"/>
        <v>0</v>
      </c>
      <c r="T32" s="90">
        <f t="shared" ca="1" si="6"/>
        <v>0</v>
      </c>
      <c r="U32" s="90">
        <f t="shared" ca="1" si="6"/>
        <v>0</v>
      </c>
      <c r="V32" s="90">
        <f t="shared" ca="1" si="6"/>
        <v>0</v>
      </c>
      <c r="W32" s="90">
        <f t="shared" ca="1" si="6"/>
        <v>0</v>
      </c>
      <c r="X32" s="90">
        <f t="shared" ca="1" si="6"/>
        <v>0</v>
      </c>
      <c r="Y32" s="90">
        <f t="shared" ca="1" si="6"/>
        <v>0</v>
      </c>
      <c r="Z32" s="90">
        <f t="shared" ca="1" si="6"/>
        <v>0</v>
      </c>
      <c r="AA32" s="90">
        <f t="shared" ca="1" si="6"/>
        <v>0</v>
      </c>
      <c r="AB32" s="90">
        <f t="shared" ca="1" si="6"/>
        <v>0</v>
      </c>
      <c r="AC32" s="90">
        <f t="shared" ca="1" si="6"/>
        <v>0</v>
      </c>
      <c r="AD32" s="90">
        <f t="shared" ca="1" si="6"/>
        <v>0</v>
      </c>
      <c r="AE32" s="90">
        <f t="shared" ca="1" si="5"/>
        <v>0</v>
      </c>
      <c r="AF32" s="90">
        <f t="shared" ca="1" si="5"/>
        <v>0</v>
      </c>
      <c r="AG32" s="90">
        <f t="shared" ca="1" si="5"/>
        <v>0</v>
      </c>
      <c r="AH32" s="402">
        <f t="shared" ca="1" si="5"/>
        <v>0</v>
      </c>
    </row>
    <row r="33" spans="2:34" x14ac:dyDescent="0.2">
      <c r="B33" s="92"/>
      <c r="C33" s="92"/>
      <c r="D33" s="92"/>
      <c r="E33" s="92"/>
      <c r="G33" s="272" t="s">
        <v>88</v>
      </c>
      <c r="H33" s="1">
        <f ca="1">(MAX(EleData!$DV$2:$DV$121)+MIN(EleData!$DV$2:$DV$121))/2</f>
        <v>0.42884977544730668</v>
      </c>
      <c r="I33" s="8"/>
      <c r="K33" s="196">
        <v>32</v>
      </c>
      <c r="L33" s="197">
        <f t="shared" ca="1" si="0"/>
        <v>0</v>
      </c>
      <c r="M33" s="23">
        <f ca="1">IF(ISNA(Ksys!B33),0,Ksys!B33)</f>
        <v>0</v>
      </c>
      <c r="O33" s="401">
        <f t="shared" ca="1" si="6"/>
        <v>0</v>
      </c>
      <c r="P33" s="90">
        <f t="shared" ca="1" si="6"/>
        <v>0</v>
      </c>
      <c r="Q33" s="90">
        <f t="shared" ca="1" si="6"/>
        <v>0</v>
      </c>
      <c r="R33" s="90">
        <f t="shared" ca="1" si="6"/>
        <v>0</v>
      </c>
      <c r="S33" s="90">
        <f t="shared" ca="1" si="6"/>
        <v>0</v>
      </c>
      <c r="T33" s="90">
        <f t="shared" ca="1" si="6"/>
        <v>0</v>
      </c>
      <c r="U33" s="90">
        <f t="shared" ca="1" si="6"/>
        <v>0</v>
      </c>
      <c r="V33" s="90">
        <f t="shared" ca="1" si="6"/>
        <v>0</v>
      </c>
      <c r="W33" s="90">
        <f t="shared" ca="1" si="6"/>
        <v>0</v>
      </c>
      <c r="X33" s="90">
        <f t="shared" ca="1" si="6"/>
        <v>0</v>
      </c>
      <c r="Y33" s="90">
        <f t="shared" ca="1" si="6"/>
        <v>0</v>
      </c>
      <c r="Z33" s="90">
        <f t="shared" ca="1" si="6"/>
        <v>0</v>
      </c>
      <c r="AA33" s="90">
        <f t="shared" ca="1" si="6"/>
        <v>0</v>
      </c>
      <c r="AB33" s="90">
        <f t="shared" ca="1" si="6"/>
        <v>0</v>
      </c>
      <c r="AC33" s="90">
        <f t="shared" ca="1" si="6"/>
        <v>0</v>
      </c>
      <c r="AD33" s="90">
        <f t="shared" ca="1" si="6"/>
        <v>0</v>
      </c>
      <c r="AE33" s="90">
        <f t="shared" ca="1" si="5"/>
        <v>0</v>
      </c>
      <c r="AF33" s="90">
        <f t="shared" ca="1" si="5"/>
        <v>0</v>
      </c>
      <c r="AG33" s="90">
        <f t="shared" ca="1" si="5"/>
        <v>0</v>
      </c>
      <c r="AH33" s="402">
        <f t="shared" ca="1" si="5"/>
        <v>0</v>
      </c>
    </row>
    <row r="34" spans="2:34" x14ac:dyDescent="0.2">
      <c r="B34" s="92"/>
      <c r="C34" s="92"/>
      <c r="D34" s="92"/>
      <c r="E34" s="92"/>
      <c r="G34" s="272" t="s">
        <v>90</v>
      </c>
      <c r="H34" s="1">
        <f ca="1">$H$35 * SQRT((MAX(EleData!$DU$2:$DU$121)-MIN(EleData!$DU$2:$DU$121))^2 + (MAX(EleData!$DV$2:$DV$121)-MIN(EleData!$DV$2:$DV$121))^2)/2</f>
        <v>0.60193910074088586</v>
      </c>
      <c r="I34" s="8"/>
      <c r="K34" s="196">
        <v>33</v>
      </c>
      <c r="L34" s="197">
        <f t="shared" ca="1" si="0"/>
        <v>0</v>
      </c>
      <c r="M34" s="23">
        <f ca="1">IF(ISNA(Ksys!B34),0,Ksys!B34)</f>
        <v>0</v>
      </c>
      <c r="O34" s="401">
        <f t="shared" ca="1" si="6"/>
        <v>0</v>
      </c>
      <c r="P34" s="90">
        <f t="shared" ca="1" si="6"/>
        <v>0</v>
      </c>
      <c r="Q34" s="90">
        <f t="shared" ca="1" si="6"/>
        <v>0</v>
      </c>
      <c r="R34" s="90">
        <f t="shared" ca="1" si="6"/>
        <v>0</v>
      </c>
      <c r="S34" s="90">
        <f t="shared" ca="1" si="6"/>
        <v>0</v>
      </c>
      <c r="T34" s="90">
        <f t="shared" ca="1" si="6"/>
        <v>0</v>
      </c>
      <c r="U34" s="90">
        <f t="shared" ca="1" si="6"/>
        <v>0</v>
      </c>
      <c r="V34" s="90">
        <f t="shared" ca="1" si="6"/>
        <v>0</v>
      </c>
      <c r="W34" s="90">
        <f t="shared" ca="1" si="6"/>
        <v>0</v>
      </c>
      <c r="X34" s="90">
        <f t="shared" ca="1" si="6"/>
        <v>0</v>
      </c>
      <c r="Y34" s="90">
        <f t="shared" ca="1" si="6"/>
        <v>0</v>
      </c>
      <c r="Z34" s="90">
        <f t="shared" ca="1" si="6"/>
        <v>0</v>
      </c>
      <c r="AA34" s="90">
        <f t="shared" ca="1" si="6"/>
        <v>0</v>
      </c>
      <c r="AB34" s="90">
        <f t="shared" ca="1" si="6"/>
        <v>0</v>
      </c>
      <c r="AC34" s="90">
        <f t="shared" ca="1" si="6"/>
        <v>0</v>
      </c>
      <c r="AD34" s="90">
        <f t="shared" ref="AD34:AH41" ca="1" si="7">IF(ABS(INDIRECT("Knoten!E" &amp; 2+AD$1))=$K34,SIGN(INDIRECT("Knoten!E" &amp; 2+AD$1))*INDIRECT("Knoten!H" &amp; 2+AD$1),0)
+ IF(ABS(INDIRECT("Knoten!F" &amp; 2+AD$1))=$K34,SIGN(INDIRECT("Knoten!F" &amp; 2+AD$1))*INDIRECT("Knoten!I" &amp; 2+AD$1),0)
+ IF(ABS(INDIRECT("Knoten!G" &amp; 2+AD$1))=$K34,SIGN(INDIRECT("Knoten!G" &amp; 2+AD$1))*INDIRECT("Knoten!J" &amp; 2+AD$1),0)</f>
        <v>0</v>
      </c>
      <c r="AE34" s="90">
        <f t="shared" ca="1" si="7"/>
        <v>0</v>
      </c>
      <c r="AF34" s="90">
        <f t="shared" ca="1" si="7"/>
        <v>0</v>
      </c>
      <c r="AG34" s="90">
        <f t="shared" ca="1" si="7"/>
        <v>0</v>
      </c>
      <c r="AH34" s="402">
        <f t="shared" ca="1" si="7"/>
        <v>0</v>
      </c>
    </row>
    <row r="35" spans="2:34" x14ac:dyDescent="0.2">
      <c r="B35" s="92"/>
      <c r="C35" s="92"/>
      <c r="D35" s="92"/>
      <c r="E35" s="92"/>
      <c r="G35" s="272" t="s">
        <v>91</v>
      </c>
      <c r="H35" s="1">
        <f>1/Querkräfte!G2</f>
        <v>1</v>
      </c>
      <c r="I35" s="8"/>
      <c r="K35" s="196">
        <v>34</v>
      </c>
      <c r="L35" s="197">
        <f t="shared" ca="1" si="0"/>
        <v>0</v>
      </c>
      <c r="M35" s="23">
        <f ca="1">IF(ISNA(Ksys!B35),0,Ksys!B35)</f>
        <v>0</v>
      </c>
      <c r="O35" s="401">
        <f t="shared" ref="O35:AD41" ca="1" si="8">IF(ABS(INDIRECT("Knoten!E" &amp; 2+O$1))=$K35,SIGN(INDIRECT("Knoten!E" &amp; 2+O$1))*INDIRECT("Knoten!H" &amp; 2+O$1),0)
+ IF(ABS(INDIRECT("Knoten!F" &amp; 2+O$1))=$K35,SIGN(INDIRECT("Knoten!F" &amp; 2+O$1))*INDIRECT("Knoten!I" &amp; 2+O$1),0)
+ IF(ABS(INDIRECT("Knoten!G" &amp; 2+O$1))=$K35,SIGN(INDIRECT("Knoten!G" &amp; 2+O$1))*INDIRECT("Knoten!J" &amp; 2+O$1),0)</f>
        <v>0</v>
      </c>
      <c r="P35" s="90">
        <f t="shared" ca="1" si="8"/>
        <v>0</v>
      </c>
      <c r="Q35" s="90">
        <f t="shared" ca="1" si="8"/>
        <v>0</v>
      </c>
      <c r="R35" s="90">
        <f t="shared" ca="1" si="8"/>
        <v>0</v>
      </c>
      <c r="S35" s="90">
        <f t="shared" ca="1" si="8"/>
        <v>0</v>
      </c>
      <c r="T35" s="90">
        <f t="shared" ca="1" si="8"/>
        <v>0</v>
      </c>
      <c r="U35" s="90">
        <f t="shared" ca="1" si="8"/>
        <v>0</v>
      </c>
      <c r="V35" s="90">
        <f t="shared" ca="1" si="8"/>
        <v>0</v>
      </c>
      <c r="W35" s="90">
        <f t="shared" ca="1" si="8"/>
        <v>0</v>
      </c>
      <c r="X35" s="90">
        <f t="shared" ca="1" si="8"/>
        <v>0</v>
      </c>
      <c r="Y35" s="90">
        <f t="shared" ca="1" si="8"/>
        <v>0</v>
      </c>
      <c r="Z35" s="90">
        <f t="shared" ca="1" si="8"/>
        <v>0</v>
      </c>
      <c r="AA35" s="90">
        <f t="shared" ca="1" si="8"/>
        <v>0</v>
      </c>
      <c r="AB35" s="90">
        <f t="shared" ca="1" si="8"/>
        <v>0</v>
      </c>
      <c r="AC35" s="90">
        <f t="shared" ca="1" si="8"/>
        <v>0</v>
      </c>
      <c r="AD35" s="90">
        <f t="shared" ca="1" si="8"/>
        <v>0</v>
      </c>
      <c r="AE35" s="90">
        <f t="shared" ca="1" si="7"/>
        <v>0</v>
      </c>
      <c r="AF35" s="90">
        <f t="shared" ca="1" si="7"/>
        <v>0</v>
      </c>
      <c r="AG35" s="90">
        <f t="shared" ca="1" si="7"/>
        <v>0</v>
      </c>
      <c r="AH35" s="402">
        <f t="shared" ca="1" si="7"/>
        <v>0</v>
      </c>
    </row>
    <row r="36" spans="2:34" x14ac:dyDescent="0.2">
      <c r="B36" s="92"/>
      <c r="C36" s="92"/>
      <c r="D36" s="92"/>
      <c r="E36" s="92"/>
      <c r="G36" s="272" t="s">
        <v>92</v>
      </c>
      <c r="H36" s="1">
        <f ca="1">H32-H34</f>
        <v>-7.8934449556844144E-2</v>
      </c>
      <c r="I36" s="8">
        <f ca="1">H33+H34</f>
        <v>1.0307888761881925</v>
      </c>
      <c r="K36" s="196">
        <v>35</v>
      </c>
      <c r="L36" s="197">
        <f t="shared" ca="1" si="0"/>
        <v>0</v>
      </c>
      <c r="M36" s="23">
        <f ca="1">IF(ISNA(Ksys!B36),0,Ksys!B36)</f>
        <v>0</v>
      </c>
      <c r="O36" s="401">
        <f t="shared" ca="1" si="8"/>
        <v>0</v>
      </c>
      <c r="P36" s="90">
        <f t="shared" ca="1" si="8"/>
        <v>0</v>
      </c>
      <c r="Q36" s="90">
        <f t="shared" ca="1" si="8"/>
        <v>0</v>
      </c>
      <c r="R36" s="90">
        <f t="shared" ca="1" si="8"/>
        <v>0</v>
      </c>
      <c r="S36" s="90">
        <f t="shared" ca="1" si="8"/>
        <v>0</v>
      </c>
      <c r="T36" s="90">
        <f t="shared" ca="1" si="8"/>
        <v>0</v>
      </c>
      <c r="U36" s="90">
        <f t="shared" ca="1" si="8"/>
        <v>0</v>
      </c>
      <c r="V36" s="90">
        <f t="shared" ca="1" si="8"/>
        <v>0</v>
      </c>
      <c r="W36" s="90">
        <f t="shared" ca="1" si="8"/>
        <v>0</v>
      </c>
      <c r="X36" s="90">
        <f t="shared" ca="1" si="8"/>
        <v>0</v>
      </c>
      <c r="Y36" s="90">
        <f t="shared" ca="1" si="8"/>
        <v>0</v>
      </c>
      <c r="Z36" s="90">
        <f t="shared" ca="1" si="8"/>
        <v>0</v>
      </c>
      <c r="AA36" s="90">
        <f t="shared" ca="1" si="8"/>
        <v>0</v>
      </c>
      <c r="AB36" s="90">
        <f t="shared" ca="1" si="8"/>
        <v>0</v>
      </c>
      <c r="AC36" s="90">
        <f t="shared" ca="1" si="8"/>
        <v>0</v>
      </c>
      <c r="AD36" s="90">
        <f t="shared" ca="1" si="8"/>
        <v>0</v>
      </c>
      <c r="AE36" s="90">
        <f t="shared" ca="1" si="7"/>
        <v>0</v>
      </c>
      <c r="AF36" s="90">
        <f t="shared" ca="1" si="7"/>
        <v>0</v>
      </c>
      <c r="AG36" s="90">
        <f t="shared" ca="1" si="7"/>
        <v>0</v>
      </c>
      <c r="AH36" s="402">
        <f t="shared" ca="1" si="7"/>
        <v>0</v>
      </c>
    </row>
    <row r="37" spans="2:34" x14ac:dyDescent="0.2">
      <c r="B37" s="92"/>
      <c r="C37" s="92"/>
      <c r="D37" s="92"/>
      <c r="E37" s="92"/>
      <c r="G37" s="272" t="s">
        <v>93</v>
      </c>
      <c r="H37" s="1">
        <f ca="1">H32+H34</f>
        <v>1.1249437519249277</v>
      </c>
      <c r="I37" s="8">
        <f ca="1">H33+H34</f>
        <v>1.0307888761881925</v>
      </c>
      <c r="K37" s="196">
        <v>36</v>
      </c>
      <c r="L37" s="197">
        <f t="shared" ca="1" si="0"/>
        <v>0</v>
      </c>
      <c r="M37" s="23">
        <f ca="1">IF(ISNA(Ksys!B37),0,Ksys!B37)</f>
        <v>0</v>
      </c>
      <c r="O37" s="401">
        <f t="shared" ca="1" si="8"/>
        <v>0</v>
      </c>
      <c r="P37" s="90">
        <f t="shared" ca="1" si="8"/>
        <v>0</v>
      </c>
      <c r="Q37" s="90">
        <f t="shared" ca="1" si="8"/>
        <v>0</v>
      </c>
      <c r="R37" s="90">
        <f t="shared" ca="1" si="8"/>
        <v>0</v>
      </c>
      <c r="S37" s="90">
        <f t="shared" ca="1" si="8"/>
        <v>0</v>
      </c>
      <c r="T37" s="90">
        <f t="shared" ca="1" si="8"/>
        <v>0</v>
      </c>
      <c r="U37" s="90">
        <f t="shared" ca="1" si="8"/>
        <v>0</v>
      </c>
      <c r="V37" s="90">
        <f t="shared" ca="1" si="8"/>
        <v>0</v>
      </c>
      <c r="W37" s="90">
        <f t="shared" ca="1" si="8"/>
        <v>0</v>
      </c>
      <c r="X37" s="90">
        <f t="shared" ca="1" si="8"/>
        <v>0</v>
      </c>
      <c r="Y37" s="90">
        <f t="shared" ca="1" si="8"/>
        <v>0</v>
      </c>
      <c r="Z37" s="90">
        <f t="shared" ca="1" si="8"/>
        <v>0</v>
      </c>
      <c r="AA37" s="90">
        <f t="shared" ca="1" si="8"/>
        <v>0</v>
      </c>
      <c r="AB37" s="90">
        <f t="shared" ca="1" si="8"/>
        <v>0</v>
      </c>
      <c r="AC37" s="90">
        <f t="shared" ca="1" si="8"/>
        <v>0</v>
      </c>
      <c r="AD37" s="90">
        <f t="shared" ca="1" si="8"/>
        <v>0</v>
      </c>
      <c r="AE37" s="90">
        <f t="shared" ca="1" si="7"/>
        <v>0</v>
      </c>
      <c r="AF37" s="90">
        <f t="shared" ca="1" si="7"/>
        <v>0</v>
      </c>
      <c r="AG37" s="90">
        <f t="shared" ca="1" si="7"/>
        <v>0</v>
      </c>
      <c r="AH37" s="402">
        <f t="shared" ca="1" si="7"/>
        <v>0</v>
      </c>
    </row>
    <row r="38" spans="2:34" x14ac:dyDescent="0.2">
      <c r="B38" s="92"/>
      <c r="C38" s="92"/>
      <c r="D38" s="92"/>
      <c r="E38" s="92"/>
      <c r="G38" s="272" t="s">
        <v>94</v>
      </c>
      <c r="H38" s="1">
        <f ca="1">H37</f>
        <v>1.1249437519249277</v>
      </c>
      <c r="I38" s="8">
        <f ca="1">H33-H34</f>
        <v>-0.17308932529357918</v>
      </c>
      <c r="K38" s="196">
        <v>37</v>
      </c>
      <c r="L38" s="197">
        <f t="shared" ca="1" si="0"/>
        <v>0</v>
      </c>
      <c r="M38" s="23">
        <f ca="1">IF(ISNA(Ksys!B38),0,Ksys!B38)</f>
        <v>0</v>
      </c>
      <c r="O38" s="401">
        <f t="shared" ca="1" si="8"/>
        <v>0</v>
      </c>
      <c r="P38" s="90">
        <f t="shared" ca="1" si="8"/>
        <v>0</v>
      </c>
      <c r="Q38" s="90">
        <f t="shared" ca="1" si="8"/>
        <v>0</v>
      </c>
      <c r="R38" s="90">
        <f t="shared" ca="1" si="8"/>
        <v>0</v>
      </c>
      <c r="S38" s="90">
        <f t="shared" ca="1" si="8"/>
        <v>0</v>
      </c>
      <c r="T38" s="90">
        <f t="shared" ca="1" si="8"/>
        <v>0</v>
      </c>
      <c r="U38" s="90">
        <f t="shared" ca="1" si="8"/>
        <v>0</v>
      </c>
      <c r="V38" s="90">
        <f t="shared" ca="1" si="8"/>
        <v>0</v>
      </c>
      <c r="W38" s="90">
        <f t="shared" ca="1" si="8"/>
        <v>0</v>
      </c>
      <c r="X38" s="90">
        <f t="shared" ca="1" si="8"/>
        <v>0</v>
      </c>
      <c r="Y38" s="90">
        <f t="shared" ca="1" si="8"/>
        <v>0</v>
      </c>
      <c r="Z38" s="90">
        <f t="shared" ca="1" si="8"/>
        <v>0</v>
      </c>
      <c r="AA38" s="90">
        <f t="shared" ca="1" si="8"/>
        <v>0</v>
      </c>
      <c r="AB38" s="90">
        <f t="shared" ca="1" si="8"/>
        <v>0</v>
      </c>
      <c r="AC38" s="90">
        <f t="shared" ca="1" si="8"/>
        <v>0</v>
      </c>
      <c r="AD38" s="90">
        <f t="shared" ca="1" si="8"/>
        <v>0</v>
      </c>
      <c r="AE38" s="90">
        <f t="shared" ca="1" si="7"/>
        <v>0</v>
      </c>
      <c r="AF38" s="90">
        <f t="shared" ca="1" si="7"/>
        <v>0</v>
      </c>
      <c r="AG38" s="90">
        <f t="shared" ca="1" si="7"/>
        <v>0</v>
      </c>
      <c r="AH38" s="402">
        <f t="shared" ca="1" si="7"/>
        <v>0</v>
      </c>
    </row>
    <row r="39" spans="2:34" ht="13.5" thickBot="1" x14ac:dyDescent="0.25">
      <c r="B39" s="92"/>
      <c r="C39" s="92"/>
      <c r="D39" s="92"/>
      <c r="E39" s="92"/>
      <c r="G39" s="166" t="s">
        <v>95</v>
      </c>
      <c r="H39" s="10">
        <f ca="1">H36</f>
        <v>-7.8934449556844144E-2</v>
      </c>
      <c r="I39" s="146">
        <f ca="1">I38</f>
        <v>-0.17308932529357918</v>
      </c>
      <c r="K39" s="196">
        <v>38</v>
      </c>
      <c r="L39" s="197">
        <f t="shared" ca="1" si="0"/>
        <v>0</v>
      </c>
      <c r="M39" s="23">
        <f ca="1">IF(ISNA(Ksys!B39),0,Ksys!B39)</f>
        <v>0</v>
      </c>
      <c r="O39" s="401">
        <f t="shared" ca="1" si="8"/>
        <v>0</v>
      </c>
      <c r="P39" s="90">
        <f t="shared" ca="1" si="8"/>
        <v>0</v>
      </c>
      <c r="Q39" s="90">
        <f t="shared" ca="1" si="8"/>
        <v>0</v>
      </c>
      <c r="R39" s="90">
        <f t="shared" ca="1" si="8"/>
        <v>0</v>
      </c>
      <c r="S39" s="90">
        <f t="shared" ca="1" si="8"/>
        <v>0</v>
      </c>
      <c r="T39" s="90">
        <f t="shared" ca="1" si="8"/>
        <v>0</v>
      </c>
      <c r="U39" s="90">
        <f t="shared" ca="1" si="8"/>
        <v>0</v>
      </c>
      <c r="V39" s="90">
        <f t="shared" ca="1" si="8"/>
        <v>0</v>
      </c>
      <c r="W39" s="90">
        <f t="shared" ca="1" si="8"/>
        <v>0</v>
      </c>
      <c r="X39" s="90">
        <f t="shared" ca="1" si="8"/>
        <v>0</v>
      </c>
      <c r="Y39" s="90">
        <f t="shared" ca="1" si="8"/>
        <v>0</v>
      </c>
      <c r="Z39" s="90">
        <f t="shared" ca="1" si="8"/>
        <v>0</v>
      </c>
      <c r="AA39" s="90">
        <f t="shared" ca="1" si="8"/>
        <v>0</v>
      </c>
      <c r="AB39" s="90">
        <f t="shared" ca="1" si="8"/>
        <v>0</v>
      </c>
      <c r="AC39" s="90">
        <f t="shared" ca="1" si="8"/>
        <v>0</v>
      </c>
      <c r="AD39" s="90">
        <f t="shared" ca="1" si="8"/>
        <v>0</v>
      </c>
      <c r="AE39" s="90">
        <f t="shared" ca="1" si="7"/>
        <v>0</v>
      </c>
      <c r="AF39" s="90">
        <f t="shared" ca="1" si="7"/>
        <v>0</v>
      </c>
      <c r="AG39" s="90">
        <f t="shared" ca="1" si="7"/>
        <v>0</v>
      </c>
      <c r="AH39" s="402">
        <f t="shared" ca="1" si="7"/>
        <v>0</v>
      </c>
    </row>
    <row r="40" spans="2:34" x14ac:dyDescent="0.2">
      <c r="B40" s="92"/>
      <c r="C40" s="92"/>
      <c r="D40" s="92"/>
      <c r="E40" s="92"/>
      <c r="K40" s="196">
        <v>39</v>
      </c>
      <c r="L40" s="197">
        <f t="shared" ca="1" si="0"/>
        <v>0</v>
      </c>
      <c r="M40" s="23">
        <f ca="1">IF(ISNA(Ksys!B40),0,Ksys!B40)</f>
        <v>0</v>
      </c>
      <c r="O40" s="401">
        <f t="shared" ca="1" si="8"/>
        <v>0</v>
      </c>
      <c r="P40" s="90">
        <f t="shared" ca="1" si="8"/>
        <v>0</v>
      </c>
      <c r="Q40" s="90">
        <f t="shared" ca="1" si="8"/>
        <v>0</v>
      </c>
      <c r="R40" s="90">
        <f t="shared" ca="1" si="8"/>
        <v>0</v>
      </c>
      <c r="S40" s="90">
        <f t="shared" ca="1" si="8"/>
        <v>0</v>
      </c>
      <c r="T40" s="90">
        <f t="shared" ca="1" si="8"/>
        <v>0</v>
      </c>
      <c r="U40" s="90">
        <f t="shared" ca="1" si="8"/>
        <v>0</v>
      </c>
      <c r="V40" s="90">
        <f t="shared" ca="1" si="8"/>
        <v>0</v>
      </c>
      <c r="W40" s="90">
        <f t="shared" ca="1" si="8"/>
        <v>0</v>
      </c>
      <c r="X40" s="90">
        <f t="shared" ca="1" si="8"/>
        <v>0</v>
      </c>
      <c r="Y40" s="90">
        <f t="shared" ca="1" si="8"/>
        <v>0</v>
      </c>
      <c r="Z40" s="90">
        <f t="shared" ca="1" si="8"/>
        <v>0</v>
      </c>
      <c r="AA40" s="90">
        <f t="shared" ca="1" si="8"/>
        <v>0</v>
      </c>
      <c r="AB40" s="90">
        <f t="shared" ca="1" si="8"/>
        <v>0</v>
      </c>
      <c r="AC40" s="90">
        <f t="shared" ca="1" si="8"/>
        <v>0</v>
      </c>
      <c r="AD40" s="90">
        <f t="shared" ca="1" si="8"/>
        <v>0</v>
      </c>
      <c r="AE40" s="90">
        <f t="shared" ca="1" si="7"/>
        <v>0</v>
      </c>
      <c r="AF40" s="90">
        <f t="shared" ca="1" si="7"/>
        <v>0</v>
      </c>
      <c r="AG40" s="90">
        <f t="shared" ca="1" si="7"/>
        <v>0</v>
      </c>
      <c r="AH40" s="402">
        <f t="shared" ca="1" si="7"/>
        <v>0</v>
      </c>
    </row>
    <row r="41" spans="2:34" ht="13.5" thickBot="1" x14ac:dyDescent="0.25">
      <c r="B41" s="92"/>
      <c r="C41" s="92"/>
      <c r="D41" s="92"/>
      <c r="E41" s="92"/>
      <c r="G41" s="172" t="s">
        <v>61</v>
      </c>
      <c r="K41" s="198">
        <v>40</v>
      </c>
      <c r="L41" s="199">
        <f t="shared" ca="1" si="0"/>
        <v>0</v>
      </c>
      <c r="M41" s="24">
        <f ca="1">IF(ISNA(Ksys!B41),0,Ksys!B41)</f>
        <v>0</v>
      </c>
      <c r="O41" s="403">
        <f t="shared" ca="1" si="8"/>
        <v>0</v>
      </c>
      <c r="P41" s="404">
        <f t="shared" ca="1" si="8"/>
        <v>0</v>
      </c>
      <c r="Q41" s="404">
        <f t="shared" ca="1" si="8"/>
        <v>0</v>
      </c>
      <c r="R41" s="404">
        <f t="shared" ca="1" si="8"/>
        <v>0</v>
      </c>
      <c r="S41" s="404">
        <f t="shared" ca="1" si="8"/>
        <v>0</v>
      </c>
      <c r="T41" s="404">
        <f t="shared" ca="1" si="8"/>
        <v>0</v>
      </c>
      <c r="U41" s="404">
        <f t="shared" ca="1" si="8"/>
        <v>0</v>
      </c>
      <c r="V41" s="404">
        <f t="shared" ca="1" si="8"/>
        <v>0</v>
      </c>
      <c r="W41" s="404">
        <f t="shared" ca="1" si="8"/>
        <v>0</v>
      </c>
      <c r="X41" s="404">
        <f t="shared" ca="1" si="8"/>
        <v>0</v>
      </c>
      <c r="Y41" s="404">
        <f t="shared" ca="1" si="8"/>
        <v>0</v>
      </c>
      <c r="Z41" s="404">
        <f t="shared" ca="1" si="8"/>
        <v>0</v>
      </c>
      <c r="AA41" s="404">
        <f t="shared" ca="1" si="8"/>
        <v>0</v>
      </c>
      <c r="AB41" s="404">
        <f t="shared" ca="1" si="8"/>
        <v>0</v>
      </c>
      <c r="AC41" s="404">
        <f t="shared" ca="1" si="8"/>
        <v>0</v>
      </c>
      <c r="AD41" s="404">
        <f t="shared" ca="1" si="8"/>
        <v>0</v>
      </c>
      <c r="AE41" s="404">
        <f t="shared" ca="1" si="7"/>
        <v>0</v>
      </c>
      <c r="AF41" s="404">
        <f t="shared" ca="1" si="7"/>
        <v>0</v>
      </c>
      <c r="AG41" s="404">
        <f t="shared" ca="1" si="7"/>
        <v>0</v>
      </c>
      <c r="AH41" s="405">
        <f t="shared" ca="1" si="7"/>
        <v>0</v>
      </c>
    </row>
    <row r="42" spans="2:34" x14ac:dyDescent="0.2">
      <c r="B42" s="92"/>
      <c r="C42" s="92"/>
      <c r="D42" s="92"/>
      <c r="E42" s="92"/>
      <c r="G42" s="270" t="s">
        <v>87</v>
      </c>
      <c r="H42" s="271">
        <f ca="1">(MAX(EleData!$EN$2:$EN$121)+MIN(EleData!$EN$2:$EN$121))/2</f>
        <v>0.40584512426326502</v>
      </c>
      <c r="I42" s="6"/>
    </row>
    <row r="43" spans="2:34" x14ac:dyDescent="0.2">
      <c r="B43" s="92"/>
      <c r="C43" s="92"/>
      <c r="D43" s="92"/>
      <c r="E43" s="92"/>
      <c r="G43" s="272" t="s">
        <v>88</v>
      </c>
      <c r="H43" s="1">
        <f ca="1">(MAX(EleData!$EO$2:$EO$121)+MIN(EleData!$EO$2:$EO$121))/2</f>
        <v>0.31169024852653004</v>
      </c>
      <c r="I43" s="8"/>
    </row>
    <row r="44" spans="2:34" x14ac:dyDescent="0.2">
      <c r="B44" s="92"/>
      <c r="C44" s="92"/>
      <c r="D44" s="92"/>
      <c r="E44" s="92"/>
      <c r="G44" s="272" t="s">
        <v>90</v>
      </c>
      <c r="H44" s="1">
        <f ca="1">$H$45 * SQRT((MAX(EleData!$EN$2:$EN$121)-MIN(EleData!$EN$2:$EN$121))^2 + (MAX(EleData!$EO$2:$EO$121)-MIN(EleData!$EO$2:$EO$121))^2)/2</f>
        <v>0.64460842095161541</v>
      </c>
      <c r="I44" s="8"/>
    </row>
    <row r="45" spans="2:34" x14ac:dyDescent="0.2">
      <c r="B45" s="92"/>
      <c r="C45" s="92"/>
      <c r="D45" s="92"/>
      <c r="E45" s="92"/>
      <c r="G45" s="272" t="s">
        <v>91</v>
      </c>
      <c r="H45" s="1">
        <f>1/Normalkräfte!G2</f>
        <v>1</v>
      </c>
      <c r="I45" s="8"/>
    </row>
    <row r="46" spans="2:34" x14ac:dyDescent="0.2">
      <c r="B46" s="92"/>
      <c r="C46" s="92"/>
      <c r="D46" s="92"/>
      <c r="E46" s="92"/>
      <c r="G46" s="272" t="s">
        <v>92</v>
      </c>
      <c r="H46" s="1">
        <f ca="1">H42-H44</f>
        <v>-0.23876329668835039</v>
      </c>
      <c r="I46" s="8">
        <f ca="1">H43+H44</f>
        <v>0.95629866947814546</v>
      </c>
    </row>
    <row r="47" spans="2:34" x14ac:dyDescent="0.2">
      <c r="B47" s="92"/>
      <c r="C47" s="92"/>
      <c r="D47" s="92"/>
      <c r="E47" s="92"/>
      <c r="G47" s="272" t="s">
        <v>93</v>
      </c>
      <c r="H47" s="1">
        <f ca="1">H42+H44</f>
        <v>1.0504535452148804</v>
      </c>
      <c r="I47" s="8">
        <f ca="1">H43+H44</f>
        <v>0.95629866947814546</v>
      </c>
    </row>
    <row r="48" spans="2:34" x14ac:dyDescent="0.2">
      <c r="B48" s="92"/>
      <c r="C48" s="92"/>
      <c r="D48" s="92"/>
      <c r="E48" s="92"/>
      <c r="G48" s="272" t="s">
        <v>94</v>
      </c>
      <c r="H48" s="1">
        <f ca="1">H47</f>
        <v>1.0504535452148804</v>
      </c>
      <c r="I48" s="8">
        <f ca="1">H43-H44</f>
        <v>-0.33291817242508537</v>
      </c>
    </row>
    <row r="49" spans="2:9" ht="13.5" thickBot="1" x14ac:dyDescent="0.25">
      <c r="G49" s="166" t="s">
        <v>95</v>
      </c>
      <c r="H49" s="10">
        <f ca="1">H46</f>
        <v>-0.23876329668835039</v>
      </c>
      <c r="I49" s="146">
        <f ca="1">I48</f>
        <v>-0.33291817242508537</v>
      </c>
    </row>
    <row r="50" spans="2:9" x14ac:dyDescent="0.2">
      <c r="B50" s="172"/>
    </row>
    <row r="51" spans="2:9" x14ac:dyDescent="0.2">
      <c r="B51" s="172"/>
      <c r="C51" s="172"/>
    </row>
  </sheetData>
  <sheetProtection password="C690" sheet="1" objects="1" scenarios="1"/>
  <mergeCells count="2">
    <mergeCell ref="C1:D1"/>
    <mergeCell ref="C27:D27"/>
  </mergeCell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EP127"/>
  <sheetViews>
    <sheetView zoomScale="70" zoomScaleNormal="70" workbookViewId="0">
      <selection activeCell="C6" sqref="C6"/>
    </sheetView>
  </sheetViews>
  <sheetFormatPr baseColWidth="10" defaultRowHeight="12.75" x14ac:dyDescent="0.2"/>
  <cols>
    <col min="2" max="2" width="13.85546875" customWidth="1"/>
    <col min="5" max="7" width="15.5703125" bestFit="1" customWidth="1"/>
    <col min="29" max="29" width="12.140625" style="304" customWidth="1"/>
    <col min="30" max="30" width="13.7109375" bestFit="1" customWidth="1"/>
    <col min="31" max="70" width="3.42578125" customWidth="1"/>
    <col min="71" max="72" width="12.5703125" bestFit="1" customWidth="1"/>
    <col min="74" max="74" width="13.42578125" bestFit="1" customWidth="1"/>
    <col min="90" max="90" width="3.42578125" bestFit="1" customWidth="1"/>
    <col min="107" max="107" width="13.140625" bestFit="1" customWidth="1"/>
    <col min="108" max="108" width="13.140625" customWidth="1"/>
    <col min="109" max="109" width="3.42578125" bestFit="1" customWidth="1"/>
    <col min="128" max="128" width="3.42578125" bestFit="1" customWidth="1"/>
  </cols>
  <sheetData>
    <row r="1" spans="1:146" ht="13.5" thickBot="1" x14ac:dyDescent="0.25">
      <c r="A1" s="205" t="s">
        <v>6</v>
      </c>
      <c r="B1" s="256" t="s">
        <v>10</v>
      </c>
      <c r="C1" s="256" t="s">
        <v>12</v>
      </c>
      <c r="D1" s="255" t="s">
        <v>11</v>
      </c>
      <c r="E1" s="260" t="s">
        <v>51</v>
      </c>
      <c r="F1" s="260" t="s">
        <v>52</v>
      </c>
      <c r="G1" s="259" t="s">
        <v>58</v>
      </c>
      <c r="H1" s="255" t="s">
        <v>70</v>
      </c>
      <c r="I1" s="255" t="s">
        <v>71</v>
      </c>
      <c r="J1" s="482" t="s">
        <v>74</v>
      </c>
      <c r="K1" s="483"/>
      <c r="L1" s="483"/>
      <c r="M1" s="483"/>
      <c r="N1" s="483"/>
      <c r="O1" s="484"/>
      <c r="P1" s="485" t="s">
        <v>72</v>
      </c>
      <c r="Q1" s="486"/>
      <c r="R1" s="486"/>
      <c r="S1" s="486"/>
      <c r="T1" s="486"/>
      <c r="U1" s="487"/>
      <c r="V1" s="488" t="s">
        <v>73</v>
      </c>
      <c r="W1" s="489"/>
      <c r="X1" s="489"/>
      <c r="Y1" s="489"/>
      <c r="Z1" s="489"/>
      <c r="AA1" s="490"/>
      <c r="AB1" s="187" t="s">
        <v>77</v>
      </c>
      <c r="AC1" s="300" t="s">
        <v>76</v>
      </c>
      <c r="AD1" s="187" t="s">
        <v>104</v>
      </c>
      <c r="AE1">
        <v>1</v>
      </c>
      <c r="AF1">
        <v>2</v>
      </c>
      <c r="AG1">
        <v>3</v>
      </c>
      <c r="AH1">
        <v>4</v>
      </c>
      <c r="AI1">
        <v>5</v>
      </c>
      <c r="AJ1">
        <v>6</v>
      </c>
      <c r="AK1">
        <v>7</v>
      </c>
      <c r="AL1">
        <v>8</v>
      </c>
      <c r="AM1">
        <v>9</v>
      </c>
      <c r="AN1">
        <v>10</v>
      </c>
      <c r="AO1">
        <v>11</v>
      </c>
      <c r="AP1">
        <v>12</v>
      </c>
      <c r="AQ1">
        <v>13</v>
      </c>
      <c r="AR1">
        <v>14</v>
      </c>
      <c r="AS1">
        <v>15</v>
      </c>
      <c r="AT1">
        <v>16</v>
      </c>
      <c r="AU1">
        <v>17</v>
      </c>
      <c r="AV1">
        <v>18</v>
      </c>
      <c r="AW1">
        <v>19</v>
      </c>
      <c r="AX1">
        <v>20</v>
      </c>
      <c r="AY1">
        <v>21</v>
      </c>
      <c r="AZ1">
        <v>22</v>
      </c>
      <c r="BA1">
        <v>23</v>
      </c>
      <c r="BB1">
        <v>24</v>
      </c>
      <c r="BC1">
        <v>25</v>
      </c>
      <c r="BD1">
        <v>26</v>
      </c>
      <c r="BE1">
        <v>27</v>
      </c>
      <c r="BF1">
        <v>28</v>
      </c>
      <c r="BG1">
        <v>29</v>
      </c>
      <c r="BH1">
        <v>30</v>
      </c>
      <c r="BI1">
        <v>31</v>
      </c>
      <c r="BJ1">
        <v>32</v>
      </c>
      <c r="BK1">
        <v>33</v>
      </c>
      <c r="BL1">
        <v>34</v>
      </c>
      <c r="BM1">
        <v>35</v>
      </c>
      <c r="BN1">
        <v>36</v>
      </c>
      <c r="BO1">
        <v>37</v>
      </c>
      <c r="BP1">
        <v>38</v>
      </c>
      <c r="BQ1">
        <v>39</v>
      </c>
      <c r="BR1">
        <v>40</v>
      </c>
      <c r="BS1" s="172" t="s">
        <v>96</v>
      </c>
      <c r="BT1" s="172" t="s">
        <v>97</v>
      </c>
      <c r="BU1" s="172" t="s">
        <v>98</v>
      </c>
      <c r="BV1" s="172" t="s">
        <v>99</v>
      </c>
      <c r="BW1" s="172" t="s">
        <v>105</v>
      </c>
      <c r="BX1" s="285">
        <v>0</v>
      </c>
      <c r="BY1" s="285">
        <v>0.1</v>
      </c>
      <c r="BZ1" s="285">
        <v>0.2</v>
      </c>
      <c r="CA1" s="285">
        <v>0.3</v>
      </c>
      <c r="CB1" s="285">
        <v>0.4</v>
      </c>
      <c r="CC1" s="285">
        <v>0.5</v>
      </c>
      <c r="CD1" s="285">
        <v>0.6</v>
      </c>
      <c r="CE1" s="285">
        <v>0.7</v>
      </c>
      <c r="CF1" s="285">
        <v>0.8</v>
      </c>
      <c r="CG1" s="285">
        <v>0.9</v>
      </c>
      <c r="CH1" s="285">
        <v>1</v>
      </c>
      <c r="CI1" s="285"/>
      <c r="CJ1" s="285"/>
      <c r="CK1" s="285" t="s">
        <v>108</v>
      </c>
      <c r="CM1" s="172" t="s">
        <v>106</v>
      </c>
      <c r="CN1" s="285">
        <v>0</v>
      </c>
      <c r="CO1" s="285">
        <v>0.1</v>
      </c>
      <c r="CP1" s="285">
        <v>0.2</v>
      </c>
      <c r="CQ1" s="285">
        <v>0.3</v>
      </c>
      <c r="CR1" s="285">
        <v>0.4</v>
      </c>
      <c r="CS1" s="285">
        <v>0.5</v>
      </c>
      <c r="CT1" s="285">
        <v>0.6</v>
      </c>
      <c r="CU1" s="285">
        <v>0.7</v>
      </c>
      <c r="CV1" s="285">
        <v>0.8</v>
      </c>
      <c r="CW1" s="285">
        <v>0.9</v>
      </c>
      <c r="CX1" s="285">
        <v>1</v>
      </c>
      <c r="CY1" s="285">
        <v>1</v>
      </c>
      <c r="CZ1" s="285">
        <v>0</v>
      </c>
      <c r="DA1" s="285">
        <v>0</v>
      </c>
      <c r="DB1" s="172" t="s">
        <v>107</v>
      </c>
      <c r="DC1" s="172" t="s">
        <v>108</v>
      </c>
      <c r="DD1" s="172" t="s">
        <v>108</v>
      </c>
      <c r="DF1" s="172" t="s">
        <v>113</v>
      </c>
      <c r="DG1" s="285">
        <v>0</v>
      </c>
      <c r="DH1" s="285">
        <v>0.1</v>
      </c>
      <c r="DI1" s="285">
        <v>0.2</v>
      </c>
      <c r="DJ1" s="285">
        <v>0.3</v>
      </c>
      <c r="DK1" s="285">
        <v>0.4</v>
      </c>
      <c r="DL1" s="285">
        <v>0.5</v>
      </c>
      <c r="DM1" s="285">
        <v>0.6</v>
      </c>
      <c r="DN1" s="285">
        <v>0.7</v>
      </c>
      <c r="DO1" s="285">
        <v>0.8</v>
      </c>
      <c r="DP1" s="285">
        <v>0.9</v>
      </c>
      <c r="DQ1" s="285">
        <v>1</v>
      </c>
      <c r="DR1" s="285">
        <v>1</v>
      </c>
      <c r="DS1" s="285">
        <v>0</v>
      </c>
      <c r="DT1" s="285">
        <v>0</v>
      </c>
      <c r="DU1" s="172" t="s">
        <v>107</v>
      </c>
      <c r="DV1" s="172" t="s">
        <v>108</v>
      </c>
      <c r="DW1" s="172" t="s">
        <v>108</v>
      </c>
      <c r="DY1" s="172" t="s">
        <v>114</v>
      </c>
      <c r="DZ1" s="285">
        <v>0</v>
      </c>
      <c r="EA1" s="285">
        <v>0.1</v>
      </c>
      <c r="EB1" s="285">
        <v>0.2</v>
      </c>
      <c r="EC1" s="285">
        <v>0.3</v>
      </c>
      <c r="ED1" s="285">
        <v>0.4</v>
      </c>
      <c r="EE1" s="285">
        <v>0.5</v>
      </c>
      <c r="EF1" s="285">
        <v>0.6</v>
      </c>
      <c r="EG1" s="285">
        <v>0.7</v>
      </c>
      <c r="EH1" s="285">
        <v>0.8</v>
      </c>
      <c r="EI1" s="285">
        <v>0.9</v>
      </c>
      <c r="EJ1" s="285">
        <v>1</v>
      </c>
      <c r="EK1" s="285">
        <v>1</v>
      </c>
      <c r="EL1" s="285">
        <v>0</v>
      </c>
      <c r="EM1" s="285">
        <v>0</v>
      </c>
      <c r="EN1" s="172" t="s">
        <v>107</v>
      </c>
      <c r="EO1" s="172" t="s">
        <v>108</v>
      </c>
      <c r="EP1" s="172" t="s">
        <v>108</v>
      </c>
    </row>
    <row r="2" spans="1:146" x14ac:dyDescent="0.2">
      <c r="A2" s="205">
        <f ca="1">IF(ISNUMBER(INDIRECT("System!C" &amp;(ROW(A2)+4)/6+1)),INDIRECT("System!B"&amp;(ROW(A2)+4)/6+1),"")</f>
        <v>1</v>
      </c>
      <c r="B2" s="206">
        <f ca="1">IF(ISNUMBER(A2),INDIRECT("System!" &amp; ADDRESS(A2 +1,COLUMN(System!E1))),0)</f>
        <v>10</v>
      </c>
      <c r="C2" s="206">
        <f ca="1">IF(ISNUMBER(A2),INDIRECT("System!" &amp; ADDRESS(A2 +1,COLUMN(System!F1))),0)</f>
        <v>1000</v>
      </c>
      <c r="D2" s="209">
        <f ca="1">IF(ISNUMBER(A2),INDIRECT("System!" &amp; ADDRESS(A2 +1,COLUMN(System!O1))),0)</f>
        <v>0.70710678118654757</v>
      </c>
      <c r="E2" s="208">
        <f ca="1">IF(ISNUMBER(A2),INDIRECT("System!" &amp; ADDRESS(A2 +1,COLUMN(System!G1))),"")</f>
        <v>0</v>
      </c>
      <c r="F2" s="208">
        <f ca="1">IF(ISNUMBER(A2),INDIRECT("System!" &amp; ADDRESS(A2 +1,COLUMN(System!H1))),"")</f>
        <v>0</v>
      </c>
      <c r="G2" s="261">
        <f ca="1">IF(ISNUMBER(A2),INDIRECT("System!" &amp; ADDRESS(A2 +1,COLUMN(System!I1))),"")</f>
        <v>1</v>
      </c>
      <c r="H2" s="207">
        <f ca="1">IF(ISNUMBER($A2),INDIRECT("System!" &amp; ADDRESS($A2 +1,COLUMN(System!Q1))),0)</f>
        <v>0.70710678118654746</v>
      </c>
      <c r="I2" s="209">
        <f ca="1">IF(ISNUMBER($A2),INDIRECT("System!" &amp; ADDRESS($A2 +1,COLUMN(System!R1))),0)</f>
        <v>0.70710678118654746</v>
      </c>
      <c r="J2" s="179">
        <f ca="1">IF(ISNUMBER(A2),C2/D2,0)</f>
        <v>1414.2135623730949</v>
      </c>
      <c r="K2" s="5">
        <v>0</v>
      </c>
      <c r="L2" s="6">
        <v>0</v>
      </c>
      <c r="M2" s="4">
        <f ca="1">-J2</f>
        <v>-1414.2135623730949</v>
      </c>
      <c r="N2" s="5">
        <v>0</v>
      </c>
      <c r="O2" s="6">
        <v>0</v>
      </c>
      <c r="P2" s="141">
        <f ca="1">I2</f>
        <v>0.70710678118654746</v>
      </c>
      <c r="Q2" s="142">
        <f ca="1">-H2</f>
        <v>-0.70710678118654746</v>
      </c>
      <c r="R2" s="142">
        <v>0</v>
      </c>
      <c r="S2" s="182">
        <v>0</v>
      </c>
      <c r="T2" s="182">
        <v>0</v>
      </c>
      <c r="U2" s="183">
        <v>0</v>
      </c>
      <c r="V2" s="186">
        <f t="array" aca="1" ref="V2:AA7" ca="1">MMULT(TRANSPOSE(P2:U7),MMULT(J2:O7,P2:U7))</f>
        <v>876.81240867131862</v>
      </c>
      <c r="W2" s="2">
        <f ca="1"/>
        <v>-537.40115370177602</v>
      </c>
      <c r="X2" s="168">
        <f ca="1"/>
        <v>-84.852813742385678</v>
      </c>
      <c r="Y2" s="167">
        <f ca="1"/>
        <v>-876.81240867131862</v>
      </c>
      <c r="Z2" s="2">
        <f ca="1"/>
        <v>537.40115370177602</v>
      </c>
      <c r="AA2" s="25">
        <f ca="1"/>
        <v>-84.852813742385678</v>
      </c>
      <c r="AB2" s="60">
        <f ca="1">IF(ISNUMBER($A2),INDIRECT("System!" &amp; ADDRESS(A2+1,COLUMN(System!S1))),0)</f>
        <v>0</v>
      </c>
      <c r="AC2" s="299">
        <f ca="1">IF(ISNUMBER(E2),E2*D2/2,0)</f>
        <v>0</v>
      </c>
      <c r="AD2" s="60">
        <f t="array" aca="1" ref="AD2:AD7" ca="1">MMULT(TRANSPOSE(P2:U7),AC2:AC7) - MMULT(V2:AA7,AB2:AB7)</f>
        <v>0</v>
      </c>
      <c r="AE2" s="4">
        <f t="shared" ref="AE2:BR2" ca="1" si="0">IF(ABS($B4)=AE$1,SIGN($B4),0)</f>
        <v>0</v>
      </c>
      <c r="AF2" s="5">
        <f t="shared" ca="1" si="0"/>
        <v>0</v>
      </c>
      <c r="AG2" s="5">
        <f t="shared" ca="1" si="0"/>
        <v>0</v>
      </c>
      <c r="AH2" s="5">
        <f t="shared" ca="1" si="0"/>
        <v>0</v>
      </c>
      <c r="AI2" s="5">
        <f t="shared" ca="1" si="0"/>
        <v>0</v>
      </c>
      <c r="AJ2" s="189">
        <f t="shared" ca="1" si="0"/>
        <v>0</v>
      </c>
      <c r="AK2" s="189">
        <f t="shared" ca="1" si="0"/>
        <v>0</v>
      </c>
      <c r="AL2" s="189">
        <f t="shared" ca="1" si="0"/>
        <v>0</v>
      </c>
      <c r="AM2" s="189">
        <f t="shared" ca="1" si="0"/>
        <v>0</v>
      </c>
      <c r="AN2" s="189">
        <f t="shared" ca="1" si="0"/>
        <v>0</v>
      </c>
      <c r="AO2" s="189">
        <f t="shared" ca="1" si="0"/>
        <v>0</v>
      </c>
      <c r="AP2" s="189">
        <f t="shared" ca="1" si="0"/>
        <v>0</v>
      </c>
      <c r="AQ2" s="189">
        <f t="shared" ca="1" si="0"/>
        <v>0</v>
      </c>
      <c r="AR2" s="189">
        <f t="shared" ca="1" si="0"/>
        <v>0</v>
      </c>
      <c r="AS2" s="189">
        <f t="shared" ca="1" si="0"/>
        <v>0</v>
      </c>
      <c r="AT2" s="189">
        <f t="shared" ca="1" si="0"/>
        <v>0</v>
      </c>
      <c r="AU2" s="189">
        <f t="shared" ca="1" si="0"/>
        <v>0</v>
      </c>
      <c r="AV2" s="189">
        <f t="shared" ca="1" si="0"/>
        <v>0</v>
      </c>
      <c r="AW2" s="189">
        <f t="shared" ca="1" si="0"/>
        <v>0</v>
      </c>
      <c r="AX2" s="189">
        <f t="shared" ca="1" si="0"/>
        <v>0</v>
      </c>
      <c r="AY2" s="189">
        <f t="shared" ca="1" si="0"/>
        <v>0</v>
      </c>
      <c r="AZ2" s="189">
        <f t="shared" ca="1" si="0"/>
        <v>0</v>
      </c>
      <c r="BA2" s="189">
        <f t="shared" ca="1" si="0"/>
        <v>0</v>
      </c>
      <c r="BB2" s="189">
        <f t="shared" ca="1" si="0"/>
        <v>0</v>
      </c>
      <c r="BC2" s="189">
        <f t="shared" ca="1" si="0"/>
        <v>0</v>
      </c>
      <c r="BD2" s="189">
        <f t="shared" ca="1" si="0"/>
        <v>0</v>
      </c>
      <c r="BE2" s="189">
        <f t="shared" ca="1" si="0"/>
        <v>0</v>
      </c>
      <c r="BF2" s="189">
        <f t="shared" ca="1" si="0"/>
        <v>0</v>
      </c>
      <c r="BG2" s="189">
        <f t="shared" ca="1" si="0"/>
        <v>0</v>
      </c>
      <c r="BH2" s="189">
        <f t="shared" ca="1" si="0"/>
        <v>0</v>
      </c>
      <c r="BI2" s="189">
        <f t="shared" ca="1" si="0"/>
        <v>0</v>
      </c>
      <c r="BJ2" s="189">
        <f t="shared" ca="1" si="0"/>
        <v>0</v>
      </c>
      <c r="BK2" s="189">
        <f t="shared" ca="1" si="0"/>
        <v>0</v>
      </c>
      <c r="BL2" s="189">
        <f t="shared" ca="1" si="0"/>
        <v>0</v>
      </c>
      <c r="BM2" s="189">
        <f t="shared" ca="1" si="0"/>
        <v>0</v>
      </c>
      <c r="BN2" s="189">
        <f t="shared" ca="1" si="0"/>
        <v>0</v>
      </c>
      <c r="BO2" s="189">
        <f t="shared" ca="1" si="0"/>
        <v>0</v>
      </c>
      <c r="BP2" s="189">
        <f t="shared" ca="1" si="0"/>
        <v>0</v>
      </c>
      <c r="BQ2" s="189">
        <f t="shared" ca="1" si="0"/>
        <v>0</v>
      </c>
      <c r="BR2" s="189">
        <f t="shared" ca="1" si="0"/>
        <v>0</v>
      </c>
      <c r="BS2" s="281">
        <f ca="1">IF(ISNUMBER($A2),IF(INDEX(B4:G4,1)&lt;&gt;0,SIGN(INDEX(B4:G4,1))*INDIRECT(ADDRESS(1+ABS(INDEX(B4:G4,1)),COLUMN(Ksys!$B$1),1,TRUE,"Ksys")),0)+AB2,0)</f>
        <v>0</v>
      </c>
      <c r="BT2" s="27">
        <f t="array" aca="1" ref="BT2:BT7" ca="1">MMULT(P2:U7,BS2:BS7)</f>
        <v>0</v>
      </c>
      <c r="BU2" s="27">
        <f t="array" aca="1" ref="BU2:BU7" ca="1">MMULT(J2:O7,BT2:BT7)-AC2:AC7</f>
        <v>1.2609681847853713</v>
      </c>
      <c r="BV2" s="27">
        <f t="array" aca="1" ref="BV2:BV4" ca="1">-(MMULT(J2:O4,BT2:BT7)-AC2:AC4)</f>
        <v>-1.2609681847853713</v>
      </c>
      <c r="BW2" s="290" t="s">
        <v>97</v>
      </c>
      <c r="BX2" s="4">
        <f t="shared" ref="BX2:CH2" ca="1" si="1">IF(ISNUMBER($A2),$BT2*(1-BX$1) + $BT5*BX$1,0)</f>
        <v>0</v>
      </c>
      <c r="BY2" s="5">
        <f t="shared" ca="1" si="1"/>
        <v>-8.9163915432222769E-5</v>
      </c>
      <c r="BZ2" s="5">
        <f t="shared" ca="1" si="1"/>
        <v>-1.7832783086444554E-4</v>
      </c>
      <c r="CA2" s="5">
        <f t="shared" ca="1" si="1"/>
        <v>-2.6749174629666831E-4</v>
      </c>
      <c r="CB2" s="5">
        <f t="shared" ca="1" si="1"/>
        <v>-3.5665566172889108E-4</v>
      </c>
      <c r="CC2" s="5">
        <f t="shared" ca="1" si="1"/>
        <v>-4.4581957716111385E-4</v>
      </c>
      <c r="CD2" s="5">
        <f t="shared" ca="1" si="1"/>
        <v>-5.3498349259333661E-4</v>
      </c>
      <c r="CE2" s="5">
        <f t="shared" ca="1" si="1"/>
        <v>-6.2414740802555933E-4</v>
      </c>
      <c r="CF2" s="5">
        <f t="shared" ca="1" si="1"/>
        <v>-7.1331132345778215E-4</v>
      </c>
      <c r="CG2" s="5">
        <f t="shared" ca="1" si="1"/>
        <v>-8.0247523889000498E-4</v>
      </c>
      <c r="CH2" s="189">
        <f t="shared" ca="1" si="1"/>
        <v>-8.9163915432222769E-4</v>
      </c>
      <c r="CI2" s="343"/>
      <c r="CJ2" s="343"/>
      <c r="CK2" s="308"/>
      <c r="CL2" s="12"/>
      <c r="CM2" s="290" t="s">
        <v>97</v>
      </c>
      <c r="CN2" s="4">
        <v>0</v>
      </c>
      <c r="CO2" s="5">
        <v>0</v>
      </c>
      <c r="CP2" s="5">
        <v>0</v>
      </c>
      <c r="CQ2" s="5">
        <v>0</v>
      </c>
      <c r="CR2" s="5">
        <v>0</v>
      </c>
      <c r="CS2" s="5">
        <v>0</v>
      </c>
      <c r="CT2" s="5">
        <v>0</v>
      </c>
      <c r="CU2" s="5">
        <v>0</v>
      </c>
      <c r="CV2" s="5">
        <v>0</v>
      </c>
      <c r="CW2" s="5">
        <v>0</v>
      </c>
      <c r="CX2" s="5">
        <v>0</v>
      </c>
      <c r="CY2" s="5"/>
      <c r="CZ2" s="5"/>
      <c r="DA2" s="189"/>
      <c r="DB2" s="307"/>
      <c r="DC2" s="308"/>
      <c r="DD2" s="343"/>
      <c r="DE2" s="12"/>
      <c r="DF2" s="290" t="s">
        <v>97</v>
      </c>
      <c r="DG2" s="4">
        <v>0</v>
      </c>
      <c r="DH2" s="5">
        <v>0</v>
      </c>
      <c r="DI2" s="5">
        <v>0</v>
      </c>
      <c r="DJ2" s="5">
        <v>0</v>
      </c>
      <c r="DK2" s="5">
        <v>0</v>
      </c>
      <c r="DL2" s="5">
        <v>0</v>
      </c>
      <c r="DM2" s="5">
        <v>0</v>
      </c>
      <c r="DN2" s="5">
        <v>0</v>
      </c>
      <c r="DO2" s="5">
        <v>0</v>
      </c>
      <c r="DP2" s="5">
        <v>0</v>
      </c>
      <c r="DQ2" s="5">
        <v>0</v>
      </c>
      <c r="DR2" s="5"/>
      <c r="DS2" s="5"/>
      <c r="DT2" s="6"/>
      <c r="DU2" s="325"/>
      <c r="DV2" s="325"/>
      <c r="DW2" s="343"/>
      <c r="DX2" s="12"/>
      <c r="DY2" s="290" t="s">
        <v>97</v>
      </c>
      <c r="DZ2" s="4">
        <v>0</v>
      </c>
      <c r="EA2" s="5">
        <v>0</v>
      </c>
      <c r="EB2" s="5">
        <v>0</v>
      </c>
      <c r="EC2" s="5">
        <v>0</v>
      </c>
      <c r="ED2" s="5">
        <v>0</v>
      </c>
      <c r="EE2" s="5">
        <v>0</v>
      </c>
      <c r="EF2" s="5">
        <v>0</v>
      </c>
      <c r="EG2" s="5">
        <v>0</v>
      </c>
      <c r="EH2" s="5">
        <v>0</v>
      </c>
      <c r="EI2" s="5">
        <v>0</v>
      </c>
      <c r="EJ2" s="5">
        <v>0</v>
      </c>
      <c r="EK2" s="5"/>
      <c r="EL2" s="5"/>
      <c r="EM2" s="6"/>
      <c r="EN2" s="307"/>
      <c r="EO2" s="325"/>
      <c r="EP2" s="343"/>
    </row>
    <row r="3" spans="1:146" x14ac:dyDescent="0.2">
      <c r="B3" s="1">
        <f ca="1">IF(ISNUMBER($A2),INDIRECT(ADDRESS($A2+1,COLUMN(System!K$2),1,TRUE,"System")),0)</f>
        <v>0</v>
      </c>
      <c r="C3" s="1">
        <f ca="1">IF(ISNUMBER($A2),INDIRECT(ADDRESS($A2+1,COLUMN(System!L$2),1,TRUE,"System")),0)</f>
        <v>0.5</v>
      </c>
      <c r="D3" s="1">
        <f ca="1">IF(ISNUMBER($A2),INDIRECT(ADDRESS($A2+1,COLUMN(System!M$2),1,TRUE,"System")),0)</f>
        <v>0.75</v>
      </c>
      <c r="E3" s="1">
        <f ca="1">IF(ISNUMBER($A2),INDIRECT(ADDRESS($A2+1,COLUMN(System!N$2),1,TRUE,"System")),0)</f>
        <v>0.25</v>
      </c>
      <c r="F3" s="12"/>
      <c r="J3" s="7">
        <v>0</v>
      </c>
      <c r="K3" s="180">
        <f ca="1">IF(G2=1,12*B2/D2^3,IF(G2="2a",3*B2/D2^3,IF(G2="2b",3*B2/D2^3,0)))</f>
        <v>339.41125496954271</v>
      </c>
      <c r="L3" s="8">
        <f ca="1">K4</f>
        <v>-119.99999999999997</v>
      </c>
      <c r="M3" s="7">
        <v>0</v>
      </c>
      <c r="N3" s="1">
        <f ca="1">-K3</f>
        <v>-339.41125496954271</v>
      </c>
      <c r="O3" s="8">
        <f ca="1">K7</f>
        <v>-119.99999999999997</v>
      </c>
      <c r="P3" s="143">
        <f ca="1">H2</f>
        <v>0.70710678118654746</v>
      </c>
      <c r="Q3" s="99">
        <f ca="1">I2</f>
        <v>0.70710678118654746</v>
      </c>
      <c r="R3" s="99">
        <v>0</v>
      </c>
      <c r="S3" s="101">
        <v>0</v>
      </c>
      <c r="T3" s="101">
        <v>0</v>
      </c>
      <c r="U3" s="110">
        <v>0</v>
      </c>
      <c r="V3" s="7">
        <f ca="1"/>
        <v>-537.40115370177602</v>
      </c>
      <c r="W3" s="180">
        <f ca="1"/>
        <v>876.81240867131862</v>
      </c>
      <c r="X3" s="8">
        <f ca="1"/>
        <v>-84.852813742385678</v>
      </c>
      <c r="Y3" s="7">
        <f ca="1"/>
        <v>537.40115370177602</v>
      </c>
      <c r="Z3" s="1">
        <f ca="1"/>
        <v>-876.81240867131862</v>
      </c>
      <c r="AA3" s="26">
        <f ca="1"/>
        <v>-84.852813742385678</v>
      </c>
      <c r="AB3" s="61">
        <f ca="1">IF(ISNUMBER($A2),INDIRECT("System!" &amp; ADDRESS(A2+1,COLUMN(System!T1))),0)</f>
        <v>0</v>
      </c>
      <c r="AC3" s="301">
        <f ca="1">IF(G2=1,F2*D2/2,IF(G2="2a",F2*3/8*D2,IF(G2="2b",F2*5/8*D2,0)))</f>
        <v>0</v>
      </c>
      <c r="AD3" s="61">
        <f ca="1"/>
        <v>0</v>
      </c>
      <c r="AE3" s="7">
        <f t="shared" ref="AE3:BR3" ca="1" si="2">IF(ABS($C4)=AE$1,SIGN($C4),0)</f>
        <v>0</v>
      </c>
      <c r="AF3" s="1">
        <f t="shared" ca="1" si="2"/>
        <v>0</v>
      </c>
      <c r="AG3" s="1">
        <f t="shared" ca="1" si="2"/>
        <v>0</v>
      </c>
      <c r="AH3" s="1">
        <f t="shared" ca="1" si="2"/>
        <v>0</v>
      </c>
      <c r="AI3" s="1">
        <f t="shared" ca="1" si="2"/>
        <v>0</v>
      </c>
      <c r="AJ3" s="26">
        <f t="shared" ca="1" si="2"/>
        <v>0</v>
      </c>
      <c r="AK3" s="26">
        <f t="shared" ca="1" si="2"/>
        <v>0</v>
      </c>
      <c r="AL3" s="26">
        <f t="shared" ca="1" si="2"/>
        <v>0</v>
      </c>
      <c r="AM3" s="26">
        <f t="shared" ca="1" si="2"/>
        <v>0</v>
      </c>
      <c r="AN3" s="26">
        <f t="shared" ca="1" si="2"/>
        <v>0</v>
      </c>
      <c r="AO3" s="26">
        <f t="shared" ca="1" si="2"/>
        <v>0</v>
      </c>
      <c r="AP3" s="26">
        <f t="shared" ca="1" si="2"/>
        <v>0</v>
      </c>
      <c r="AQ3" s="26">
        <f t="shared" ca="1" si="2"/>
        <v>0</v>
      </c>
      <c r="AR3" s="26">
        <f t="shared" ca="1" si="2"/>
        <v>0</v>
      </c>
      <c r="AS3" s="26">
        <f t="shared" ca="1" si="2"/>
        <v>0</v>
      </c>
      <c r="AT3" s="26">
        <f t="shared" ca="1" si="2"/>
        <v>0</v>
      </c>
      <c r="AU3" s="26">
        <f t="shared" ca="1" si="2"/>
        <v>0</v>
      </c>
      <c r="AV3" s="26">
        <f t="shared" ca="1" si="2"/>
        <v>0</v>
      </c>
      <c r="AW3" s="26">
        <f t="shared" ca="1" si="2"/>
        <v>0</v>
      </c>
      <c r="AX3" s="26">
        <f t="shared" ca="1" si="2"/>
        <v>0</v>
      </c>
      <c r="AY3" s="26">
        <f t="shared" ca="1" si="2"/>
        <v>0</v>
      </c>
      <c r="AZ3" s="26">
        <f t="shared" ca="1" si="2"/>
        <v>0</v>
      </c>
      <c r="BA3" s="26">
        <f t="shared" ca="1" si="2"/>
        <v>0</v>
      </c>
      <c r="BB3" s="26">
        <f t="shared" ca="1" si="2"/>
        <v>0</v>
      </c>
      <c r="BC3" s="26">
        <f t="shared" ca="1" si="2"/>
        <v>0</v>
      </c>
      <c r="BD3" s="26">
        <f t="shared" ca="1" si="2"/>
        <v>0</v>
      </c>
      <c r="BE3" s="26">
        <f t="shared" ca="1" si="2"/>
        <v>0</v>
      </c>
      <c r="BF3" s="26">
        <f t="shared" ca="1" si="2"/>
        <v>0</v>
      </c>
      <c r="BG3" s="26">
        <f t="shared" ca="1" si="2"/>
        <v>0</v>
      </c>
      <c r="BH3" s="26">
        <f t="shared" ca="1" si="2"/>
        <v>0</v>
      </c>
      <c r="BI3" s="26">
        <f t="shared" ca="1" si="2"/>
        <v>0</v>
      </c>
      <c r="BJ3" s="26">
        <f t="shared" ca="1" si="2"/>
        <v>0</v>
      </c>
      <c r="BK3" s="26">
        <f t="shared" ca="1" si="2"/>
        <v>0</v>
      </c>
      <c r="BL3" s="26">
        <f t="shared" ca="1" si="2"/>
        <v>0</v>
      </c>
      <c r="BM3" s="26">
        <f t="shared" ca="1" si="2"/>
        <v>0</v>
      </c>
      <c r="BN3" s="26">
        <f t="shared" ca="1" si="2"/>
        <v>0</v>
      </c>
      <c r="BO3" s="26">
        <f t="shared" ca="1" si="2"/>
        <v>0</v>
      </c>
      <c r="BP3" s="26">
        <f t="shared" ca="1" si="2"/>
        <v>0</v>
      </c>
      <c r="BQ3" s="26">
        <f t="shared" ca="1" si="2"/>
        <v>0</v>
      </c>
      <c r="BR3" s="26">
        <f t="shared" ca="1" si="2"/>
        <v>0</v>
      </c>
      <c r="BS3" s="282">
        <f ca="1">IF(ISNUMBER($A2),IF(INDEX(B4:G4,2)&lt;&gt;0,SIGN(INDEX(B4:G4,2))*INDIRECT(ADDRESS(1+ABS(INDEX(B4:G4,2)),COLUMN(Ksys!$B$1),1,TRUE,"Ksys")),0)+AB3,0)</f>
        <v>0</v>
      </c>
      <c r="BT3" s="284">
        <f ca="1"/>
        <v>0</v>
      </c>
      <c r="BU3" s="284">
        <f ca="1"/>
        <v>-0.16893292272699931</v>
      </c>
      <c r="BV3" s="284">
        <f ca="1"/>
        <v>0.16893292272699931</v>
      </c>
      <c r="BW3" s="291" t="s">
        <v>100</v>
      </c>
      <c r="BX3" s="272">
        <f t="shared" ref="BX3:CH3" ca="1" si="3" xml:space="preserve">  IF(ISNUMBER($A2),$BT3*(1-BX$1) + $BT6*BX$1 + ((1-BX$1)-(1-BX$1)^3)*$D2^2/6*$BV4/$B2 + (BX$1-(BX$1)^3)*$D2^2/6*$BV7/$B2 + (BX$1-2*(BX$1)^3+(BX$1)^4)*$D2^2/3*$F2*$D2^2/8/$B2,0)</f>
        <v>0</v>
      </c>
      <c r="BY3" s="173">
        <f t="shared" ca="1" si="3"/>
        <v>2.4231491109652864E-4</v>
      </c>
      <c r="BZ3" s="173">
        <f t="shared" ca="1" si="3"/>
        <v>4.7865714143176111E-4</v>
      </c>
      <c r="CA3" s="173">
        <f t="shared" ca="1" si="3"/>
        <v>7.0305401024440108E-4</v>
      </c>
      <c r="CB3" s="173">
        <f t="shared" ca="1" si="3"/>
        <v>9.0953283677315284E-4</v>
      </c>
      <c r="CC3" s="173">
        <f t="shared" ca="1" si="3"/>
        <v>1.0921209402567195E-3</v>
      </c>
      <c r="CD3" s="173">
        <f t="shared" ca="1" si="3"/>
        <v>1.244845639933805E-3</v>
      </c>
      <c r="CE3" s="173">
        <f t="shared" ca="1" si="3"/>
        <v>1.3617342550431137E-3</v>
      </c>
      <c r="CF3" s="173">
        <f t="shared" ca="1" si="3"/>
        <v>1.4368141048233486E-3</v>
      </c>
      <c r="CG3" s="173">
        <f t="shared" ca="1" si="3"/>
        <v>1.464112508513214E-3</v>
      </c>
      <c r="CH3" s="342">
        <f t="shared" ca="1" si="3"/>
        <v>1.4376567853514135E-3</v>
      </c>
      <c r="CI3" s="344"/>
      <c r="CJ3" s="344"/>
      <c r="CK3" s="312"/>
      <c r="CL3" s="12"/>
      <c r="CM3" s="291" t="s">
        <v>100</v>
      </c>
      <c r="CN3" s="7">
        <f t="shared" ref="CN3:CX3" ca="1" si="4" xml:space="preserve">  IF(ISNUMBER($A2),$BV4*(1-CN$1) + $BV7*CN$1  + CN$1*(1-CN$1)*$F2*$D2^2/2,0)</f>
        <v>-1.1796119636642288E-16</v>
      </c>
      <c r="CO3" s="1">
        <f t="shared" ca="1" si="4"/>
        <v>1.194536152259231E-2</v>
      </c>
      <c r="CP3" s="1">
        <f t="shared" ca="1" si="4"/>
        <v>2.3890723045184737E-2</v>
      </c>
      <c r="CQ3" s="1">
        <f t="shared" ca="1" si="4"/>
        <v>3.5836084567777156E-2</v>
      </c>
      <c r="CR3" s="1">
        <f t="shared" ca="1" si="4"/>
        <v>4.7781446090369592E-2</v>
      </c>
      <c r="CS3" s="1">
        <f t="shared" ca="1" si="4"/>
        <v>5.9726807612962007E-2</v>
      </c>
      <c r="CT3" s="1">
        <f t="shared" ca="1" si="4"/>
        <v>7.1672169135554437E-2</v>
      </c>
      <c r="CU3" s="1">
        <f t="shared" ca="1" si="4"/>
        <v>8.3617530658146852E-2</v>
      </c>
      <c r="CV3" s="1">
        <f t="shared" ca="1" si="4"/>
        <v>9.5562892180739295E-2</v>
      </c>
      <c r="CW3" s="1">
        <f t="shared" ca="1" si="4"/>
        <v>0.10750825370333171</v>
      </c>
      <c r="CX3" s="1">
        <f t="shared" ca="1" si="4"/>
        <v>0.11945361522592414</v>
      </c>
      <c r="CY3" s="1"/>
      <c r="CZ3" s="1"/>
      <c r="DA3" s="26"/>
      <c r="DB3" s="309"/>
      <c r="DC3" s="310"/>
      <c r="DD3" s="345"/>
      <c r="DE3" s="12"/>
      <c r="DF3" s="291" t="s">
        <v>100</v>
      </c>
      <c r="DG3" s="7">
        <f t="shared" ref="DG3:DQ3" ca="1" si="5" xml:space="preserve">  IF(ISNUMBER($A2),$BV3*(1-DG$1) + $BV6*DG$1,0)</f>
        <v>0.16893292272699931</v>
      </c>
      <c r="DH3" s="1">
        <f t="shared" ca="1" si="5"/>
        <v>0.16893292272699931</v>
      </c>
      <c r="DI3" s="1">
        <f t="shared" ca="1" si="5"/>
        <v>0.16893292272699933</v>
      </c>
      <c r="DJ3" s="1">
        <f t="shared" ca="1" si="5"/>
        <v>0.16893292272699931</v>
      </c>
      <c r="DK3" s="1">
        <f t="shared" ca="1" si="5"/>
        <v>0.16893292272699931</v>
      </c>
      <c r="DL3" s="1">
        <f t="shared" ca="1" si="5"/>
        <v>0.16893292272699931</v>
      </c>
      <c r="DM3" s="1">
        <f t="shared" ca="1" si="5"/>
        <v>0.16893292272699931</v>
      </c>
      <c r="DN3" s="1">
        <f t="shared" ca="1" si="5"/>
        <v>0.16893292272699931</v>
      </c>
      <c r="DO3" s="1">
        <f t="shared" ca="1" si="5"/>
        <v>0.16893292272699931</v>
      </c>
      <c r="DP3" s="1">
        <f t="shared" ca="1" si="5"/>
        <v>0.16893292272699931</v>
      </c>
      <c r="DQ3" s="1">
        <f t="shared" ca="1" si="5"/>
        <v>0.16893292272699931</v>
      </c>
      <c r="DR3" s="1"/>
      <c r="DS3" s="1"/>
      <c r="DT3" s="8"/>
      <c r="DU3" s="12"/>
      <c r="DV3" s="12"/>
      <c r="DW3" s="345"/>
      <c r="DX3" s="12"/>
      <c r="DY3" s="291" t="s">
        <v>100</v>
      </c>
      <c r="DZ3" s="7">
        <f t="shared" ref="DZ3:EJ3" ca="1" si="6" xml:space="preserve">  IF(ISNUMBER($A2),$BV2*(1-DZ$1) + $BV5*DZ$1,0)</f>
        <v>-1.2609681847853713</v>
      </c>
      <c r="EA3" s="1">
        <f t="shared" ca="1" si="6"/>
        <v>-1.2609681847853713</v>
      </c>
      <c r="EB3" s="1">
        <f t="shared" ca="1" si="6"/>
        <v>-1.2609681847853713</v>
      </c>
      <c r="EC3" s="1">
        <f t="shared" ca="1" si="6"/>
        <v>-1.2609681847853713</v>
      </c>
      <c r="ED3" s="1">
        <f t="shared" ca="1" si="6"/>
        <v>-1.2609681847853713</v>
      </c>
      <c r="EE3" s="1">
        <f t="shared" ca="1" si="6"/>
        <v>-1.2609681847853713</v>
      </c>
      <c r="EF3" s="1">
        <f t="shared" ca="1" si="6"/>
        <v>-1.2609681847853713</v>
      </c>
      <c r="EG3" s="1">
        <f t="shared" ca="1" si="6"/>
        <v>-1.2609681847853713</v>
      </c>
      <c r="EH3" s="1">
        <f t="shared" ca="1" si="6"/>
        <v>-1.2609681847853711</v>
      </c>
      <c r="EI3" s="1">
        <f t="shared" ca="1" si="6"/>
        <v>-1.2609681847853713</v>
      </c>
      <c r="EJ3" s="1">
        <f t="shared" ca="1" si="6"/>
        <v>-1.2609681847853713</v>
      </c>
      <c r="EK3" s="1"/>
      <c r="EL3" s="1"/>
      <c r="EM3" s="8"/>
      <c r="EN3" s="309"/>
      <c r="EO3" s="12"/>
      <c r="EP3" s="345"/>
    </row>
    <row r="4" spans="1:146" ht="13.5" thickBot="1" x14ac:dyDescent="0.25">
      <c r="B4" s="1">
        <f ca="1">IF(ISNUMBER($A2),INDIRECT("System!" &amp; ADDRESS($A2 +1,COLUMN(System!Y1))),0)</f>
        <v>0</v>
      </c>
      <c r="C4" s="1">
        <f ca="1">IF(ISNUMBER($A2),INDIRECT("System!" &amp; ADDRESS($A2 +1,COLUMN(System!Z1))),0)</f>
        <v>0</v>
      </c>
      <c r="D4" s="1">
        <f ca="1">IF(ISNUMBER($A2),INDIRECT("System!" &amp; ADDRESS($A2 +1,COLUMN(System!AA1))),0)</f>
        <v>1</v>
      </c>
      <c r="E4" s="1">
        <f ca="1">IF(ISNUMBER($A2),INDIRECT("System!" &amp; ADDRESS($A2 +1,COLUMN(System!AB1))),0)</f>
        <v>2</v>
      </c>
      <c r="F4" s="1">
        <f ca="1">IF(ISNUMBER($A2),INDIRECT("System!" &amp; ADDRESS($A2 +1,COLUMN(System!AC1))),0)</f>
        <v>3</v>
      </c>
      <c r="G4" s="1">
        <f ca="1">IF(ISNUMBER($A2),INDIRECT("System!" &amp; ADDRESS($A2 +1,COLUMN(System!AD1))),0)</f>
        <v>4</v>
      </c>
      <c r="J4" s="9">
        <v>0</v>
      </c>
      <c r="K4" s="10">
        <f ca="1">IF(G2=1,-6*B2/D2^2,IF(G2="2a",0,IF(G2="2b",-3*B2/D2^2,0)))</f>
        <v>-119.99999999999997</v>
      </c>
      <c r="L4" s="181">
        <f ca="1">IF(G2=1,4*B2/D2,IF(G2="2a",0,IF(G2="2b",3*B2/D2,0)))</f>
        <v>56.568542494923797</v>
      </c>
      <c r="M4" s="9">
        <v>0</v>
      </c>
      <c r="N4" s="10">
        <f ca="1">L6</f>
        <v>119.99999999999997</v>
      </c>
      <c r="O4" s="146">
        <f ca="1">L7</f>
        <v>28.284271247461898</v>
      </c>
      <c r="P4" s="143">
        <v>0</v>
      </c>
      <c r="Q4" s="99">
        <v>0</v>
      </c>
      <c r="R4" s="99">
        <v>1</v>
      </c>
      <c r="S4" s="101">
        <v>0</v>
      </c>
      <c r="T4" s="101">
        <v>0</v>
      </c>
      <c r="U4" s="110">
        <v>0</v>
      </c>
      <c r="V4" s="9">
        <f ca="1"/>
        <v>-84.852813742385678</v>
      </c>
      <c r="W4" s="10">
        <f ca="1"/>
        <v>-84.852813742385678</v>
      </c>
      <c r="X4" s="181">
        <f ca="1"/>
        <v>56.568542494923797</v>
      </c>
      <c r="Y4" s="9">
        <f ca="1"/>
        <v>84.852813742385678</v>
      </c>
      <c r="Z4" s="10">
        <f ca="1"/>
        <v>84.852813742385678</v>
      </c>
      <c r="AA4" s="188">
        <f ca="1"/>
        <v>28.284271247461898</v>
      </c>
      <c r="AB4" s="61">
        <f ca="1">IF(ISNUMBER($A2),INDIRECT("System!" &amp; ADDRESS(A2+1,COLUMN(System!U1))),0)</f>
        <v>0</v>
      </c>
      <c r="AC4" s="301">
        <f ca="1">IF(G2=1,-F2*D2^2/12,IF(G2="2a",0,IF(G2="2b",-F2*D2^2/8,0)))</f>
        <v>0</v>
      </c>
      <c r="AD4" s="61">
        <f ca="1"/>
        <v>0</v>
      </c>
      <c r="AE4" s="7">
        <f t="shared" ref="AE4:BR4" ca="1" si="7">IF(ABS($D4)=AE$1,SIGN($D4),0)</f>
        <v>1</v>
      </c>
      <c r="AF4" s="1">
        <f t="shared" ca="1" si="7"/>
        <v>0</v>
      </c>
      <c r="AG4" s="1">
        <f t="shared" ca="1" si="7"/>
        <v>0</v>
      </c>
      <c r="AH4" s="1">
        <f t="shared" ca="1" si="7"/>
        <v>0</v>
      </c>
      <c r="AI4" s="1">
        <f t="shared" ca="1" si="7"/>
        <v>0</v>
      </c>
      <c r="AJ4" s="26">
        <f t="shared" ca="1" si="7"/>
        <v>0</v>
      </c>
      <c r="AK4" s="26">
        <f t="shared" ca="1" si="7"/>
        <v>0</v>
      </c>
      <c r="AL4" s="26">
        <f t="shared" ca="1" si="7"/>
        <v>0</v>
      </c>
      <c r="AM4" s="26">
        <f t="shared" ca="1" si="7"/>
        <v>0</v>
      </c>
      <c r="AN4" s="26">
        <f t="shared" ca="1" si="7"/>
        <v>0</v>
      </c>
      <c r="AO4" s="26">
        <f t="shared" ca="1" si="7"/>
        <v>0</v>
      </c>
      <c r="AP4" s="26">
        <f t="shared" ca="1" si="7"/>
        <v>0</v>
      </c>
      <c r="AQ4" s="26">
        <f t="shared" ca="1" si="7"/>
        <v>0</v>
      </c>
      <c r="AR4" s="26">
        <f t="shared" ca="1" si="7"/>
        <v>0</v>
      </c>
      <c r="AS4" s="26">
        <f t="shared" ca="1" si="7"/>
        <v>0</v>
      </c>
      <c r="AT4" s="26">
        <f t="shared" ca="1" si="7"/>
        <v>0</v>
      </c>
      <c r="AU4" s="26">
        <f t="shared" ca="1" si="7"/>
        <v>0</v>
      </c>
      <c r="AV4" s="26">
        <f t="shared" ca="1" si="7"/>
        <v>0</v>
      </c>
      <c r="AW4" s="26">
        <f t="shared" ca="1" si="7"/>
        <v>0</v>
      </c>
      <c r="AX4" s="26">
        <f t="shared" ca="1" si="7"/>
        <v>0</v>
      </c>
      <c r="AY4" s="26">
        <f t="shared" ca="1" si="7"/>
        <v>0</v>
      </c>
      <c r="AZ4" s="26">
        <f t="shared" ca="1" si="7"/>
        <v>0</v>
      </c>
      <c r="BA4" s="26">
        <f t="shared" ca="1" si="7"/>
        <v>0</v>
      </c>
      <c r="BB4" s="26">
        <f t="shared" ca="1" si="7"/>
        <v>0</v>
      </c>
      <c r="BC4" s="26">
        <f t="shared" ca="1" si="7"/>
        <v>0</v>
      </c>
      <c r="BD4" s="26">
        <f t="shared" ca="1" si="7"/>
        <v>0</v>
      </c>
      <c r="BE4" s="26">
        <f t="shared" ca="1" si="7"/>
        <v>0</v>
      </c>
      <c r="BF4" s="26">
        <f t="shared" ca="1" si="7"/>
        <v>0</v>
      </c>
      <c r="BG4" s="26">
        <f t="shared" ca="1" si="7"/>
        <v>0</v>
      </c>
      <c r="BH4" s="26">
        <f t="shared" ca="1" si="7"/>
        <v>0</v>
      </c>
      <c r="BI4" s="26">
        <f t="shared" ca="1" si="7"/>
        <v>0</v>
      </c>
      <c r="BJ4" s="26">
        <f t="shared" ca="1" si="7"/>
        <v>0</v>
      </c>
      <c r="BK4" s="26">
        <f t="shared" ca="1" si="7"/>
        <v>0</v>
      </c>
      <c r="BL4" s="26">
        <f t="shared" ca="1" si="7"/>
        <v>0</v>
      </c>
      <c r="BM4" s="26">
        <f t="shared" ca="1" si="7"/>
        <v>0</v>
      </c>
      <c r="BN4" s="26">
        <f t="shared" ca="1" si="7"/>
        <v>0</v>
      </c>
      <c r="BO4" s="26">
        <f t="shared" ca="1" si="7"/>
        <v>0</v>
      </c>
      <c r="BP4" s="26">
        <f t="shared" ca="1" si="7"/>
        <v>0</v>
      </c>
      <c r="BQ4" s="26">
        <f t="shared" ca="1" si="7"/>
        <v>0</v>
      </c>
      <c r="BR4" s="26">
        <f t="shared" ca="1" si="7"/>
        <v>0</v>
      </c>
      <c r="BS4" s="282">
        <f ca="1">IF(ISNUMBER($A2),IF(INDEX(B4:G4,3)&lt;&gt;0,SIGN(INDEX(B4:G4,3))*INDIRECT(ADDRESS(1+ABS(INDEX(B4:G4,3)),COLUMN(Ksys!$B$1),1,TRUE,"Ksys")),0)+AB4,0)</f>
        <v>-3.440928079939998E-3</v>
      </c>
      <c r="BT4" s="284">
        <f ca="1"/>
        <v>-3.440928079939998E-3</v>
      </c>
      <c r="BU4" s="284">
        <f ca="1"/>
        <v>1.1796119636642288E-16</v>
      </c>
      <c r="BV4" s="284">
        <f ca="1"/>
        <v>-1.1796119636642288E-16</v>
      </c>
      <c r="BW4" s="291" t="s">
        <v>96</v>
      </c>
      <c r="BX4" s="7">
        <f t="array" aca="1" ref="BX4:BX5" ca="1">IF(ISNUMBER($A2),MMULT(TRANSPOSE($P2:$Q3),BX2:BX3),0)</f>
        <v>0</v>
      </c>
      <c r="BY4" s="1">
        <f t="array" aca="1" ref="BY4:BY5" ca="1">IF(ISNUMBER($A2),MMULT(TRANSPOSE($P2:$Q3),BY2:BY3),0)</f>
        <v>1.0829410757970222E-4</v>
      </c>
      <c r="BZ4" s="1">
        <f t="array" aca="1" ref="BZ4:BZ5" ca="1">IF(ISNUMBER($A2),MMULT(TRANSPOSE($P2:$Q3),BZ2:BZ3),0)</f>
        <v>2.1236489209122949E-4</v>
      </c>
      <c r="CA4" s="1">
        <f t="array" aca="1" ref="CA4:CA5" ca="1">IF(ISNUMBER($A2),MMULT(TRANSPOSE($P2:$Q3),CA2:CA3),0)</f>
        <v>3.0798903046640668E-4</v>
      </c>
      <c r="CB4" s="1">
        <f t="array" aca="1" ref="CB4:CB5" ca="1">IF(ISNUMBER($A2),MMULT(TRANSPOSE($P2:$Q3),CB2:CB3),0)</f>
        <v>3.9094319963705931E-4</v>
      </c>
      <c r="CC4" s="1">
        <f t="array" aca="1" ref="CC4:CC5" ca="1">IF(ISNUMBER($A2),MMULT(TRANSPOSE($P2:$Q3),CC2:CC3),0)</f>
        <v>4.5700407653501184E-4</v>
      </c>
      <c r="CD4" s="1">
        <f t="array" aca="1" ref="CD4:CD5" ca="1">IF(ISNUMBER($A2),MMULT(TRANSPOSE($P2:$Q3),CD2:CD3),0)</f>
        <v>5.0194833809208926E-4</v>
      </c>
      <c r="CE4" s="1">
        <f t="array" aca="1" ref="CE4:CE5" ca="1">IF(ISNUMBER($A2),MMULT(TRANSPOSE($P2:$Q3),CE2:CE3),0)</f>
        <v>5.2155266124011735E-4</v>
      </c>
      <c r="CF4" s="1">
        <f t="array" aca="1" ref="CF4:CF5" ca="1">IF(ISNUMBER($A2),MMULT(TRANSPOSE($P2:$Q3),CF2:CF3),0)</f>
        <v>5.1159372291092E-4</v>
      </c>
      <c r="CG4" s="1">
        <f t="array" aca="1" ref="CG4:CG5" ca="1">IF(ISNUMBER($A2),MMULT(TRANSPOSE($P2:$Q3),CG2:CG3),0)</f>
        <v>4.6784820003632332E-4</v>
      </c>
      <c r="CH4" s="26">
        <f t="array" aca="1" ref="CH4:CH5" ca="1">IF(ISNUMBER($A2),MMULT(TRANSPOSE($P2:$Q3),CH2:CH3),0)</f>
        <v>3.8609276954815154E-4</v>
      </c>
      <c r="CI4" s="345"/>
      <c r="CJ4" s="345"/>
      <c r="CK4" s="444">
        <f ca="1">MAX(MAX(BX4:CH5),ABS(MIN(BX4:CH5)))</f>
        <v>1.6470609543335229E-3</v>
      </c>
      <c r="CL4" s="12"/>
      <c r="CM4" s="291" t="s">
        <v>96</v>
      </c>
      <c r="CN4" s="7">
        <f t="array" aca="1" ref="CN4:CN5" ca="1">IF(ISNUMBER($A2),MMULT(TRANSPOSE($P2:$Q3),CN2:CN3),0)</f>
        <v>-8.3411161867575546E-17</v>
      </c>
      <c r="CO4" s="1">
        <f t="array" aca="1" ref="CO4:CO5" ca="1">IF(ISNUMBER($A2),MMULT(TRANSPOSE($P2:$Q3),CO2:CO3),0)</f>
        <v>8.4466461363498831E-3</v>
      </c>
      <c r="CP4" s="1">
        <f t="array" aca="1" ref="CP4:CP5" ca="1">IF(ISNUMBER($A2),MMULT(TRANSPOSE($P2:$Q3),CP2:CP3),0)</f>
        <v>1.689329227269985E-2</v>
      </c>
      <c r="CQ4" s="1">
        <f t="array" aca="1" ref="CQ4:CQ5" ca="1">IF(ISNUMBER($A2),MMULT(TRANSPOSE($P2:$Q3),CQ2:CQ3),0)</f>
        <v>2.5339938409049811E-2</v>
      </c>
      <c r="CR4" s="1">
        <f t="array" aca="1" ref="CR4:CR5" ca="1">IF(ISNUMBER($A2),MMULT(TRANSPOSE($P2:$Q3),CR2:CR3),0)</f>
        <v>3.3786584545399782E-2</v>
      </c>
      <c r="CS4" s="1">
        <f t="array" aca="1" ref="CS4:CS5" ca="1">IF(ISNUMBER($A2),MMULT(TRANSPOSE($P2:$Q3),CS2:CS3),0)</f>
        <v>4.2233230681749744E-2</v>
      </c>
      <c r="CT4" s="1">
        <f t="array" aca="1" ref="CT4:CT5" ca="1">IF(ISNUMBER($A2),MMULT(TRANSPOSE($P2:$Q3),CT2:CT3),0)</f>
        <v>5.0679876818099712E-2</v>
      </c>
      <c r="CU4" s="1">
        <f t="array" aca="1" ref="CU4:CU5" ca="1">IF(ISNUMBER($A2),MMULT(TRANSPOSE($P2:$Q3),CU2:CU3),0)</f>
        <v>5.9126522954449673E-2</v>
      </c>
      <c r="CV4" s="1">
        <f t="array" aca="1" ref="CV4:CV5" ca="1">IF(ISNUMBER($A2),MMULT(TRANSPOSE($P2:$Q3),CV2:CV3),0)</f>
        <v>6.7573169090799648E-2</v>
      </c>
      <c r="CW4" s="1">
        <f t="array" aca="1" ref="CW4:CW5" ca="1">IF(ISNUMBER($A2),MMULT(TRANSPOSE($P2:$Q3),CW2:CW3),0)</f>
        <v>7.6019815227149609E-2</v>
      </c>
      <c r="CX4" s="1">
        <f t="array" aca="1" ref="CX4:CX5" ca="1">IF(ISNUMBER($A2),MMULT(TRANSPOSE($P2:$Q3),CX2:CX3),0)</f>
        <v>8.446646136349957E-2</v>
      </c>
      <c r="CY4" s="1"/>
      <c r="CZ4" s="1"/>
      <c r="DA4" s="26"/>
      <c r="DB4" s="309"/>
      <c r="DC4" s="310"/>
      <c r="DD4" s="345"/>
      <c r="DE4" s="12"/>
      <c r="DF4" s="291" t="s">
        <v>96</v>
      </c>
      <c r="DG4" s="7">
        <f t="array" aca="1" ref="DG4:DG5" ca="1">IF(ISNUMBER($A2),MMULT(TRANSPOSE($P2:$Q3),DG2:DG3),0)</f>
        <v>0.11945361522592424</v>
      </c>
      <c r="DH4" s="1">
        <f t="array" aca="1" ref="DH4:DH5" ca="1">IF(ISNUMBER($A2),MMULT(TRANSPOSE($P2:$Q3),DH2:DH3),0)</f>
        <v>0.11945361522592424</v>
      </c>
      <c r="DI4" s="1">
        <f t="array" aca="1" ref="DI4:DI5" ca="1">IF(ISNUMBER($A2),MMULT(TRANSPOSE($P2:$Q3),DI2:DI3),0)</f>
        <v>0.11945361522592425</v>
      </c>
      <c r="DJ4" s="1">
        <f t="array" aca="1" ref="DJ4:DJ5" ca="1">IF(ISNUMBER($A2),MMULT(TRANSPOSE($P2:$Q3),DJ2:DJ3),0)</f>
        <v>0.11945361522592424</v>
      </c>
      <c r="DK4" s="1">
        <f t="array" aca="1" ref="DK4:DK5" ca="1">IF(ISNUMBER($A2),MMULT(TRANSPOSE($P2:$Q3),DK2:DK3),0)</f>
        <v>0.11945361522592424</v>
      </c>
      <c r="DL4" s="1">
        <f t="array" aca="1" ref="DL4:DL5" ca="1">IF(ISNUMBER($A2),MMULT(TRANSPOSE($P2:$Q3),DL2:DL3),0)</f>
        <v>0.11945361522592424</v>
      </c>
      <c r="DM4" s="1">
        <f t="array" aca="1" ref="DM4:DM5" ca="1">IF(ISNUMBER($A2),MMULT(TRANSPOSE($P2:$Q3),DM2:DM3),0)</f>
        <v>0.11945361522592424</v>
      </c>
      <c r="DN4" s="1">
        <f t="array" aca="1" ref="DN4:DN5" ca="1">IF(ISNUMBER($A2),MMULT(TRANSPOSE($P2:$Q3),DN2:DN3),0)</f>
        <v>0.11945361522592424</v>
      </c>
      <c r="DO4" s="1">
        <f t="array" aca="1" ref="DO4:DO5" ca="1">IF(ISNUMBER($A2),MMULT(TRANSPOSE($P2:$Q3),DO2:DO3),0)</f>
        <v>0.11945361522592424</v>
      </c>
      <c r="DP4" s="1">
        <f t="array" aca="1" ref="DP4:DP5" ca="1">IF(ISNUMBER($A2),MMULT(TRANSPOSE($P2:$Q3),DP2:DP3),0)</f>
        <v>0.11945361522592424</v>
      </c>
      <c r="DQ4" s="1">
        <f t="array" aca="1" ref="DQ4:DQ5" ca="1">IF(ISNUMBER($A2),MMULT(TRANSPOSE($P2:$Q3),DQ2:DQ3),0)</f>
        <v>0.11945361522592424</v>
      </c>
      <c r="DR4" s="1"/>
      <c r="DS4" s="1"/>
      <c r="DT4" s="8"/>
      <c r="DU4" s="12"/>
      <c r="DV4" s="12"/>
      <c r="DW4" s="345"/>
      <c r="DX4" s="12"/>
      <c r="DY4" s="291" t="s">
        <v>96</v>
      </c>
      <c r="DZ4" s="7">
        <f t="array" aca="1" ref="DZ4:DZ5" ca="1">IF(ISNUMBER($A2),MMULT(TRANSPOSE($P2:$Q3),DZ2:DZ3),0)</f>
        <v>-0.89163915432222751</v>
      </c>
      <c r="EA4" s="1">
        <f t="array" aca="1" ref="EA4:EA5" ca="1">IF(ISNUMBER($A2),MMULT(TRANSPOSE($P2:$Q3),EA2:EA3),0)</f>
        <v>-0.89163915432222751</v>
      </c>
      <c r="EB4" s="1">
        <f t="array" aca="1" ref="EB4:EB5" ca="1">IF(ISNUMBER($A2),MMULT(TRANSPOSE($P2:$Q3),EB2:EB3),0)</f>
        <v>-0.89163915432222751</v>
      </c>
      <c r="EC4" s="1">
        <f t="array" aca="1" ref="EC4:EC5" ca="1">IF(ISNUMBER($A2),MMULT(TRANSPOSE($P2:$Q3),EC2:EC3),0)</f>
        <v>-0.89163915432222751</v>
      </c>
      <c r="ED4" s="1">
        <f t="array" aca="1" ref="ED4:ED5" ca="1">IF(ISNUMBER($A2),MMULT(TRANSPOSE($P2:$Q3),ED2:ED3),0)</f>
        <v>-0.89163915432222751</v>
      </c>
      <c r="EE4" s="1">
        <f t="array" aca="1" ref="EE4:EE5" ca="1">IF(ISNUMBER($A2),MMULT(TRANSPOSE($P2:$Q3),EE2:EE3),0)</f>
        <v>-0.89163915432222751</v>
      </c>
      <c r="EF4" s="1">
        <f t="array" aca="1" ref="EF4:EF5" ca="1">IF(ISNUMBER($A2),MMULT(TRANSPOSE($P2:$Q3),EF2:EF3),0)</f>
        <v>-0.89163915432222751</v>
      </c>
      <c r="EG4" s="1">
        <f t="array" aca="1" ref="EG4:EG5" ca="1">IF(ISNUMBER($A2),MMULT(TRANSPOSE($P2:$Q3),EG2:EG3),0)</f>
        <v>-0.89163915432222751</v>
      </c>
      <c r="EH4" s="1">
        <f t="array" aca="1" ref="EH4:EH5" ca="1">IF(ISNUMBER($A2),MMULT(TRANSPOSE($P2:$Q3),EH2:EH3),0)</f>
        <v>-0.89163915432222729</v>
      </c>
      <c r="EI4" s="1">
        <f t="array" aca="1" ref="EI4:EI5" ca="1">IF(ISNUMBER($A2),MMULT(TRANSPOSE($P2:$Q3),EI2:EI3),0)</f>
        <v>-0.89163915432222751</v>
      </c>
      <c r="EJ4" s="1">
        <f t="array" aca="1" ref="EJ4:EJ5" ca="1">IF(ISNUMBER($A2),MMULT(TRANSPOSE($P2:$Q3),EJ2:EJ3),0)</f>
        <v>-0.89163915432222751</v>
      </c>
      <c r="EK4" s="1"/>
      <c r="EL4" s="1"/>
      <c r="EM4" s="8"/>
      <c r="EN4" s="309"/>
      <c r="EO4" s="12"/>
      <c r="EP4" s="345"/>
    </row>
    <row r="5" spans="1:146" ht="13.5" thickBot="1" x14ac:dyDescent="0.25">
      <c r="E5" s="12"/>
      <c r="F5" s="12"/>
      <c r="J5" s="4">
        <f ca="1">-J2</f>
        <v>-1414.2135623730949</v>
      </c>
      <c r="K5" s="5">
        <v>0</v>
      </c>
      <c r="L5" s="6">
        <v>0</v>
      </c>
      <c r="M5" s="179">
        <f ca="1">J2</f>
        <v>1414.2135623730949</v>
      </c>
      <c r="N5" s="5">
        <v>0</v>
      </c>
      <c r="O5" s="6">
        <v>0</v>
      </c>
      <c r="P5" s="184">
        <v>0</v>
      </c>
      <c r="Q5" s="101">
        <v>0</v>
      </c>
      <c r="R5" s="101">
        <v>0</v>
      </c>
      <c r="S5" s="99">
        <f ca="1">I2</f>
        <v>0.70710678118654746</v>
      </c>
      <c r="T5" s="99">
        <f ca="1">-H2</f>
        <v>-0.70710678118654746</v>
      </c>
      <c r="U5" s="100">
        <v>0</v>
      </c>
      <c r="V5" s="4">
        <f ca="1"/>
        <v>-876.81240867131862</v>
      </c>
      <c r="W5" s="5">
        <f ca="1"/>
        <v>537.40115370177602</v>
      </c>
      <c r="X5" s="6">
        <f ca="1"/>
        <v>84.852813742385678</v>
      </c>
      <c r="Y5" s="179">
        <f ca="1"/>
        <v>876.81240867131862</v>
      </c>
      <c r="Z5" s="5">
        <f ca="1"/>
        <v>-537.40115370177602</v>
      </c>
      <c r="AA5" s="189">
        <f ca="1"/>
        <v>84.852813742385678</v>
      </c>
      <c r="AB5" s="61">
        <f ca="1">IF(ISNUMBER($A2),INDIRECT("System!" &amp; ADDRESS(A2+1,COLUMN(System!V1))),0)</f>
        <v>0</v>
      </c>
      <c r="AC5" s="301">
        <f ca="1">IF(ISNUMBER(E2),E2*D2/2,0)</f>
        <v>0</v>
      </c>
      <c r="AD5" s="61">
        <f ca="1"/>
        <v>0</v>
      </c>
      <c r="AE5" s="7">
        <f t="shared" ref="AE5:AJ5" ca="1" si="8">IF(ABS($E4)=AE$1,SIGN($E4),0)</f>
        <v>0</v>
      </c>
      <c r="AF5" s="1">
        <f t="shared" ca="1" si="8"/>
        <v>1</v>
      </c>
      <c r="AG5" s="1">
        <f t="shared" ca="1" si="8"/>
        <v>0</v>
      </c>
      <c r="AH5" s="1">
        <f t="shared" ca="1" si="8"/>
        <v>0</v>
      </c>
      <c r="AI5" s="1">
        <f t="shared" ca="1" si="8"/>
        <v>0</v>
      </c>
      <c r="AJ5" s="26">
        <f t="shared" ca="1" si="8"/>
        <v>0</v>
      </c>
      <c r="AK5" s="26">
        <f t="shared" ref="AK5:BR5" ca="1" si="9">IF(ABS($E4)=AK$1,SIGN($E4),0)</f>
        <v>0</v>
      </c>
      <c r="AL5" s="26">
        <f t="shared" ca="1" si="9"/>
        <v>0</v>
      </c>
      <c r="AM5" s="26">
        <f t="shared" ca="1" si="9"/>
        <v>0</v>
      </c>
      <c r="AN5" s="26">
        <f t="shared" ca="1" si="9"/>
        <v>0</v>
      </c>
      <c r="AO5" s="26">
        <f t="shared" ca="1" si="9"/>
        <v>0</v>
      </c>
      <c r="AP5" s="26">
        <f t="shared" ca="1" si="9"/>
        <v>0</v>
      </c>
      <c r="AQ5" s="26">
        <f t="shared" ca="1" si="9"/>
        <v>0</v>
      </c>
      <c r="AR5" s="26">
        <f t="shared" ca="1" si="9"/>
        <v>0</v>
      </c>
      <c r="AS5" s="26">
        <f t="shared" ca="1" si="9"/>
        <v>0</v>
      </c>
      <c r="AT5" s="26">
        <f t="shared" ca="1" si="9"/>
        <v>0</v>
      </c>
      <c r="AU5" s="26">
        <f t="shared" ca="1" si="9"/>
        <v>0</v>
      </c>
      <c r="AV5" s="26">
        <f t="shared" ca="1" si="9"/>
        <v>0</v>
      </c>
      <c r="AW5" s="26">
        <f t="shared" ca="1" si="9"/>
        <v>0</v>
      </c>
      <c r="AX5" s="26">
        <f t="shared" ca="1" si="9"/>
        <v>0</v>
      </c>
      <c r="AY5" s="26">
        <f t="shared" ca="1" si="9"/>
        <v>0</v>
      </c>
      <c r="AZ5" s="26">
        <f t="shared" ca="1" si="9"/>
        <v>0</v>
      </c>
      <c r="BA5" s="26">
        <f t="shared" ca="1" si="9"/>
        <v>0</v>
      </c>
      <c r="BB5" s="26">
        <f t="shared" ca="1" si="9"/>
        <v>0</v>
      </c>
      <c r="BC5" s="26">
        <f t="shared" ca="1" si="9"/>
        <v>0</v>
      </c>
      <c r="BD5" s="26">
        <f t="shared" ca="1" si="9"/>
        <v>0</v>
      </c>
      <c r="BE5" s="26">
        <f t="shared" ca="1" si="9"/>
        <v>0</v>
      </c>
      <c r="BF5" s="26">
        <f t="shared" ca="1" si="9"/>
        <v>0</v>
      </c>
      <c r="BG5" s="26">
        <f t="shared" ca="1" si="9"/>
        <v>0</v>
      </c>
      <c r="BH5" s="26">
        <f t="shared" ca="1" si="9"/>
        <v>0</v>
      </c>
      <c r="BI5" s="26">
        <f t="shared" ca="1" si="9"/>
        <v>0</v>
      </c>
      <c r="BJ5" s="26">
        <f t="shared" ca="1" si="9"/>
        <v>0</v>
      </c>
      <c r="BK5" s="26">
        <f t="shared" ca="1" si="9"/>
        <v>0</v>
      </c>
      <c r="BL5" s="26">
        <f t="shared" ca="1" si="9"/>
        <v>0</v>
      </c>
      <c r="BM5" s="26">
        <f t="shared" ca="1" si="9"/>
        <v>0</v>
      </c>
      <c r="BN5" s="26">
        <f t="shared" ca="1" si="9"/>
        <v>0</v>
      </c>
      <c r="BO5" s="26">
        <f t="shared" ca="1" si="9"/>
        <v>0</v>
      </c>
      <c r="BP5" s="26">
        <f t="shared" ca="1" si="9"/>
        <v>0</v>
      </c>
      <c r="BQ5" s="26">
        <f t="shared" ca="1" si="9"/>
        <v>0</v>
      </c>
      <c r="BR5" s="26">
        <f t="shared" ca="1" si="9"/>
        <v>0</v>
      </c>
      <c r="BS5" s="282">
        <f ca="1">IF(ISNUMBER($A2),IF(INDEX(B4:G4,4)&lt;&gt;0,SIGN(INDEX(B4:G4,4))*INDIRECT(ADDRESS(1+ABS(INDEX(B4:G4,4)),COLUMN(Ksys!$B$1),1,TRUE,"Ksys")),0)+AB5,0)</f>
        <v>3.8609276954815165E-4</v>
      </c>
      <c r="BT5" s="284">
        <f ca="1"/>
        <v>-8.9163915432222769E-4</v>
      </c>
      <c r="BU5" s="284">
        <f ca="1"/>
        <v>-1.2609681847853713</v>
      </c>
      <c r="BV5" s="284">
        <f t="array" aca="1" ref="BV5:BV7" ca="1">MMULT(J5:O7,BT2:BT7)-AC5:AC7</f>
        <v>-1.2609681847853713</v>
      </c>
      <c r="BW5" s="292" t="s">
        <v>101</v>
      </c>
      <c r="BX5" s="7">
        <f ca="1"/>
        <v>0</v>
      </c>
      <c r="BY5" s="1">
        <f ca="1"/>
        <v>2.3439092605823935E-4</v>
      </c>
      <c r="BZ5" s="1">
        <f ca="1"/>
        <v>4.6455852904830376E-4</v>
      </c>
      <c r="CA5" s="1">
        <f ca="1"/>
        <v>6.8627948590201809E-4</v>
      </c>
      <c r="CB5" s="1">
        <f ca="1"/>
        <v>8.9533047355120786E-4</v>
      </c>
      <c r="CC5" s="1">
        <f ca="1"/>
        <v>1.0874881689276975E-3</v>
      </c>
      <c r="CD5" s="1">
        <f ca="1"/>
        <v>1.2585292489633122E-3</v>
      </c>
      <c r="CE5" s="1">
        <f ca="1"/>
        <v>1.4042303905898771E-3</v>
      </c>
      <c r="CF5" s="1">
        <f ca="1"/>
        <v>1.5203682707392171E-3</v>
      </c>
      <c r="CG5" s="1">
        <f ca="1"/>
        <v>1.6027195663431575E-3</v>
      </c>
      <c r="CH5" s="26">
        <f ca="1"/>
        <v>1.6470609543335229E-3</v>
      </c>
      <c r="CI5" s="344" t="s">
        <v>1</v>
      </c>
      <c r="CJ5" s="344" t="s">
        <v>111</v>
      </c>
      <c r="CK5" s="310"/>
      <c r="CL5" s="12"/>
      <c r="CM5" s="292" t="s">
        <v>101</v>
      </c>
      <c r="CN5" s="7">
        <f ca="1"/>
        <v>-8.3411161867575546E-17</v>
      </c>
      <c r="CO5" s="1">
        <f ca="1"/>
        <v>8.4466461363498831E-3</v>
      </c>
      <c r="CP5" s="1">
        <f ca="1"/>
        <v>1.689329227269985E-2</v>
      </c>
      <c r="CQ5" s="1">
        <f ca="1"/>
        <v>2.5339938409049811E-2</v>
      </c>
      <c r="CR5" s="1">
        <f ca="1"/>
        <v>3.3786584545399782E-2</v>
      </c>
      <c r="CS5" s="1">
        <f ca="1"/>
        <v>4.2233230681749744E-2</v>
      </c>
      <c r="CT5" s="1">
        <f ca="1"/>
        <v>5.0679876818099712E-2</v>
      </c>
      <c r="CU5" s="1">
        <f ca="1"/>
        <v>5.9126522954449673E-2</v>
      </c>
      <c r="CV5" s="1">
        <f ca="1"/>
        <v>6.7573169090799648E-2</v>
      </c>
      <c r="CW5" s="1">
        <f ca="1"/>
        <v>7.6019815227149609E-2</v>
      </c>
      <c r="CX5" s="1">
        <f ca="1"/>
        <v>8.446646136349957E-2</v>
      </c>
      <c r="CY5" s="1"/>
      <c r="CZ5" s="1"/>
      <c r="DA5" s="26"/>
      <c r="DB5" s="311" t="s">
        <v>1</v>
      </c>
      <c r="DC5" s="312" t="s">
        <v>111</v>
      </c>
      <c r="DD5" s="61">
        <f ca="1">MAX(MAX(CN4:CX5),ABS(MIN(CN4:CX5)))</f>
        <v>8.446646136349957E-2</v>
      </c>
      <c r="DE5" s="12"/>
      <c r="DF5" s="292" t="s">
        <v>101</v>
      </c>
      <c r="DG5" s="7">
        <f ca="1"/>
        <v>0.11945361522592424</v>
      </c>
      <c r="DH5" s="1">
        <f ca="1"/>
        <v>0.11945361522592424</v>
      </c>
      <c r="DI5" s="1">
        <f ca="1"/>
        <v>0.11945361522592425</v>
      </c>
      <c r="DJ5" s="1">
        <f ca="1"/>
        <v>0.11945361522592424</v>
      </c>
      <c r="DK5" s="1">
        <f ca="1"/>
        <v>0.11945361522592424</v>
      </c>
      <c r="DL5" s="1">
        <f ca="1"/>
        <v>0.11945361522592424</v>
      </c>
      <c r="DM5" s="1">
        <f ca="1"/>
        <v>0.11945361522592424</v>
      </c>
      <c r="DN5" s="1">
        <f ca="1"/>
        <v>0.11945361522592424</v>
      </c>
      <c r="DO5" s="1">
        <f ca="1"/>
        <v>0.11945361522592424</v>
      </c>
      <c r="DP5" s="1">
        <f ca="1"/>
        <v>0.11945361522592424</v>
      </c>
      <c r="DQ5" s="1">
        <f ca="1"/>
        <v>0.11945361522592424</v>
      </c>
      <c r="DR5" s="1"/>
      <c r="DS5" s="1"/>
      <c r="DT5" s="8"/>
      <c r="DU5" s="314" t="s">
        <v>1</v>
      </c>
      <c r="DV5" s="314" t="s">
        <v>111</v>
      </c>
      <c r="DW5" s="349">
        <f ca="1">MAX(MAX(DG4:DQ5),ABS(MIN(DG4:DQ5)))</f>
        <v>0.11945361522592425</v>
      </c>
      <c r="DX5" s="12"/>
      <c r="DY5" s="292" t="s">
        <v>101</v>
      </c>
      <c r="DZ5" s="7">
        <f ca="1"/>
        <v>-0.89163915432222751</v>
      </c>
      <c r="EA5" s="1">
        <f ca="1"/>
        <v>-0.89163915432222751</v>
      </c>
      <c r="EB5" s="1">
        <f ca="1"/>
        <v>-0.89163915432222751</v>
      </c>
      <c r="EC5" s="1">
        <f ca="1"/>
        <v>-0.89163915432222751</v>
      </c>
      <c r="ED5" s="1">
        <f ca="1"/>
        <v>-0.89163915432222751</v>
      </c>
      <c r="EE5" s="1">
        <f ca="1"/>
        <v>-0.89163915432222751</v>
      </c>
      <c r="EF5" s="1">
        <f ca="1"/>
        <v>-0.89163915432222751</v>
      </c>
      <c r="EG5" s="1">
        <f ca="1"/>
        <v>-0.89163915432222751</v>
      </c>
      <c r="EH5" s="1">
        <f ca="1"/>
        <v>-0.89163915432222729</v>
      </c>
      <c r="EI5" s="1">
        <f ca="1"/>
        <v>-0.89163915432222751</v>
      </c>
      <c r="EJ5" s="1">
        <f ca="1"/>
        <v>-0.89163915432222751</v>
      </c>
      <c r="EK5" s="1"/>
      <c r="EL5" s="1"/>
      <c r="EM5" s="8"/>
      <c r="EN5" s="311" t="s">
        <v>1</v>
      </c>
      <c r="EO5" s="314" t="s">
        <v>111</v>
      </c>
      <c r="EP5" s="61">
        <f ca="1">MAX(MAX(DZ4:EJ5),ABS(MIN(DZ4:EJ5)))</f>
        <v>0.89163915432222751</v>
      </c>
    </row>
    <row r="6" spans="1:146" ht="13.5" thickBot="1" x14ac:dyDescent="0.25">
      <c r="B6" s="262" t="s">
        <v>79</v>
      </c>
      <c r="C6" s="263">
        <f>MAX(MAX(Knoten!E3:G22),ABS(MIN(Knoten!E3:G22)))</f>
        <v>5</v>
      </c>
      <c r="E6" s="1" t="str">
        <f ca="1">IF(ISNUMBER(A2),"" &amp; ADDRESS(ROW(A2),COLUMN($AD$1)) &amp; ":" &amp; ADDRESS(ROW(A7),COLUMN($AD$1)) &amp; "","")</f>
        <v>$AD$2:$AD$7</v>
      </c>
      <c r="F6" s="1" t="str">
        <f ca="1">IF(ISNUMBER(A2),"" &amp; ADDRESS(ROW(A2),COLUMN($V$1)) &amp; ":" &amp; ADDRESS(ROW(A7),COLUMN($AA$1)) &amp; "","")</f>
        <v>$V$2:$AA$7</v>
      </c>
      <c r="G6" s="1" t="str">
        <f ca="1">IF(ISNUMBER(A2),"" &amp; ADDRESS(ROW(A2),COLUMN($AE$1)) &amp; ":" &amp; ADDRESS(ROW(A7),COLUMN($AD$1)+$C$6) &amp; "","")</f>
        <v>$AE$2:$AI$7</v>
      </c>
      <c r="J6" s="7">
        <v>0</v>
      </c>
      <c r="K6" s="1">
        <f ca="1">-K3</f>
        <v>-339.41125496954271</v>
      </c>
      <c r="L6" s="8">
        <f ca="1">IF(G2=1,6*B2/D2^2,IF(G2="2a",0,IF(G2="2b",3*B2/D2^2,0)))</f>
        <v>119.99999999999997</v>
      </c>
      <c r="M6" s="7">
        <v>0</v>
      </c>
      <c r="N6" s="180">
        <f ca="1">K3</f>
        <v>339.41125496954271</v>
      </c>
      <c r="O6" s="8">
        <f ca="1">N7</f>
        <v>119.99999999999997</v>
      </c>
      <c r="P6" s="184">
        <v>0</v>
      </c>
      <c r="Q6" s="101">
        <v>0</v>
      </c>
      <c r="R6" s="101">
        <v>0</v>
      </c>
      <c r="S6" s="99">
        <f ca="1">H2</f>
        <v>0.70710678118654746</v>
      </c>
      <c r="T6" s="99">
        <f ca="1">I2</f>
        <v>0.70710678118654746</v>
      </c>
      <c r="U6" s="100">
        <v>0</v>
      </c>
      <c r="V6" s="7">
        <f ca="1"/>
        <v>537.40115370177602</v>
      </c>
      <c r="W6" s="1">
        <f ca="1"/>
        <v>-876.81240867131862</v>
      </c>
      <c r="X6" s="8">
        <f ca="1"/>
        <v>84.852813742385678</v>
      </c>
      <c r="Y6" s="7">
        <f ca="1"/>
        <v>-537.40115370177602</v>
      </c>
      <c r="Z6" s="180">
        <f ca="1"/>
        <v>876.81240867131862</v>
      </c>
      <c r="AA6" s="26">
        <f ca="1"/>
        <v>84.852813742385678</v>
      </c>
      <c r="AB6" s="61">
        <f ca="1">IF(ISNUMBER($A2),INDIRECT("System!" &amp; ADDRESS(A2+1,COLUMN(System!W1))),0)</f>
        <v>0</v>
      </c>
      <c r="AC6" s="301">
        <f ca="1">IF(G2=1,F2*D2/2,IF(G2="2a",F2*5/8*D2,IF(G2="2b",F2*3/8*D2,0)))</f>
        <v>0</v>
      </c>
      <c r="AD6" s="61">
        <f ca="1"/>
        <v>0</v>
      </c>
      <c r="AE6" s="7">
        <f t="shared" ref="AE6:AJ6" ca="1" si="10">IF(ABS($F4)=AE$1,SIGN($F4),0)</f>
        <v>0</v>
      </c>
      <c r="AF6" s="1">
        <f t="shared" ca="1" si="10"/>
        <v>0</v>
      </c>
      <c r="AG6" s="1">
        <f t="shared" ca="1" si="10"/>
        <v>1</v>
      </c>
      <c r="AH6" s="1">
        <f t="shared" ca="1" si="10"/>
        <v>0</v>
      </c>
      <c r="AI6" s="1">
        <f t="shared" ca="1" si="10"/>
        <v>0</v>
      </c>
      <c r="AJ6" s="26">
        <f t="shared" ca="1" si="10"/>
        <v>0</v>
      </c>
      <c r="AK6" s="26">
        <f t="shared" ref="AK6:BR6" ca="1" si="11">IF(ABS($F4)=AK$1,SIGN($F4),0)</f>
        <v>0</v>
      </c>
      <c r="AL6" s="26">
        <f t="shared" ca="1" si="11"/>
        <v>0</v>
      </c>
      <c r="AM6" s="26">
        <f t="shared" ca="1" si="11"/>
        <v>0</v>
      </c>
      <c r="AN6" s="26">
        <f t="shared" ca="1" si="11"/>
        <v>0</v>
      </c>
      <c r="AO6" s="26">
        <f t="shared" ca="1" si="11"/>
        <v>0</v>
      </c>
      <c r="AP6" s="26">
        <f t="shared" ca="1" si="11"/>
        <v>0</v>
      </c>
      <c r="AQ6" s="26">
        <f t="shared" ca="1" si="11"/>
        <v>0</v>
      </c>
      <c r="AR6" s="26">
        <f t="shared" ca="1" si="11"/>
        <v>0</v>
      </c>
      <c r="AS6" s="26">
        <f t="shared" ca="1" si="11"/>
        <v>0</v>
      </c>
      <c r="AT6" s="26">
        <f t="shared" ca="1" si="11"/>
        <v>0</v>
      </c>
      <c r="AU6" s="26">
        <f t="shared" ca="1" si="11"/>
        <v>0</v>
      </c>
      <c r="AV6" s="26">
        <f t="shared" ca="1" si="11"/>
        <v>0</v>
      </c>
      <c r="AW6" s="26">
        <f t="shared" ca="1" si="11"/>
        <v>0</v>
      </c>
      <c r="AX6" s="26">
        <f t="shared" ca="1" si="11"/>
        <v>0</v>
      </c>
      <c r="AY6" s="26">
        <f t="shared" ca="1" si="11"/>
        <v>0</v>
      </c>
      <c r="AZ6" s="26">
        <f t="shared" ca="1" si="11"/>
        <v>0</v>
      </c>
      <c r="BA6" s="26">
        <f t="shared" ca="1" si="11"/>
        <v>0</v>
      </c>
      <c r="BB6" s="26">
        <f t="shared" ca="1" si="11"/>
        <v>0</v>
      </c>
      <c r="BC6" s="26">
        <f t="shared" ca="1" si="11"/>
        <v>0</v>
      </c>
      <c r="BD6" s="26">
        <f t="shared" ca="1" si="11"/>
        <v>0</v>
      </c>
      <c r="BE6" s="26">
        <f t="shared" ca="1" si="11"/>
        <v>0</v>
      </c>
      <c r="BF6" s="26">
        <f t="shared" ca="1" si="11"/>
        <v>0</v>
      </c>
      <c r="BG6" s="26">
        <f t="shared" ca="1" si="11"/>
        <v>0</v>
      </c>
      <c r="BH6" s="26">
        <f t="shared" ca="1" si="11"/>
        <v>0</v>
      </c>
      <c r="BI6" s="26">
        <f t="shared" ca="1" si="11"/>
        <v>0</v>
      </c>
      <c r="BJ6" s="26">
        <f t="shared" ca="1" si="11"/>
        <v>0</v>
      </c>
      <c r="BK6" s="26">
        <f t="shared" ca="1" si="11"/>
        <v>0</v>
      </c>
      <c r="BL6" s="26">
        <f t="shared" ca="1" si="11"/>
        <v>0</v>
      </c>
      <c r="BM6" s="26">
        <f t="shared" ca="1" si="11"/>
        <v>0</v>
      </c>
      <c r="BN6" s="26">
        <f t="shared" ca="1" si="11"/>
        <v>0</v>
      </c>
      <c r="BO6" s="26">
        <f t="shared" ca="1" si="11"/>
        <v>0</v>
      </c>
      <c r="BP6" s="26">
        <f t="shared" ca="1" si="11"/>
        <v>0</v>
      </c>
      <c r="BQ6" s="26">
        <f t="shared" ca="1" si="11"/>
        <v>0</v>
      </c>
      <c r="BR6" s="26">
        <f t="shared" ca="1" si="11"/>
        <v>0</v>
      </c>
      <c r="BS6" s="282">
        <f ca="1">IF(ISNUMBER($A2),IF(INDEX(B4:G4,5)&lt;&gt;0,SIGN(INDEX(B4:G4,5))*INDIRECT(ADDRESS(1+ABS(INDEX(B4:G4,5)),COLUMN(Ksys!$B$1),1,TRUE,"Ksys")),0)+AB6,0)</f>
        <v>1.6470609543335233E-3</v>
      </c>
      <c r="BT6" s="284">
        <f ca="1"/>
        <v>1.4376567853514135E-3</v>
      </c>
      <c r="BU6" s="284">
        <f ca="1"/>
        <v>0.16893292272699931</v>
      </c>
      <c r="BV6" s="284">
        <f ca="1"/>
        <v>0.16893292272699931</v>
      </c>
      <c r="BW6" s="293" t="s">
        <v>102</v>
      </c>
      <c r="BX6" s="216">
        <f ca="1">IF(ISNUMBER($A2),$B3*(1-BX$1) + $C3*BX$1 + Knoten!$S$5*BX4,KnotenData!$H$2)</f>
        <v>0</v>
      </c>
      <c r="BY6" s="206">
        <f ca="1">IF(ISNUMBER($A2),$B3*(1-BY$1) + $C3*BY$1 + Knoten!$S$5*BY4,KnotenData!$H$2)</f>
        <v>6.6508465320784541E-2</v>
      </c>
      <c r="BZ6" s="206">
        <f ca="1">IF(ISNUMBER($A2),$B3*(1-BZ$1) + $C3*BZ$1 + Knoten!$S$5*BZ4,KnotenData!$H$2)</f>
        <v>0.13237312292231601</v>
      </c>
      <c r="CA6" s="206">
        <f ca="1">IF(ISNUMBER($A2),$B3*(1-CA$1) + $C3*CA$1 + Knoten!$S$5*CA4,KnotenData!$H$2)</f>
        <v>0.19695016508534127</v>
      </c>
      <c r="CB6" s="206">
        <f ca="1">IF(ISNUMBER($A2),$B3*(1-CB$1) + $C3*CB$1 + Knoten!$S$5*CB4,KnotenData!$H$2)</f>
        <v>0.25959578409060735</v>
      </c>
      <c r="CC6" s="206">
        <f ca="1">IF(ISNUMBER($A2),$B3*(1-CC$1) + $C3*CC$1 + Knoten!$S$5*CC4,KnotenData!$H$2)</f>
        <v>0.31966617221886107</v>
      </c>
      <c r="CD6" s="206">
        <f ca="1">IF(ISNUMBER($A2),$B3*(1-CD$1) + $C3*CD$1 + Knoten!$S$5*CD4,KnotenData!$H$2)</f>
        <v>0.37651752175084935</v>
      </c>
      <c r="CE6" s="206">
        <f ca="1">IF(ISNUMBER($A2),$B3*(1-CE$1) + $C3*CE$1 + Knoten!$S$5*CE4,KnotenData!$H$2)</f>
        <v>0.42950602496731927</v>
      </c>
      <c r="CF6" s="206">
        <f ca="1">IF(ISNUMBER($A2),$B3*(1-CF$1) + $C3*CF$1 + Knoten!$S$5*CF4,KnotenData!$H$2)</f>
        <v>0.4779878741490175</v>
      </c>
      <c r="CG6" s="206">
        <f ca="1">IF(ISNUMBER($A2),$B3*(1-CG$1) + $C3*CG$1 + Knoten!$S$5*CG4,KnotenData!$H$2)</f>
        <v>0.52131926157669106</v>
      </c>
      <c r="CH6" s="305">
        <f ca="1">IF(ISNUMBER($A2),$B3*(1-CH$1) + $C3*CH$1 + Knoten!$S$5*CH4,KnotenData!$H$2)</f>
        <v>0.55885637953108702</v>
      </c>
      <c r="CI6" s="447">
        <f ca="1">MIN(BX6:CH6)</f>
        <v>0</v>
      </c>
      <c r="CJ6" s="447">
        <f ca="1">MIN(BX7:CH7)</f>
        <v>0.50107966863129316</v>
      </c>
      <c r="CK6" s="445"/>
      <c r="CL6" s="12"/>
      <c r="CM6" s="293" t="s">
        <v>102</v>
      </c>
      <c r="CN6" s="216">
        <f ca="1">IF(ISNUMBER($A2),$B3*(1-CN$1) + $C3*CN$1 + Momente!$D$6*CN4,KnotenData!$H$2)</f>
        <v>-2.6298300192404243E-16</v>
      </c>
      <c r="CO6" s="206">
        <f ca="1">IF(ISNUMBER($A2),$B3*(1-CO$1) + $C3*CO$1 + Momente!$D$6*CO4,KnotenData!$H$2)</f>
        <v>7.6631020446088563E-2</v>
      </c>
      <c r="CP6" s="206">
        <f ca="1">IF(ISNUMBER($A2),$B3*(1-CP$1) + $C3*CP$1 + Momente!$D$6*CP4,KnotenData!$H$2)</f>
        <v>0.15326204089217738</v>
      </c>
      <c r="CQ6" s="206">
        <f ca="1">IF(ISNUMBER($A2),$B3*(1-CQ$1) + $C3*CQ$1 + Momente!$D$6*CQ4,KnotenData!$H$2)</f>
        <v>0.2298930613382662</v>
      </c>
      <c r="CR6" s="206">
        <f ca="1">IF(ISNUMBER($A2),$B3*(1-CR$1) + $C3*CR$1 + Momente!$D$6*CR4,KnotenData!$H$2)</f>
        <v>0.30652408178435503</v>
      </c>
      <c r="CS6" s="206">
        <f ca="1">IF(ISNUMBER($A2),$B3*(1-CS$1) + $C3*CS$1 + Momente!$D$6*CS4,KnotenData!$H$2)</f>
        <v>0.3831551022304438</v>
      </c>
      <c r="CT6" s="206">
        <f ca="1">IF(ISNUMBER($A2),$B3*(1-CT$1) + $C3*CT$1 + Momente!$D$6*CT4,KnotenData!$H$2)</f>
        <v>0.45978612267653263</v>
      </c>
      <c r="CU6" s="206">
        <f ca="1">IF(ISNUMBER($A2),$B3*(1-CU$1) + $C3*CU$1 + Momente!$D$6*CU4,KnotenData!$H$2)</f>
        <v>0.53641714312262145</v>
      </c>
      <c r="CV6" s="206">
        <f ca="1">IF(ISNUMBER($A2),$B3*(1-CV$1) + $C3*CV$1 + Momente!$D$6*CV4,KnotenData!$H$2)</f>
        <v>0.61304816356871039</v>
      </c>
      <c r="CW6" s="206">
        <f ca="1">IF(ISNUMBER($A2),$B3*(1-CW$1) + $C3*CW$1 + Momente!$D$6*CW4,KnotenData!$H$2)</f>
        <v>0.68967918401479911</v>
      </c>
      <c r="CX6" s="206">
        <f ca="1">IF(ISNUMBER($A2),$B3*(1-CX$1) + $C3*CX$1 + Momente!$D$6*CX4,KnotenData!$H$2)</f>
        <v>0.76631020446088793</v>
      </c>
      <c r="CY6" s="206">
        <f ca="1">IF(ISNUMBER($A2),DR6,KnotenData!$H$2)</f>
        <v>0.5</v>
      </c>
      <c r="CZ6" s="206">
        <f ca="1">IF(ISNUMBER($A2),$B3,KnotenData!$H$2)</f>
        <v>0</v>
      </c>
      <c r="DA6" s="305">
        <f ca="1">IF(ISNUMBER($A2),CN6,KnotenData!$H$2)</f>
        <v>-2.6298300192404243E-16</v>
      </c>
      <c r="DB6" s="7">
        <f ca="1">MIN(CN6:DA6)</f>
        <v>-2.6298300192404243E-16</v>
      </c>
      <c r="DC6" s="8">
        <f ca="1">MIN(CN7:DA7)</f>
        <v>0.25</v>
      </c>
      <c r="DD6" s="345"/>
      <c r="DE6" s="12"/>
      <c r="DF6" s="293" t="s">
        <v>102</v>
      </c>
      <c r="DG6" s="216">
        <f ca="1">IF(ISNUMBER($A2),$B3*(1-DG$1) + $C3*DG$1 + Querkräfte!$D$6*DG4,KnotenData!$H$2)</f>
        <v>4.600930236808333E-2</v>
      </c>
      <c r="DH6" s="206">
        <f ca="1">IF(ISNUMBER($A2),$B3*(1-DH$1) + $C3*DH$1 + Querkräfte!$D$6*DH4,KnotenData!$H$2)</f>
        <v>9.6009302368083332E-2</v>
      </c>
      <c r="DI6" s="206">
        <f ca="1">IF(ISNUMBER($A2),$B3*(1-DI$1) + $C3*DI$1 + Querkräfte!$D$6*DI4,KnotenData!$H$2)</f>
        <v>0.14600930236808335</v>
      </c>
      <c r="DJ6" s="206">
        <f ca="1">IF(ISNUMBER($A2),$B3*(1-DJ$1) + $C3*DJ$1 + Querkräfte!$D$6*DJ4,KnotenData!$H$2)</f>
        <v>0.19600930236808334</v>
      </c>
      <c r="DK6" s="206">
        <f ca="1">IF(ISNUMBER($A2),$B3*(1-DK$1) + $C3*DK$1 + Querkräfte!$D$6*DK4,KnotenData!$H$2)</f>
        <v>0.24600930236808333</v>
      </c>
      <c r="DL6" s="206">
        <f ca="1">IF(ISNUMBER($A2),$B3*(1-DL$1) + $C3*DL$1 + Querkräfte!$D$6*DL4,KnotenData!$H$2)</f>
        <v>0.29600930236808332</v>
      </c>
      <c r="DM6" s="206">
        <f ca="1">IF(ISNUMBER($A2),$B3*(1-DM$1) + $C3*DM$1 + Querkräfte!$D$6*DM4,KnotenData!$H$2)</f>
        <v>0.3460093023680833</v>
      </c>
      <c r="DN6" s="206">
        <f ca="1">IF(ISNUMBER($A2),$B3*(1-DN$1) + $C3*DN$1 + Querkräfte!$D$6*DN4,KnotenData!$H$2)</f>
        <v>0.39600930236808329</v>
      </c>
      <c r="DO6" s="206">
        <f ca="1">IF(ISNUMBER($A2),$B3*(1-DO$1) + $C3*DO$1 + Querkräfte!$D$6*DO4,KnotenData!$H$2)</f>
        <v>0.44600930236808334</v>
      </c>
      <c r="DP6" s="206">
        <f ca="1">IF(ISNUMBER($A2),$B3*(1-DP$1) + $C3*DP$1 + Querkräfte!$D$6*DP4,KnotenData!$H$2)</f>
        <v>0.49600930236808333</v>
      </c>
      <c r="DQ6" s="206">
        <f ca="1">IF(ISNUMBER($A2),$B3*(1-DQ$1) + $C3*DQ$1 + Querkräfte!$D$6*DQ4,KnotenData!$H$2)</f>
        <v>0.54600930236808332</v>
      </c>
      <c r="DR6" s="206">
        <f ca="1">IF(ISNUMBER($A2),$C3,KnotenData!$H$2)</f>
        <v>0.5</v>
      </c>
      <c r="DS6" s="206">
        <f ca="1">IF(ISNUMBER($A2),$B3,KnotenData!$H$2)</f>
        <v>0</v>
      </c>
      <c r="DT6" s="217">
        <f ca="1">IF(ISNUMBER($A2),DG6,KnotenData!$H$2)</f>
        <v>4.600930236808333E-2</v>
      </c>
      <c r="DU6" s="145">
        <f ca="1">MIN(DG6:DQ6)</f>
        <v>4.600930236808333E-2</v>
      </c>
      <c r="DV6" s="26">
        <f ca="1">MIN(DG7:DQ7)</f>
        <v>0.29600930236808332</v>
      </c>
      <c r="DW6" s="345"/>
      <c r="DX6" s="12"/>
      <c r="DY6" s="293" t="s">
        <v>102</v>
      </c>
      <c r="DZ6" s="216">
        <f ca="1">IF(ISNUMBER($A2),$B3*(1-DZ$1) + $C3*DZ$1 + Normalkräfte!$D$6*DZ4,KnotenData!$H$2)</f>
        <v>-0.1883097514734699</v>
      </c>
      <c r="EA6" s="206">
        <f ca="1">IF(ISNUMBER($A2),$B3*(1-EA$1) + $C3*EA$1 + Normalkräfte!$D$6*EA4,KnotenData!$H$2)</f>
        <v>-0.13830975147346991</v>
      </c>
      <c r="EB6" s="206">
        <f ca="1">IF(ISNUMBER($A2),$B3*(1-EB$1) + $C3*EB$1 + Normalkräfte!$D$6*EB4,KnotenData!$H$2)</f>
        <v>-8.8309751473469894E-2</v>
      </c>
      <c r="EC6" s="206">
        <f ca="1">IF(ISNUMBER($A2),$B3*(1-EC$1) + $C3*EC$1 + Normalkräfte!$D$6*EC4,KnotenData!$H$2)</f>
        <v>-3.8309751473469905E-2</v>
      </c>
      <c r="ED6" s="206">
        <f ca="1">IF(ISNUMBER($A2),$B3*(1-ED$1) + $C3*ED$1 + Normalkräfte!$D$6*ED4,KnotenData!$H$2)</f>
        <v>1.1690248526530111E-2</v>
      </c>
      <c r="EE6" s="206">
        <f ca="1">IF(ISNUMBER($A2),$B3*(1-EE$1) + $C3*EE$1 + Normalkräfte!$D$6*EE4,KnotenData!$H$2)</f>
        <v>6.16902485265301E-2</v>
      </c>
      <c r="EF6" s="206">
        <f ca="1">IF(ISNUMBER($A2),$B3*(1-EF$1) + $C3*EF$1 + Normalkräfte!$D$6*EF4,KnotenData!$H$2)</f>
        <v>0.11169024852653009</v>
      </c>
      <c r="EG6" s="206">
        <f ca="1">IF(ISNUMBER($A2),$B3*(1-EG$1) + $C3*EG$1 + Normalkräfte!$D$6*EG4,KnotenData!$H$2)</f>
        <v>0.16169024852653008</v>
      </c>
      <c r="EH6" s="206">
        <f ca="1">IF(ISNUMBER($A2),$B3*(1-EH$1) + $C3*EH$1 + Normalkräfte!$D$6*EH4,KnotenData!$H$2)</f>
        <v>0.21169024852653018</v>
      </c>
      <c r="EI6" s="206">
        <f ca="1">IF(ISNUMBER($A2),$B3*(1-EI$1) + $C3*EI$1 + Normalkräfte!$D$6*EI4,KnotenData!$H$2)</f>
        <v>0.26169024852653011</v>
      </c>
      <c r="EJ6" s="206">
        <f ca="1">IF(ISNUMBER($A2),$B3*(1-EJ$1) + $C3*EJ$1 + Normalkräfte!$D$6*EJ4,KnotenData!$H$2)</f>
        <v>0.3116902485265301</v>
      </c>
      <c r="EK6" s="256">
        <f ca="1">IF(ISNUMBER($A2),$C3,KnotenData!$H$2)</f>
        <v>0.5</v>
      </c>
      <c r="EL6" s="206">
        <f ca="1">IF(ISNUMBER($A2),$B3,KnotenData!$H$2)</f>
        <v>0</v>
      </c>
      <c r="EM6" s="217">
        <f ca="1">IF(ISNUMBER($A2),DZ6,KnotenData!$H$2)</f>
        <v>-0.1883097514734699</v>
      </c>
      <c r="EN6" s="7">
        <f ca="1">MIN(DZ6:EJ6)</f>
        <v>-0.1883097514734699</v>
      </c>
      <c r="EO6" s="26">
        <f ca="1">MIN(DZ7:EJ7)</f>
        <v>6.16902485265301E-2</v>
      </c>
      <c r="EP6" s="345"/>
    </row>
    <row r="7" spans="1:146" ht="13.5" thickBot="1" x14ac:dyDescent="0.25">
      <c r="E7" s="12"/>
      <c r="F7" s="12"/>
      <c r="J7" s="9">
        <v>0</v>
      </c>
      <c r="K7" s="10">
        <f ca="1">IF(G2=1,-6*B2/D2^2,IF(G2="2a",-3*B2/D2^2,IF(G2="2b",0,0)))</f>
        <v>-119.99999999999997</v>
      </c>
      <c r="L7" s="146">
        <f ca="1">IF(G2=1,2*B2/D2,IF(G2="2a",0,IF(G2="2b",0,0)))</f>
        <v>28.284271247461898</v>
      </c>
      <c r="M7" s="9">
        <v>0</v>
      </c>
      <c r="N7" s="10">
        <f ca="1">-K7</f>
        <v>119.99999999999997</v>
      </c>
      <c r="O7" s="181">
        <f ca="1">IF(G2=1,4*B2/D2,IF(G2="2a",3*B2/D2,IF(G2="2b",0,0)))</f>
        <v>56.568542494923797</v>
      </c>
      <c r="P7" s="185">
        <v>0</v>
      </c>
      <c r="Q7" s="103">
        <v>0</v>
      </c>
      <c r="R7" s="103">
        <v>0</v>
      </c>
      <c r="S7" s="111">
        <v>0</v>
      </c>
      <c r="T7" s="111">
        <v>0</v>
      </c>
      <c r="U7" s="112">
        <v>1</v>
      </c>
      <c r="V7" s="9">
        <f ca="1"/>
        <v>-84.852813742385678</v>
      </c>
      <c r="W7" s="10">
        <f ca="1"/>
        <v>-84.852813742385678</v>
      </c>
      <c r="X7" s="146">
        <f ca="1"/>
        <v>28.284271247461898</v>
      </c>
      <c r="Y7" s="9">
        <f ca="1"/>
        <v>84.852813742385678</v>
      </c>
      <c r="Z7" s="10">
        <f ca="1"/>
        <v>84.852813742385678</v>
      </c>
      <c r="AA7" s="190">
        <f ca="1"/>
        <v>56.568542494923797</v>
      </c>
      <c r="AB7" s="62">
        <f ca="1">IF(ISNUMBER($A2),INDIRECT("System!" &amp; ADDRESS(A2+1,COLUMN(System!X1))),0)</f>
        <v>0</v>
      </c>
      <c r="AC7" s="302">
        <f ca="1">IF(G2=1,F2*D2^2/12,IF(G2="2a",F2*D2^2/8,IF(G2="2b",0,0)))</f>
        <v>0</v>
      </c>
      <c r="AD7" s="62">
        <f ca="1"/>
        <v>0</v>
      </c>
      <c r="AE7" s="9">
        <f t="shared" ref="AE7:AJ7" ca="1" si="12">IF(ABS($G4)=AE$1,SIGN($G4),0)</f>
        <v>0</v>
      </c>
      <c r="AF7" s="10">
        <f t="shared" ca="1" si="12"/>
        <v>0</v>
      </c>
      <c r="AG7" s="10">
        <f t="shared" ca="1" si="12"/>
        <v>0</v>
      </c>
      <c r="AH7" s="10">
        <f t="shared" ca="1" si="12"/>
        <v>1</v>
      </c>
      <c r="AI7" s="10">
        <f t="shared" ca="1" si="12"/>
        <v>0</v>
      </c>
      <c r="AJ7" s="188">
        <f t="shared" ca="1" si="12"/>
        <v>0</v>
      </c>
      <c r="AK7" s="188">
        <f t="shared" ref="AK7:BR7" ca="1" si="13">IF(ABS($G4)=AK$1,SIGN($G4),0)</f>
        <v>0</v>
      </c>
      <c r="AL7" s="188">
        <f t="shared" ca="1" si="13"/>
        <v>0</v>
      </c>
      <c r="AM7" s="188">
        <f t="shared" ca="1" si="13"/>
        <v>0</v>
      </c>
      <c r="AN7" s="188">
        <f t="shared" ca="1" si="13"/>
        <v>0</v>
      </c>
      <c r="AO7" s="188">
        <f t="shared" ca="1" si="13"/>
        <v>0</v>
      </c>
      <c r="AP7" s="188">
        <f t="shared" ca="1" si="13"/>
        <v>0</v>
      </c>
      <c r="AQ7" s="188">
        <f t="shared" ca="1" si="13"/>
        <v>0</v>
      </c>
      <c r="AR7" s="188">
        <f t="shared" ca="1" si="13"/>
        <v>0</v>
      </c>
      <c r="AS7" s="188">
        <f t="shared" ca="1" si="13"/>
        <v>0</v>
      </c>
      <c r="AT7" s="188">
        <f t="shared" ca="1" si="13"/>
        <v>0</v>
      </c>
      <c r="AU7" s="188">
        <f t="shared" ca="1" si="13"/>
        <v>0</v>
      </c>
      <c r="AV7" s="188">
        <f t="shared" ca="1" si="13"/>
        <v>0</v>
      </c>
      <c r="AW7" s="188">
        <f t="shared" ca="1" si="13"/>
        <v>0</v>
      </c>
      <c r="AX7" s="188">
        <f t="shared" ca="1" si="13"/>
        <v>0</v>
      </c>
      <c r="AY7" s="188">
        <f t="shared" ca="1" si="13"/>
        <v>0</v>
      </c>
      <c r="AZ7" s="188">
        <f t="shared" ca="1" si="13"/>
        <v>0</v>
      </c>
      <c r="BA7" s="188">
        <f t="shared" ca="1" si="13"/>
        <v>0</v>
      </c>
      <c r="BB7" s="188">
        <f t="shared" ca="1" si="13"/>
        <v>0</v>
      </c>
      <c r="BC7" s="188">
        <f t="shared" ca="1" si="13"/>
        <v>0</v>
      </c>
      <c r="BD7" s="188">
        <f t="shared" ca="1" si="13"/>
        <v>0</v>
      </c>
      <c r="BE7" s="188">
        <f t="shared" ca="1" si="13"/>
        <v>0</v>
      </c>
      <c r="BF7" s="188">
        <f t="shared" ca="1" si="13"/>
        <v>0</v>
      </c>
      <c r="BG7" s="188">
        <f t="shared" ca="1" si="13"/>
        <v>0</v>
      </c>
      <c r="BH7" s="188">
        <f t="shared" ca="1" si="13"/>
        <v>0</v>
      </c>
      <c r="BI7" s="188">
        <f t="shared" ca="1" si="13"/>
        <v>0</v>
      </c>
      <c r="BJ7" s="188">
        <f t="shared" ca="1" si="13"/>
        <v>0</v>
      </c>
      <c r="BK7" s="188">
        <f t="shared" ca="1" si="13"/>
        <v>0</v>
      </c>
      <c r="BL7" s="188">
        <f t="shared" ca="1" si="13"/>
        <v>0</v>
      </c>
      <c r="BM7" s="188">
        <f t="shared" ca="1" si="13"/>
        <v>0</v>
      </c>
      <c r="BN7" s="188">
        <f t="shared" ca="1" si="13"/>
        <v>0</v>
      </c>
      <c r="BO7" s="188">
        <f t="shared" ca="1" si="13"/>
        <v>0</v>
      </c>
      <c r="BP7" s="188">
        <f t="shared" ca="1" si="13"/>
        <v>0</v>
      </c>
      <c r="BQ7" s="188">
        <f t="shared" ca="1" si="13"/>
        <v>0</v>
      </c>
      <c r="BR7" s="188">
        <f t="shared" ca="1" si="13"/>
        <v>0</v>
      </c>
      <c r="BS7" s="283">
        <f ca="1">IF(ISNUMBER($A2),IF(INDEX(B4:G4,6)&lt;&gt;0,SIGN(INDEX(B4:G4,6))*INDIRECT(ADDRESS(1+ABS(INDEX(B4:G4,6)),COLUMN(Ksys!$B$1),1,TRUE,"Ksys")),0)+AB7,0)</f>
        <v>7.8239498823497731E-4</v>
      </c>
      <c r="BT7" s="178">
        <f ca="1"/>
        <v>7.8239498823497731E-4</v>
      </c>
      <c r="BU7" s="178">
        <f ca="1"/>
        <v>0.11945361522592414</v>
      </c>
      <c r="BV7" s="178">
        <f ca="1"/>
        <v>0.11945361522592414</v>
      </c>
      <c r="BW7" s="294" t="s">
        <v>103</v>
      </c>
      <c r="BX7" s="218">
        <f ca="1">IF(ISNUMBER($A2),$D3*(1-BX$1) + $E3*BX$1 + Knoten!$S$5*BX5,KnotenData!$H$3)</f>
        <v>0.75</v>
      </c>
      <c r="BY7" s="295">
        <f ca="1">IF(ISNUMBER($A2),$D3*(1-BY$1) + $E3*BY$1 + Knoten!$S$5*BY5,KnotenData!$H$3)</f>
        <v>0.73573079423080523</v>
      </c>
      <c r="BZ7" s="295">
        <f ca="1">IF(ISNUMBER($A2),$D3*(1-BZ$1) + $E3*BZ$1 + Knoten!$S$5*BZ5,KnotenData!$H$3)</f>
        <v>0.72081778074235736</v>
      </c>
      <c r="CA7" s="295">
        <f ca="1">IF(ISNUMBER($A2),$D3*(1-CA$1) + $E3*CA$1 + Knoten!$S$5*CA5,KnotenData!$H$3)</f>
        <v>0.70461715181540296</v>
      </c>
      <c r="CB7" s="295">
        <f ca="1">IF(ISNUMBER($A2),$D3*(1-CB$1) + $E3*CB$1 + Knoten!$S$5*CB5,KnotenData!$H$3)</f>
        <v>0.68648509973068972</v>
      </c>
      <c r="CC7" s="295">
        <f ca="1">IF(ISNUMBER($A2),$D3*(1-CC$1) + $E3*CC$1 + Knoten!$S$5*CC5,KnotenData!$H$3)</f>
        <v>0.66577781676896419</v>
      </c>
      <c r="CD7" s="295">
        <f ca="1">IF(ISNUMBER($A2),$D3*(1-CD$1) + $E3*CD$1 + Knoten!$S$5*CD5,KnotenData!$H$3)</f>
        <v>0.64185149521097318</v>
      </c>
      <c r="CE7" s="295">
        <f ca="1">IF(ISNUMBER($A2),$D3*(1-CE$1) + $E3*CE$1 + Knoten!$S$5*CE5,KnotenData!$H$3)</f>
        <v>0.61406232733746358</v>
      </c>
      <c r="CF7" s="295">
        <f ca="1">IF(ISNUMBER($A2),$D3*(1-CF$1) + $E3*CF$1 + Knoten!$S$5*CF5,KnotenData!$H$3)</f>
        <v>0.5817665054291824</v>
      </c>
      <c r="CG7" s="295">
        <f ca="1">IF(ISNUMBER($A2),$D3*(1-CG$1) + $E3*CG$1 + Knoten!$S$5*CG5,KnotenData!$H$3)</f>
        <v>0.54432022176687667</v>
      </c>
      <c r="CH7" s="306">
        <f ca="1">IF(ISNUMBER($A2),$D3*(1-CH$1) + $E3*CH$1 + Knoten!$S$5*CH5,KnotenData!$H$3)</f>
        <v>0.50107966863129316</v>
      </c>
      <c r="CI7" s="449">
        <f ca="1">MAX(BX6:CH6)</f>
        <v>0.55885637953108702</v>
      </c>
      <c r="CJ7" s="448">
        <f ca="1">MAX(BX7:CH7)</f>
        <v>0.75</v>
      </c>
      <c r="CK7" s="446"/>
      <c r="CL7" s="12">
        <v>1</v>
      </c>
      <c r="CM7" s="294" t="s">
        <v>103</v>
      </c>
      <c r="CN7" s="218">
        <f ca="1">IF(ISNUMBER($A2),$D3*(1-CN$1) + $E3*CN$1 + Momente!$D$6*CN5,KnotenData!$H$3)</f>
        <v>0.74999999999999978</v>
      </c>
      <c r="CO7" s="295">
        <f ca="1">IF(ISNUMBER($A2),$D3*(1-CO$1) + $E3*CO$1 + Momente!$D$6*CO5,KnotenData!$H$3)</f>
        <v>0.72663102044608863</v>
      </c>
      <c r="CP7" s="295">
        <f ca="1">IF(ISNUMBER($A2),$D3*(1-CP$1) + $E3*CP$1 + Momente!$D$6*CP5,KnotenData!$H$3)</f>
        <v>0.70326204089217748</v>
      </c>
      <c r="CQ7" s="295">
        <f ca="1">IF(ISNUMBER($A2),$D3*(1-CQ$1) + $E3*CQ$1 + Momente!$D$6*CQ5,KnotenData!$H$3)</f>
        <v>0.6798930613382661</v>
      </c>
      <c r="CR7" s="295">
        <f ca="1">IF(ISNUMBER($A2),$D3*(1-CR$1) + $E3*CR$1 + Momente!$D$6*CR5,KnotenData!$H$3)</f>
        <v>0.65652408178435495</v>
      </c>
      <c r="CS7" s="295">
        <f ca="1">IF(ISNUMBER($A2),$D3*(1-CS$1) + $E3*CS$1 + Momente!$D$6*CS5,KnotenData!$H$3)</f>
        <v>0.6331551022304438</v>
      </c>
      <c r="CT7" s="295">
        <f ca="1">IF(ISNUMBER($A2),$D3*(1-CT$1) + $E3*CT$1 + Momente!$D$6*CT5,KnotenData!$H$3)</f>
        <v>0.60978612267653276</v>
      </c>
      <c r="CU7" s="295">
        <f ca="1">IF(ISNUMBER($A2),$D3*(1-CU$1) + $E3*CU$1 + Momente!$D$6*CU5,KnotenData!$H$3)</f>
        <v>0.5864171431226215</v>
      </c>
      <c r="CV7" s="295">
        <f ca="1">IF(ISNUMBER($A2),$D3*(1-CV$1) + $E3*CV$1 + Momente!$D$6*CV5,KnotenData!$H$3)</f>
        <v>0.56304816356871035</v>
      </c>
      <c r="CW7" s="295">
        <f ca="1">IF(ISNUMBER($A2),$D3*(1-CW$1) + $E3*CW$1 + Momente!$D$6*CW5,KnotenData!$H$3)</f>
        <v>0.53967918401479908</v>
      </c>
      <c r="CX7" s="295">
        <f ca="1">IF(ISNUMBER($A2),$D3*(1-CX$1) + $E3*CX$1 + Momente!$D$6*CX5,KnotenData!$H$3)</f>
        <v>0.51631020446088793</v>
      </c>
      <c r="CY7" s="295">
        <f ca="1">IF(ISNUMBER($A2),$E3,KnotenData!$H$3)</f>
        <v>0.25</v>
      </c>
      <c r="CZ7" s="295">
        <f ca="1">IF(ISNUMBER($A2),$D3,KnotenData!$H$3)</f>
        <v>0.75</v>
      </c>
      <c r="DA7" s="306">
        <f ca="1">IF(ISNUMBER($A2),CN7,KnotenData!$H$3)</f>
        <v>0.74999999999999978</v>
      </c>
      <c r="DB7" s="9">
        <f ca="1">MAX(CN6:DA6)</f>
        <v>0.76631020446088793</v>
      </c>
      <c r="DC7" s="146">
        <f ca="1">MAX(CN7:DA7)</f>
        <v>0.75</v>
      </c>
      <c r="DD7" s="346"/>
      <c r="DE7" s="12">
        <v>1</v>
      </c>
      <c r="DF7" s="294" t="s">
        <v>103</v>
      </c>
      <c r="DG7" s="218">
        <f ca="1">IF(ISNUMBER($A2),$D3*(1-DG$1) + $E3*DG$1 + Querkräfte!$D$6*DG5,KnotenData!$H$3)</f>
        <v>0.79600930236808332</v>
      </c>
      <c r="DH7" s="295">
        <f ca="1">IF(ISNUMBER($A2),$D3*(1-DH$1) + $E3*DH$1 + Querkräfte!$D$6*DH5,KnotenData!$H$3)</f>
        <v>0.74600930236808338</v>
      </c>
      <c r="DI7" s="295">
        <f ca="1">IF(ISNUMBER($A2),$D3*(1-DI$1) + $E3*DI$1 + Querkräfte!$D$6*DI5,KnotenData!$H$3)</f>
        <v>0.69600930236808345</v>
      </c>
      <c r="DJ7" s="295">
        <f ca="1">IF(ISNUMBER($A2),$D3*(1-DJ$1) + $E3*DJ$1 + Querkräfte!$D$6*DJ5,KnotenData!$H$3)</f>
        <v>0.64600930236808318</v>
      </c>
      <c r="DK7" s="295">
        <f ca="1">IF(ISNUMBER($A2),$D3*(1-DK$1) + $E3*DK$1 + Querkräfte!$D$6*DK5,KnotenData!$H$3)</f>
        <v>0.59600930236808325</v>
      </c>
      <c r="DL7" s="295">
        <f ca="1">IF(ISNUMBER($A2),$D3*(1-DL$1) + $E3*DL$1 + Querkräfte!$D$6*DL5,KnotenData!$H$3)</f>
        <v>0.54600930236808332</v>
      </c>
      <c r="DM7" s="295">
        <f ca="1">IF(ISNUMBER($A2),$D3*(1-DM$1) + $E3*DM$1 + Querkräfte!$D$6*DM5,KnotenData!$H$3)</f>
        <v>0.49600930236808338</v>
      </c>
      <c r="DN7" s="295">
        <f ca="1">IF(ISNUMBER($A2),$D3*(1-DN$1) + $E3*DN$1 + Querkräfte!$D$6*DN5,KnotenData!$H$3)</f>
        <v>0.44600930236808334</v>
      </c>
      <c r="DO7" s="295">
        <f ca="1">IF(ISNUMBER($A2),$D3*(1-DO$1) + $E3*DO$1 + Querkräfte!$D$6*DO5,KnotenData!$H$3)</f>
        <v>0.39600930236808329</v>
      </c>
      <c r="DP7" s="295">
        <f ca="1">IF(ISNUMBER($A2),$D3*(1-DP$1) + $E3*DP$1 + Querkräfte!$D$6*DP5,KnotenData!$H$3)</f>
        <v>0.3460093023680833</v>
      </c>
      <c r="DQ7" s="295">
        <f ca="1">IF(ISNUMBER($A2),$D3*(1-DQ$1) + $E3*DQ$1 + Querkräfte!$D$6*DQ5,KnotenData!$H$3)</f>
        <v>0.29600930236808332</v>
      </c>
      <c r="DR7" s="295">
        <f ca="1">IF(ISNUMBER($A2),$E3,KnotenData!$H$3)</f>
        <v>0.25</v>
      </c>
      <c r="DS7" s="295">
        <f ca="1">IF(ISNUMBER($A2),$D3,KnotenData!$H$3)</f>
        <v>0.75</v>
      </c>
      <c r="DT7" s="219">
        <f ca="1">IF(ISNUMBER($A2),DG7,KnotenData!$H$3)</f>
        <v>0.79600930236808332</v>
      </c>
      <c r="DU7" s="11">
        <f ca="1">MAX(DG6:DQ6)</f>
        <v>0.54600930236808332</v>
      </c>
      <c r="DV7" s="188">
        <f ca="1">MAX(DG7:DQ7)</f>
        <v>0.79600930236808332</v>
      </c>
      <c r="DW7" s="346"/>
      <c r="DX7" s="12">
        <v>1</v>
      </c>
      <c r="DY7" s="294" t="s">
        <v>103</v>
      </c>
      <c r="DZ7" s="218">
        <f ca="1">IF(ISNUMBER($A2),$D3*(1-DZ$1) + $E3*DZ$1 + Normalkräfte!$D$6*DZ5,KnotenData!$H$3)</f>
        <v>0.56169024852653004</v>
      </c>
      <c r="EA7" s="295">
        <f ca="1">IF(ISNUMBER($A2),$D3*(1-EA$1) + $E3*EA$1 + Normalkräfte!$D$6*EA5,KnotenData!$H$3)</f>
        <v>0.51169024852653022</v>
      </c>
      <c r="EB7" s="295">
        <f ca="1">IF(ISNUMBER($A2),$D3*(1-EB$1) + $E3*EB$1 + Normalkräfte!$D$6*EB5,KnotenData!$H$3)</f>
        <v>0.46169024852653023</v>
      </c>
      <c r="EC7" s="295">
        <f ca="1">IF(ISNUMBER($A2),$D3*(1-EC$1) + $E3*EC$1 + Normalkräfte!$D$6*EC5,KnotenData!$H$3)</f>
        <v>0.41169024852652997</v>
      </c>
      <c r="ED7" s="295">
        <f ca="1">IF(ISNUMBER($A2),$D3*(1-ED$1) + $E3*ED$1 + Normalkräfte!$D$6*ED5,KnotenData!$H$3)</f>
        <v>0.36169024852653003</v>
      </c>
      <c r="EE7" s="295">
        <f ca="1">IF(ISNUMBER($A2),$D3*(1-EE$1) + $E3*EE$1 + Normalkräfte!$D$6*EE5,KnotenData!$H$3)</f>
        <v>0.3116902485265301</v>
      </c>
      <c r="EF7" s="295">
        <f ca="1">IF(ISNUMBER($A2),$D3*(1-EF$1) + $E3*EF$1 + Normalkräfte!$D$6*EF5,KnotenData!$H$3)</f>
        <v>0.26169024852653017</v>
      </c>
      <c r="EG7" s="295">
        <f ca="1">IF(ISNUMBER($A2),$D3*(1-EG$1) + $E3*EG$1 + Normalkräfte!$D$6*EG5,KnotenData!$H$3)</f>
        <v>0.21169024852653012</v>
      </c>
      <c r="EH7" s="295">
        <f ca="1">IF(ISNUMBER($A2),$D3*(1-EH$1) + $E3*EH$1 + Normalkräfte!$D$6*EH5,KnotenData!$H$3)</f>
        <v>0.16169024852653013</v>
      </c>
      <c r="EI7" s="295">
        <f ca="1">IF(ISNUMBER($A2),$D3*(1-EI$1) + $E3*EI$1 + Normalkräfte!$D$6*EI5,KnotenData!$H$3)</f>
        <v>0.11169024852653009</v>
      </c>
      <c r="EJ7" s="295">
        <f ca="1">IF(ISNUMBER($A2),$D3*(1-EJ$1) + $E3*EJ$1 + Normalkräfte!$D$6*EJ5,KnotenData!$H$3)</f>
        <v>6.16902485265301E-2</v>
      </c>
      <c r="EK7" s="295">
        <f ca="1">IF(ISNUMBER($A2),$E3,KnotenData!$H$3)</f>
        <v>0.25</v>
      </c>
      <c r="EL7" s="295">
        <f ca="1">IF(ISNUMBER($A2),$D3,KnotenData!$H$3)</f>
        <v>0.75</v>
      </c>
      <c r="EM7" s="219">
        <f ca="1">IF(ISNUMBER($A2),DZ7,KnotenData!$H$3)</f>
        <v>0.56169024852653004</v>
      </c>
      <c r="EN7" s="9">
        <f ca="1">MAX(DZ6:EJ6)</f>
        <v>0.3116902485265301</v>
      </c>
      <c r="EO7" s="188">
        <f ca="1">MAX(DZ7:EJ7)</f>
        <v>0.56169024852653004</v>
      </c>
      <c r="EP7" s="346"/>
    </row>
    <row r="8" spans="1:146" x14ac:dyDescent="0.2">
      <c r="A8" s="205">
        <f ca="1">IF(ISNUMBER(INDIRECT("System!C" &amp;(ROW(A8)+4)/6+1)),INDIRECT("System!B"&amp;(ROW(A8)+4)/6+1),"")</f>
        <v>2</v>
      </c>
      <c r="B8" s="206">
        <f ca="1">IF(ISNUMBER(A8),INDIRECT("System!" &amp; ADDRESS(A8 +1,COLUMN(System!E7))),0)</f>
        <v>10</v>
      </c>
      <c r="C8" s="206">
        <f ca="1">IF(ISNUMBER(A8),INDIRECT("System!" &amp; ADDRESS(A8 +1,COLUMN(System!F7))),0)</f>
        <v>1000</v>
      </c>
      <c r="D8" s="209">
        <f ca="1">IF(ISNUMBER(A8),INDIRECT("System!" &amp; ADDRESS(A8 +1,COLUMN(System!O7))),0)</f>
        <v>0.5</v>
      </c>
      <c r="E8" s="208">
        <f ca="1">IF(ISNUMBER(A8),INDIRECT("System!" &amp; ADDRESS(A8 +1,COLUMN(System!G7))),"")</f>
        <v>0</v>
      </c>
      <c r="F8" s="208">
        <f ca="1">IF(ISNUMBER(A8),INDIRECT("System!" &amp; ADDRESS(A8 +1,COLUMN(System!H7))),"")</f>
        <v>1</v>
      </c>
      <c r="G8" s="261">
        <f ca="1">IF(ISNUMBER(A8),INDIRECT("System!" &amp; ADDRESS(A8 +1,COLUMN(System!I7))),"")</f>
        <v>1</v>
      </c>
      <c r="H8" s="207">
        <f ca="1">IF(ISNUMBER($A8),INDIRECT("System!" &amp; ADDRESS($A8 +1,COLUMN(System!Q7))),0)</f>
        <v>0</v>
      </c>
      <c r="I8" s="209">
        <f ca="1">IF(ISNUMBER($A8),INDIRECT("System!" &amp; ADDRESS($A8 +1,COLUMN(System!R7))),0)</f>
        <v>1</v>
      </c>
      <c r="J8" s="179">
        <f ca="1">IF(ISNUMBER(A8),C8/D8,0)</f>
        <v>2000</v>
      </c>
      <c r="K8" s="5">
        <v>0</v>
      </c>
      <c r="L8" s="6">
        <v>0</v>
      </c>
      <c r="M8" s="4">
        <f ca="1">-J8</f>
        <v>-2000</v>
      </c>
      <c r="N8" s="5">
        <v>0</v>
      </c>
      <c r="O8" s="6">
        <v>0</v>
      </c>
      <c r="P8" s="141">
        <f ca="1">I8</f>
        <v>1</v>
      </c>
      <c r="Q8" s="142">
        <f ca="1">-H8</f>
        <v>0</v>
      </c>
      <c r="R8" s="142">
        <v>0</v>
      </c>
      <c r="S8" s="182">
        <v>0</v>
      </c>
      <c r="T8" s="182">
        <v>0</v>
      </c>
      <c r="U8" s="183">
        <v>0</v>
      </c>
      <c r="V8" s="179">
        <f t="array" aca="1" ref="V8:AA13" ca="1">MMULT(TRANSPOSE(P8:U13),MMULT(J8:O13,P8:U13))</f>
        <v>2000</v>
      </c>
      <c r="W8" s="5">
        <f ca="1"/>
        <v>0</v>
      </c>
      <c r="X8" s="6">
        <f ca="1"/>
        <v>0</v>
      </c>
      <c r="Y8" s="4">
        <f ca="1"/>
        <v>-2000</v>
      </c>
      <c r="Z8" s="5">
        <f ca="1"/>
        <v>0</v>
      </c>
      <c r="AA8" s="6">
        <f ca="1"/>
        <v>0</v>
      </c>
      <c r="AB8" s="60">
        <f ca="1">IF(ISNUMBER($A8),INDIRECT("System!" &amp; ADDRESS(A8+1,COLUMN(System!S7))),0)</f>
        <v>0</v>
      </c>
      <c r="AC8" s="299">
        <f ca="1">IF(ISNUMBER(E8),E8*D8/2,0)</f>
        <v>0</v>
      </c>
      <c r="AD8" s="60">
        <f t="array" aca="1" ref="AD8:AD13" ca="1">MMULT(TRANSPOSE(P8:U13),AC8:AC13) - MMULT(V8:AA13,AB8:AB13)</f>
        <v>0</v>
      </c>
      <c r="AE8" s="4">
        <f t="shared" ref="AE8:BR8" ca="1" si="14">IF(ABS($B10)=AE$1,SIGN($B10),0)</f>
        <v>0</v>
      </c>
      <c r="AF8" s="5">
        <f t="shared" ca="1" si="14"/>
        <v>1</v>
      </c>
      <c r="AG8" s="5">
        <f t="shared" ca="1" si="14"/>
        <v>0</v>
      </c>
      <c r="AH8" s="5">
        <f t="shared" ca="1" si="14"/>
        <v>0</v>
      </c>
      <c r="AI8" s="5">
        <f t="shared" ca="1" si="14"/>
        <v>0</v>
      </c>
      <c r="AJ8" s="189">
        <f t="shared" ca="1" si="14"/>
        <v>0</v>
      </c>
      <c r="AK8" s="189">
        <f t="shared" ca="1" si="14"/>
        <v>0</v>
      </c>
      <c r="AL8" s="189">
        <f t="shared" ca="1" si="14"/>
        <v>0</v>
      </c>
      <c r="AM8" s="189">
        <f t="shared" ca="1" si="14"/>
        <v>0</v>
      </c>
      <c r="AN8" s="189">
        <f t="shared" ca="1" si="14"/>
        <v>0</v>
      </c>
      <c r="AO8" s="189">
        <f t="shared" ca="1" si="14"/>
        <v>0</v>
      </c>
      <c r="AP8" s="189">
        <f t="shared" ca="1" si="14"/>
        <v>0</v>
      </c>
      <c r="AQ8" s="189">
        <f t="shared" ca="1" si="14"/>
        <v>0</v>
      </c>
      <c r="AR8" s="189">
        <f t="shared" ca="1" si="14"/>
        <v>0</v>
      </c>
      <c r="AS8" s="189">
        <f t="shared" ca="1" si="14"/>
        <v>0</v>
      </c>
      <c r="AT8" s="189">
        <f t="shared" ca="1" si="14"/>
        <v>0</v>
      </c>
      <c r="AU8" s="189">
        <f t="shared" ca="1" si="14"/>
        <v>0</v>
      </c>
      <c r="AV8" s="189">
        <f t="shared" ca="1" si="14"/>
        <v>0</v>
      </c>
      <c r="AW8" s="189">
        <f t="shared" ca="1" si="14"/>
        <v>0</v>
      </c>
      <c r="AX8" s="189">
        <f t="shared" ca="1" si="14"/>
        <v>0</v>
      </c>
      <c r="AY8" s="189">
        <f t="shared" ca="1" si="14"/>
        <v>0</v>
      </c>
      <c r="AZ8" s="189">
        <f t="shared" ca="1" si="14"/>
        <v>0</v>
      </c>
      <c r="BA8" s="189">
        <f t="shared" ca="1" si="14"/>
        <v>0</v>
      </c>
      <c r="BB8" s="189">
        <f t="shared" ca="1" si="14"/>
        <v>0</v>
      </c>
      <c r="BC8" s="189">
        <f t="shared" ca="1" si="14"/>
        <v>0</v>
      </c>
      <c r="BD8" s="189">
        <f t="shared" ca="1" si="14"/>
        <v>0</v>
      </c>
      <c r="BE8" s="189">
        <f t="shared" ca="1" si="14"/>
        <v>0</v>
      </c>
      <c r="BF8" s="189">
        <f t="shared" ca="1" si="14"/>
        <v>0</v>
      </c>
      <c r="BG8" s="189">
        <f t="shared" ca="1" si="14"/>
        <v>0</v>
      </c>
      <c r="BH8" s="189">
        <f t="shared" ca="1" si="14"/>
        <v>0</v>
      </c>
      <c r="BI8" s="189">
        <f t="shared" ca="1" si="14"/>
        <v>0</v>
      </c>
      <c r="BJ8" s="189">
        <f t="shared" ca="1" si="14"/>
        <v>0</v>
      </c>
      <c r="BK8" s="189">
        <f t="shared" ca="1" si="14"/>
        <v>0</v>
      </c>
      <c r="BL8" s="189">
        <f t="shared" ca="1" si="14"/>
        <v>0</v>
      </c>
      <c r="BM8" s="189">
        <f t="shared" ca="1" si="14"/>
        <v>0</v>
      </c>
      <c r="BN8" s="189">
        <f t="shared" ca="1" si="14"/>
        <v>0</v>
      </c>
      <c r="BO8" s="189">
        <f t="shared" ca="1" si="14"/>
        <v>0</v>
      </c>
      <c r="BP8" s="189">
        <f t="shared" ca="1" si="14"/>
        <v>0</v>
      </c>
      <c r="BQ8" s="189">
        <f t="shared" ca="1" si="14"/>
        <v>0</v>
      </c>
      <c r="BR8" s="189">
        <f t="shared" ca="1" si="14"/>
        <v>0</v>
      </c>
      <c r="BS8" s="281">
        <f ca="1">IF(ISNUMBER($A8),IF(INDEX(B10:G10,1)&lt;&gt;0,SIGN(INDEX(B10:G10,1))*INDIRECT(ADDRESS(1+ABS(INDEX(B10:G10,1)),COLUMN(Ksys!$B$1),1,TRUE,"Ksys")),0)+AB8,0)</f>
        <v>3.8609276954815165E-4</v>
      </c>
      <c r="BT8" s="60">
        <f t="array" aca="1" ref="BT8:BT13" ca="1">MMULT(P8:U13,BS8:BS13)</f>
        <v>3.8609276954815165E-4</v>
      </c>
      <c r="BU8" s="60">
        <f t="array" aca="1" ref="BU8:BU13" ca="1">MMULT(J8:O13,BT8:BT13)-AC8:AC13</f>
        <v>0.77218553909630328</v>
      </c>
      <c r="BV8" s="60">
        <f t="array" aca="1" ref="BV8:BV10" ca="1">-(MMULT(J8:O10,BT8:BT13)-AC8:AC10)</f>
        <v>-0.77218553909630328</v>
      </c>
      <c r="BW8" s="286" t="s">
        <v>97</v>
      </c>
      <c r="BX8" s="4">
        <f t="shared" ref="BX8:CH8" ca="1" si="15">IF(ISNUMBER($A8),$BT8*(1-BX$1) + $BT11*BX$1,0)</f>
        <v>3.8609276954815165E-4</v>
      </c>
      <c r="BY8" s="5">
        <f t="shared" ca="1" si="15"/>
        <v>3.474834925933365E-4</v>
      </c>
      <c r="BZ8" s="5">
        <f t="shared" ca="1" si="15"/>
        <v>3.0887421563852136E-4</v>
      </c>
      <c r="CA8" s="5">
        <f t="shared" ca="1" si="15"/>
        <v>2.7026493868370611E-4</v>
      </c>
      <c r="CB8" s="5">
        <f t="shared" ca="1" si="15"/>
        <v>2.3165566172889097E-4</v>
      </c>
      <c r="CC8" s="5">
        <f t="shared" ca="1" si="15"/>
        <v>1.9304638477407582E-4</v>
      </c>
      <c r="CD8" s="5">
        <f t="shared" ca="1" si="15"/>
        <v>1.5443710781926068E-4</v>
      </c>
      <c r="CE8" s="5">
        <f t="shared" ca="1" si="15"/>
        <v>1.1582783086444551E-4</v>
      </c>
      <c r="CF8" s="5">
        <f t="shared" ca="1" si="15"/>
        <v>7.7218553909630313E-5</v>
      </c>
      <c r="CG8" s="5">
        <f t="shared" ca="1" si="15"/>
        <v>3.8609276954815156E-5</v>
      </c>
      <c r="CH8" s="6">
        <f t="shared" ca="1" si="15"/>
        <v>0</v>
      </c>
      <c r="CI8" s="343"/>
      <c r="CJ8" s="343"/>
      <c r="CK8" s="308"/>
      <c r="CL8" s="12"/>
      <c r="CM8" s="290" t="s">
        <v>97</v>
      </c>
      <c r="CN8" s="4">
        <v>0</v>
      </c>
      <c r="CO8" s="5">
        <v>0</v>
      </c>
      <c r="CP8" s="5">
        <v>0</v>
      </c>
      <c r="CQ8" s="5">
        <v>0</v>
      </c>
      <c r="CR8" s="5">
        <v>0</v>
      </c>
      <c r="CS8" s="5">
        <v>0</v>
      </c>
      <c r="CT8" s="5">
        <v>0</v>
      </c>
      <c r="CU8" s="5">
        <v>0</v>
      </c>
      <c r="CV8" s="5">
        <v>0</v>
      </c>
      <c r="CW8" s="5">
        <v>0</v>
      </c>
      <c r="CX8" s="5">
        <v>0</v>
      </c>
      <c r="CY8" s="5"/>
      <c r="CZ8" s="5"/>
      <c r="DA8" s="189"/>
      <c r="DB8" s="307"/>
      <c r="DC8" s="308"/>
      <c r="DD8" s="343"/>
      <c r="DE8" s="12"/>
      <c r="DF8" s="290" t="s">
        <v>97</v>
      </c>
      <c r="DG8" s="4">
        <v>0</v>
      </c>
      <c r="DH8" s="5">
        <v>0</v>
      </c>
      <c r="DI8" s="5">
        <v>0</v>
      </c>
      <c r="DJ8" s="5">
        <v>0</v>
      </c>
      <c r="DK8" s="5">
        <v>0</v>
      </c>
      <c r="DL8" s="5">
        <v>0</v>
      </c>
      <c r="DM8" s="5">
        <v>0</v>
      </c>
      <c r="DN8" s="5">
        <v>0</v>
      </c>
      <c r="DO8" s="5">
        <v>0</v>
      </c>
      <c r="DP8" s="5">
        <v>0</v>
      </c>
      <c r="DQ8" s="5">
        <v>0</v>
      </c>
      <c r="DR8" s="5"/>
      <c r="DS8" s="5"/>
      <c r="DT8" s="6"/>
      <c r="DU8" s="325"/>
      <c r="DV8" s="308"/>
      <c r="DW8" s="343"/>
      <c r="DX8" s="12"/>
      <c r="DY8" s="290" t="s">
        <v>97</v>
      </c>
      <c r="DZ8" s="4">
        <v>0</v>
      </c>
      <c r="EA8" s="5">
        <v>0</v>
      </c>
      <c r="EB8" s="5">
        <v>0</v>
      </c>
      <c r="EC8" s="5">
        <v>0</v>
      </c>
      <c r="ED8" s="5">
        <v>0</v>
      </c>
      <c r="EE8" s="5">
        <v>0</v>
      </c>
      <c r="EF8" s="5">
        <v>0</v>
      </c>
      <c r="EG8" s="5">
        <v>0</v>
      </c>
      <c r="EH8" s="5">
        <v>0</v>
      </c>
      <c r="EI8" s="5">
        <v>0</v>
      </c>
      <c r="EJ8" s="5">
        <v>0</v>
      </c>
      <c r="EK8" s="5"/>
      <c r="EL8" s="5"/>
      <c r="EM8" s="6"/>
      <c r="EN8" s="307"/>
      <c r="EO8" s="308"/>
      <c r="EP8" s="343"/>
    </row>
    <row r="9" spans="1:146" x14ac:dyDescent="0.2">
      <c r="B9" s="1">
        <f ca="1">IF(ISNUMBER($A8),INDIRECT(ADDRESS($A8+1,COLUMN(System!K$2),1,TRUE,"System")),0)</f>
        <v>0.5</v>
      </c>
      <c r="C9" s="1">
        <f ca="1">IF(ISNUMBER($A8),INDIRECT(ADDRESS($A8+1,COLUMN(System!L$2),1,TRUE,"System")),0)</f>
        <v>1</v>
      </c>
      <c r="D9" s="1">
        <f ca="1">IF(ISNUMBER($A8),INDIRECT(ADDRESS($A8+1,COLUMN(System!M$2),1,TRUE,"System")),0)</f>
        <v>0.25</v>
      </c>
      <c r="E9" s="1">
        <f ca="1">IF(ISNUMBER($A8),INDIRECT(ADDRESS($A8+1,COLUMN(System!N$2),1,TRUE,"System")),0)</f>
        <v>0.25</v>
      </c>
      <c r="F9" s="12"/>
      <c r="J9" s="7">
        <v>0</v>
      </c>
      <c r="K9" s="180">
        <f ca="1">IF(G8=1,12*B8/D8^3,IF(G8="2a",3*B8/D8^3,IF(G8="2b",3*B8/D8^3,0)))</f>
        <v>960</v>
      </c>
      <c r="L9" s="8">
        <f ca="1">K10</f>
        <v>-240</v>
      </c>
      <c r="M9" s="7">
        <v>0</v>
      </c>
      <c r="N9" s="1">
        <f ca="1">-K9</f>
        <v>-960</v>
      </c>
      <c r="O9" s="8">
        <f ca="1">K13</f>
        <v>-240</v>
      </c>
      <c r="P9" s="143">
        <f ca="1">H8</f>
        <v>0</v>
      </c>
      <c r="Q9" s="99">
        <f ca="1">I8</f>
        <v>1</v>
      </c>
      <c r="R9" s="99">
        <v>0</v>
      </c>
      <c r="S9" s="101">
        <v>0</v>
      </c>
      <c r="T9" s="101">
        <v>0</v>
      </c>
      <c r="U9" s="110">
        <v>0</v>
      </c>
      <c r="V9" s="7">
        <f ca="1"/>
        <v>0</v>
      </c>
      <c r="W9" s="180">
        <f ca="1"/>
        <v>960</v>
      </c>
      <c r="X9" s="8">
        <f ca="1"/>
        <v>-240</v>
      </c>
      <c r="Y9" s="7">
        <f ca="1"/>
        <v>0</v>
      </c>
      <c r="Z9" s="1">
        <f ca="1"/>
        <v>-960</v>
      </c>
      <c r="AA9" s="8">
        <f ca="1"/>
        <v>-240</v>
      </c>
      <c r="AB9" s="61">
        <f ca="1">IF(ISNUMBER($A8),INDIRECT("System!" &amp; ADDRESS(A8+1,COLUMN(System!T7))),0)</f>
        <v>0</v>
      </c>
      <c r="AC9" s="301">
        <f ca="1">IF(G8=1,F8*D8/2,IF(G8="2a",F8*3/8*D8,IF(G8="2b",F8*5/8*D8,0)))</f>
        <v>0.25</v>
      </c>
      <c r="AD9" s="61">
        <f ca="1"/>
        <v>0.25</v>
      </c>
      <c r="AE9" s="7">
        <f t="shared" ref="AE9:BR9" ca="1" si="16">IF(ABS($C10)=AE$1,SIGN($C10),0)</f>
        <v>0</v>
      </c>
      <c r="AF9" s="1">
        <f t="shared" ca="1" si="16"/>
        <v>0</v>
      </c>
      <c r="AG9" s="1">
        <f t="shared" ca="1" si="16"/>
        <v>1</v>
      </c>
      <c r="AH9" s="1">
        <f t="shared" ca="1" si="16"/>
        <v>0</v>
      </c>
      <c r="AI9" s="1">
        <f t="shared" ca="1" si="16"/>
        <v>0</v>
      </c>
      <c r="AJ9" s="26">
        <f t="shared" ca="1" si="16"/>
        <v>0</v>
      </c>
      <c r="AK9" s="26">
        <f t="shared" ca="1" si="16"/>
        <v>0</v>
      </c>
      <c r="AL9" s="26">
        <f t="shared" ca="1" si="16"/>
        <v>0</v>
      </c>
      <c r="AM9" s="26">
        <f t="shared" ca="1" si="16"/>
        <v>0</v>
      </c>
      <c r="AN9" s="26">
        <f t="shared" ca="1" si="16"/>
        <v>0</v>
      </c>
      <c r="AO9" s="26">
        <f t="shared" ca="1" si="16"/>
        <v>0</v>
      </c>
      <c r="AP9" s="26">
        <f t="shared" ca="1" si="16"/>
        <v>0</v>
      </c>
      <c r="AQ9" s="26">
        <f t="shared" ca="1" si="16"/>
        <v>0</v>
      </c>
      <c r="AR9" s="26">
        <f t="shared" ca="1" si="16"/>
        <v>0</v>
      </c>
      <c r="AS9" s="26">
        <f t="shared" ca="1" si="16"/>
        <v>0</v>
      </c>
      <c r="AT9" s="26">
        <f t="shared" ca="1" si="16"/>
        <v>0</v>
      </c>
      <c r="AU9" s="26">
        <f t="shared" ca="1" si="16"/>
        <v>0</v>
      </c>
      <c r="AV9" s="26">
        <f t="shared" ca="1" si="16"/>
        <v>0</v>
      </c>
      <c r="AW9" s="26">
        <f t="shared" ca="1" si="16"/>
        <v>0</v>
      </c>
      <c r="AX9" s="26">
        <f t="shared" ca="1" si="16"/>
        <v>0</v>
      </c>
      <c r="AY9" s="26">
        <f t="shared" ca="1" si="16"/>
        <v>0</v>
      </c>
      <c r="AZ9" s="26">
        <f t="shared" ca="1" si="16"/>
        <v>0</v>
      </c>
      <c r="BA9" s="26">
        <f t="shared" ca="1" si="16"/>
        <v>0</v>
      </c>
      <c r="BB9" s="26">
        <f t="shared" ca="1" si="16"/>
        <v>0</v>
      </c>
      <c r="BC9" s="26">
        <f t="shared" ca="1" si="16"/>
        <v>0</v>
      </c>
      <c r="BD9" s="26">
        <f t="shared" ca="1" si="16"/>
        <v>0</v>
      </c>
      <c r="BE9" s="26">
        <f t="shared" ca="1" si="16"/>
        <v>0</v>
      </c>
      <c r="BF9" s="26">
        <f t="shared" ca="1" si="16"/>
        <v>0</v>
      </c>
      <c r="BG9" s="26">
        <f t="shared" ca="1" si="16"/>
        <v>0</v>
      </c>
      <c r="BH9" s="26">
        <f t="shared" ca="1" si="16"/>
        <v>0</v>
      </c>
      <c r="BI9" s="26">
        <f t="shared" ca="1" si="16"/>
        <v>0</v>
      </c>
      <c r="BJ9" s="26">
        <f t="shared" ca="1" si="16"/>
        <v>0</v>
      </c>
      <c r="BK9" s="26">
        <f t="shared" ca="1" si="16"/>
        <v>0</v>
      </c>
      <c r="BL9" s="26">
        <f t="shared" ca="1" si="16"/>
        <v>0</v>
      </c>
      <c r="BM9" s="26">
        <f t="shared" ca="1" si="16"/>
        <v>0</v>
      </c>
      <c r="BN9" s="26">
        <f t="shared" ca="1" si="16"/>
        <v>0</v>
      </c>
      <c r="BO9" s="26">
        <f t="shared" ca="1" si="16"/>
        <v>0</v>
      </c>
      <c r="BP9" s="26">
        <f t="shared" ca="1" si="16"/>
        <v>0</v>
      </c>
      <c r="BQ9" s="26">
        <f t="shared" ca="1" si="16"/>
        <v>0</v>
      </c>
      <c r="BR9" s="26">
        <f t="shared" ca="1" si="16"/>
        <v>0</v>
      </c>
      <c r="BS9" s="282">
        <f ca="1">IF(ISNUMBER($A8),IF(INDEX(B10:G10,2)&lt;&gt;0,SIGN(INDEX(B10:G10,2))*INDIRECT(ADDRESS(1+ABS(INDEX(B10:G10,2)),COLUMN(Ksys!$B$1),1,TRUE,"Ksys")),0)+AB9,0)</f>
        <v>1.6470609543335233E-3</v>
      </c>
      <c r="BT9" s="61">
        <f ca="1"/>
        <v>1.6470609543335233E-3</v>
      </c>
      <c r="BU9" s="61">
        <f ca="1"/>
        <v>-1.1092769548151526E-2</v>
      </c>
      <c r="BV9" s="61">
        <f ca="1"/>
        <v>1.1092769548151526E-2</v>
      </c>
      <c r="BW9" s="287" t="s">
        <v>100</v>
      </c>
      <c r="BX9" s="272">
        <f t="shared" ref="BX9:CH9" ca="1" si="17" xml:space="preserve">  IF(ISNUMBER($A8),$BT9*(1-BX$1) + $BT12*BX$1 + ((1-BX$1)-(1-BX$1)^3)*$D8^2/6*$BV10/$B8 + (BX$1-(BX$1)^3)*$D8^2/6*$BV13/$B8 + (BX$1-2*(BX$1)^3+(BX$1)^4)*$D8^2/3*$F8*$D8^2/8/$B8,0)</f>
        <v>1.6470609543335233E-3</v>
      </c>
      <c r="BY9" s="173">
        <f t="shared" ca="1" si="17"/>
        <v>1.5930124347486418E-3</v>
      </c>
      <c r="BZ9" s="173">
        <f t="shared" ca="1" si="17"/>
        <v>1.509326435071261E-3</v>
      </c>
      <c r="CA9" s="173">
        <f t="shared" ca="1" si="17"/>
        <v>1.3968017956820285E-3</v>
      </c>
      <c r="CB9" s="173">
        <f t="shared" ca="1" si="17"/>
        <v>1.2568623569615927E-3</v>
      </c>
      <c r="CC9" s="173">
        <f t="shared" ca="1" si="17"/>
        <v>1.0915569592906014E-3</v>
      </c>
      <c r="CD9" s="173">
        <f t="shared" ca="1" si="17"/>
        <v>9.0355944304970311E-4</v>
      </c>
      <c r="CE9" s="173">
        <f t="shared" ca="1" si="17"/>
        <v>6.9616864861954592E-4</v>
      </c>
      <c r="CF9" s="173">
        <f t="shared" ca="1" si="17"/>
        <v>4.7330841638077727E-4</v>
      </c>
      <c r="CG9" s="173">
        <f t="shared" ca="1" si="17"/>
        <v>2.3952758671404601E-4</v>
      </c>
      <c r="CH9" s="289">
        <f t="shared" ca="1" si="17"/>
        <v>0</v>
      </c>
      <c r="CI9" s="344"/>
      <c r="CJ9" s="344"/>
      <c r="CK9" s="312"/>
      <c r="CL9" s="12"/>
      <c r="CM9" s="291" t="s">
        <v>100</v>
      </c>
      <c r="CN9" s="7">
        <f t="shared" ref="CN9:CX9" ca="1" si="18" xml:space="preserve">  IF(ISNUMBER($A8),$BV10*(1-CN$1) + $BV13*CN$1  + CN$1*(1-CN$1)*$F8*$D8^2/2,0)</f>
        <v>0.11945361522592417</v>
      </c>
      <c r="CO9" s="1">
        <f t="shared" ca="1" si="18"/>
        <v>0.11875825370333175</v>
      </c>
      <c r="CP9" s="1">
        <f t="shared" ca="1" si="18"/>
        <v>0.11556289218073934</v>
      </c>
      <c r="CQ9" s="1">
        <f t="shared" ca="1" si="18"/>
        <v>0.1098675306581469</v>
      </c>
      <c r="CR9" s="1">
        <f t="shared" ca="1" si="18"/>
        <v>0.10167216913555449</v>
      </c>
      <c r="CS9" s="1">
        <f t="shared" ca="1" si="18"/>
        <v>9.0976807612962077E-2</v>
      </c>
      <c r="CT9" s="1">
        <f t="shared" ca="1" si="18"/>
        <v>7.778144609036966E-2</v>
      </c>
      <c r="CU9" s="1">
        <f t="shared" ca="1" si="18"/>
        <v>6.2086084567777242E-2</v>
      </c>
      <c r="CV9" s="1">
        <f t="shared" ca="1" si="18"/>
        <v>4.3890723045184807E-2</v>
      </c>
      <c r="CW9" s="1">
        <f t="shared" ca="1" si="18"/>
        <v>2.3195361522592398E-2</v>
      </c>
      <c r="CX9" s="1">
        <f t="shared" ca="1" si="18"/>
        <v>-1.7347234759768071E-17</v>
      </c>
      <c r="CY9" s="1"/>
      <c r="CZ9" s="1"/>
      <c r="DA9" s="26"/>
      <c r="DB9" s="309"/>
      <c r="DC9" s="310"/>
      <c r="DD9" s="345"/>
      <c r="DE9" s="12"/>
      <c r="DF9" s="291" t="s">
        <v>100</v>
      </c>
      <c r="DG9" s="7">
        <f t="shared" ref="DG9:DQ9" ca="1" si="19" xml:space="preserve">  IF(ISNUMBER($A8),$BV9*(1-DG$1) + $BV12*DG$1,0)</f>
        <v>1.1092769548151526E-2</v>
      </c>
      <c r="DH9" s="1">
        <f t="shared" ca="1" si="19"/>
        <v>-3.8907230451848476E-2</v>
      </c>
      <c r="DI9" s="1">
        <f t="shared" ca="1" si="19"/>
        <v>-8.8907230451848479E-2</v>
      </c>
      <c r="DJ9" s="1">
        <f t="shared" ca="1" si="19"/>
        <v>-0.13890723045184847</v>
      </c>
      <c r="DK9" s="1">
        <f t="shared" ca="1" si="19"/>
        <v>-0.18890723045184848</v>
      </c>
      <c r="DL9" s="1">
        <f t="shared" ca="1" si="19"/>
        <v>-0.23890723045184847</v>
      </c>
      <c r="DM9" s="1">
        <f t="shared" ca="1" si="19"/>
        <v>-0.28890723045184846</v>
      </c>
      <c r="DN9" s="1">
        <f t="shared" ca="1" si="19"/>
        <v>-0.33890723045184845</v>
      </c>
      <c r="DO9" s="1">
        <f t="shared" ca="1" si="19"/>
        <v>-0.3889072304518485</v>
      </c>
      <c r="DP9" s="1">
        <f t="shared" ca="1" si="19"/>
        <v>-0.43890723045184848</v>
      </c>
      <c r="DQ9" s="1">
        <f t="shared" ca="1" si="19"/>
        <v>-0.48890723045184847</v>
      </c>
      <c r="DR9" s="1"/>
      <c r="DS9" s="1"/>
      <c r="DT9" s="8"/>
      <c r="DU9" s="12"/>
      <c r="DV9" s="310"/>
      <c r="DW9" s="345"/>
      <c r="DX9" s="12"/>
      <c r="DY9" s="291" t="s">
        <v>100</v>
      </c>
      <c r="DZ9" s="7">
        <f t="shared" ref="DZ9:EJ9" ca="1" si="20" xml:space="preserve">  IF(ISNUMBER($A8),$BV8*(1-DZ$1) + $BV11*DZ$1,0)</f>
        <v>-0.77218553909630328</v>
      </c>
      <c r="EA9" s="1">
        <f t="shared" ca="1" si="20"/>
        <v>-0.77218553909630328</v>
      </c>
      <c r="EB9" s="1">
        <f t="shared" ca="1" si="20"/>
        <v>-0.77218553909630339</v>
      </c>
      <c r="EC9" s="1">
        <f t="shared" ca="1" si="20"/>
        <v>-0.77218553909630316</v>
      </c>
      <c r="ED9" s="1">
        <f t="shared" ca="1" si="20"/>
        <v>-0.77218553909630328</v>
      </c>
      <c r="EE9" s="1">
        <f t="shared" ca="1" si="20"/>
        <v>-0.77218553909630328</v>
      </c>
      <c r="EF9" s="1">
        <f t="shared" ca="1" si="20"/>
        <v>-0.77218553909630328</v>
      </c>
      <c r="EG9" s="1">
        <f t="shared" ca="1" si="20"/>
        <v>-0.77218553909630328</v>
      </c>
      <c r="EH9" s="1">
        <f t="shared" ca="1" si="20"/>
        <v>-0.77218553909630328</v>
      </c>
      <c r="EI9" s="1">
        <f t="shared" ca="1" si="20"/>
        <v>-0.77218553909630328</v>
      </c>
      <c r="EJ9" s="1">
        <f t="shared" ca="1" si="20"/>
        <v>-0.77218553909630328</v>
      </c>
      <c r="EK9" s="1"/>
      <c r="EL9" s="1"/>
      <c r="EM9" s="8"/>
      <c r="EN9" s="309"/>
      <c r="EO9" s="310"/>
      <c r="EP9" s="345"/>
    </row>
    <row r="10" spans="1:146" ht="13.5" thickBot="1" x14ac:dyDescent="0.25">
      <c r="B10" s="1">
        <f ca="1">IF(ISNUMBER($A8),INDIRECT("System!" &amp; ADDRESS($A8 +1,COLUMN(System!Y7))),0)</f>
        <v>2</v>
      </c>
      <c r="C10" s="1">
        <f ca="1">IF(ISNUMBER($A8),INDIRECT("System!" &amp; ADDRESS($A8 +1,COLUMN(System!Z7))),0)</f>
        <v>3</v>
      </c>
      <c r="D10" s="1">
        <f ca="1">IF(ISNUMBER($A8),INDIRECT("System!" &amp; ADDRESS($A8 +1,COLUMN(System!AA7))),0)</f>
        <v>4</v>
      </c>
      <c r="E10" s="1">
        <f ca="1">IF(ISNUMBER($A8),INDIRECT("System!" &amp; ADDRESS($A8 +1,COLUMN(System!AB7))),0)</f>
        <v>0</v>
      </c>
      <c r="F10" s="1">
        <f ca="1">IF(ISNUMBER($A8),INDIRECT("System!" &amp; ADDRESS($A8 +1,COLUMN(System!AC7))),0)</f>
        <v>0</v>
      </c>
      <c r="G10" s="1">
        <f ca="1">IF(ISNUMBER($A8),INDIRECT("System!" &amp; ADDRESS($A8 +1,COLUMN(System!AD7))),0)</f>
        <v>5</v>
      </c>
      <c r="J10" s="9">
        <v>0</v>
      </c>
      <c r="K10" s="10">
        <f ca="1">IF(G8=1,-6*B8/D8^2,IF(G8="2a",0,IF(G8="2b",-3*B8/D8^2,0)))</f>
        <v>-240</v>
      </c>
      <c r="L10" s="181">
        <f ca="1">IF(G8=1,4*B8/D8,IF(G8="2a",0,IF(G8="2b",3*B8/D8,0)))</f>
        <v>80</v>
      </c>
      <c r="M10" s="9">
        <v>0</v>
      </c>
      <c r="N10" s="10">
        <f ca="1">L12</f>
        <v>240</v>
      </c>
      <c r="O10" s="146">
        <f ca="1">L13</f>
        <v>40</v>
      </c>
      <c r="P10" s="143">
        <v>0</v>
      </c>
      <c r="Q10" s="99">
        <v>0</v>
      </c>
      <c r="R10" s="99">
        <v>1</v>
      </c>
      <c r="S10" s="101">
        <v>0</v>
      </c>
      <c r="T10" s="101">
        <v>0</v>
      </c>
      <c r="U10" s="110">
        <v>0</v>
      </c>
      <c r="V10" s="9">
        <f ca="1"/>
        <v>0</v>
      </c>
      <c r="W10" s="10">
        <f ca="1"/>
        <v>-240</v>
      </c>
      <c r="X10" s="181">
        <f ca="1"/>
        <v>80</v>
      </c>
      <c r="Y10" s="9">
        <f ca="1"/>
        <v>0</v>
      </c>
      <c r="Z10" s="10">
        <f ca="1"/>
        <v>240</v>
      </c>
      <c r="AA10" s="146">
        <f ca="1"/>
        <v>40</v>
      </c>
      <c r="AB10" s="61">
        <f ca="1">IF(ISNUMBER($A8),INDIRECT("System!" &amp; ADDRESS(A8+1,COLUMN(System!U7))),0)</f>
        <v>0</v>
      </c>
      <c r="AC10" s="301">
        <f ca="1">IF(G8=1,-F8*D8^2/12,IF(G8="2a",0,IF(G8="2b",-F8*D8^2/8,0)))</f>
        <v>-2.0833333333333332E-2</v>
      </c>
      <c r="AD10" s="61">
        <f ca="1"/>
        <v>-2.0833333333333332E-2</v>
      </c>
      <c r="AE10" s="7">
        <f t="shared" ref="AE10:BR10" ca="1" si="21">IF(ABS($D10)=AE$1,SIGN($D10),0)</f>
        <v>0</v>
      </c>
      <c r="AF10" s="1">
        <f t="shared" ca="1" si="21"/>
        <v>0</v>
      </c>
      <c r="AG10" s="1">
        <f t="shared" ca="1" si="21"/>
        <v>0</v>
      </c>
      <c r="AH10" s="1">
        <f t="shared" ca="1" si="21"/>
        <v>1</v>
      </c>
      <c r="AI10" s="1">
        <f t="shared" ca="1" si="21"/>
        <v>0</v>
      </c>
      <c r="AJ10" s="26">
        <f t="shared" ca="1" si="21"/>
        <v>0</v>
      </c>
      <c r="AK10" s="26">
        <f t="shared" ca="1" si="21"/>
        <v>0</v>
      </c>
      <c r="AL10" s="26">
        <f t="shared" ca="1" si="21"/>
        <v>0</v>
      </c>
      <c r="AM10" s="26">
        <f t="shared" ca="1" si="21"/>
        <v>0</v>
      </c>
      <c r="AN10" s="26">
        <f t="shared" ca="1" si="21"/>
        <v>0</v>
      </c>
      <c r="AO10" s="26">
        <f t="shared" ca="1" si="21"/>
        <v>0</v>
      </c>
      <c r="AP10" s="26">
        <f t="shared" ca="1" si="21"/>
        <v>0</v>
      </c>
      <c r="AQ10" s="26">
        <f t="shared" ca="1" si="21"/>
        <v>0</v>
      </c>
      <c r="AR10" s="26">
        <f t="shared" ca="1" si="21"/>
        <v>0</v>
      </c>
      <c r="AS10" s="26">
        <f t="shared" ca="1" si="21"/>
        <v>0</v>
      </c>
      <c r="AT10" s="26">
        <f t="shared" ca="1" si="21"/>
        <v>0</v>
      </c>
      <c r="AU10" s="26">
        <f t="shared" ca="1" si="21"/>
        <v>0</v>
      </c>
      <c r="AV10" s="26">
        <f t="shared" ca="1" si="21"/>
        <v>0</v>
      </c>
      <c r="AW10" s="26">
        <f t="shared" ca="1" si="21"/>
        <v>0</v>
      </c>
      <c r="AX10" s="26">
        <f t="shared" ca="1" si="21"/>
        <v>0</v>
      </c>
      <c r="AY10" s="26">
        <f t="shared" ca="1" si="21"/>
        <v>0</v>
      </c>
      <c r="AZ10" s="26">
        <f t="shared" ca="1" si="21"/>
        <v>0</v>
      </c>
      <c r="BA10" s="26">
        <f t="shared" ca="1" si="21"/>
        <v>0</v>
      </c>
      <c r="BB10" s="26">
        <f t="shared" ca="1" si="21"/>
        <v>0</v>
      </c>
      <c r="BC10" s="26">
        <f t="shared" ca="1" si="21"/>
        <v>0</v>
      </c>
      <c r="BD10" s="26">
        <f t="shared" ca="1" si="21"/>
        <v>0</v>
      </c>
      <c r="BE10" s="26">
        <f t="shared" ca="1" si="21"/>
        <v>0</v>
      </c>
      <c r="BF10" s="26">
        <f t="shared" ca="1" si="21"/>
        <v>0</v>
      </c>
      <c r="BG10" s="26">
        <f t="shared" ca="1" si="21"/>
        <v>0</v>
      </c>
      <c r="BH10" s="26">
        <f t="shared" ca="1" si="21"/>
        <v>0</v>
      </c>
      <c r="BI10" s="26">
        <f t="shared" ca="1" si="21"/>
        <v>0</v>
      </c>
      <c r="BJ10" s="26">
        <f t="shared" ca="1" si="21"/>
        <v>0</v>
      </c>
      <c r="BK10" s="26">
        <f t="shared" ca="1" si="21"/>
        <v>0</v>
      </c>
      <c r="BL10" s="26">
        <f t="shared" ca="1" si="21"/>
        <v>0</v>
      </c>
      <c r="BM10" s="26">
        <f t="shared" ca="1" si="21"/>
        <v>0</v>
      </c>
      <c r="BN10" s="26">
        <f t="shared" ca="1" si="21"/>
        <v>0</v>
      </c>
      <c r="BO10" s="26">
        <f t="shared" ca="1" si="21"/>
        <v>0</v>
      </c>
      <c r="BP10" s="26">
        <f t="shared" ca="1" si="21"/>
        <v>0</v>
      </c>
      <c r="BQ10" s="26">
        <f t="shared" ca="1" si="21"/>
        <v>0</v>
      </c>
      <c r="BR10" s="26">
        <f t="shared" ca="1" si="21"/>
        <v>0</v>
      </c>
      <c r="BS10" s="282">
        <f ca="1">IF(ISNUMBER($A8),IF(INDEX(B10:G10,3)&lt;&gt;0,SIGN(INDEX(B10:G10,3))*INDIRECT(ADDRESS(1+ABS(INDEX(B10:G10,3)),COLUMN(Ksys!$B$1),1,TRUE,"Ksys")),0)+AB10,0)</f>
        <v>7.8239498823497731E-4</v>
      </c>
      <c r="BT10" s="61">
        <f ca="1"/>
        <v>7.8239498823497731E-4</v>
      </c>
      <c r="BU10" s="61">
        <f ca="1"/>
        <v>-0.11945361522592417</v>
      </c>
      <c r="BV10" s="61">
        <f ca="1"/>
        <v>0.11945361522592417</v>
      </c>
      <c r="BW10" s="287" t="s">
        <v>96</v>
      </c>
      <c r="BX10" s="7">
        <f t="array" aca="1" ref="BX10:BX11" ca="1">IF(ISNUMBER($A8),MMULT(TRANSPOSE($P8:$Q9),BX8:BX9),0)</f>
        <v>3.8609276954815165E-4</v>
      </c>
      <c r="BY10" s="1">
        <f t="array" aca="1" ref="BY10:BY11" ca="1">IF(ISNUMBER($A8),MMULT(TRANSPOSE($P8:$Q9),BY8:BY9),0)</f>
        <v>3.474834925933365E-4</v>
      </c>
      <c r="BZ10" s="1">
        <f t="array" aca="1" ref="BZ10:BZ11" ca="1">IF(ISNUMBER($A8),MMULT(TRANSPOSE($P8:$Q9),BZ8:BZ9),0)</f>
        <v>3.0887421563852136E-4</v>
      </c>
      <c r="CA10" s="1">
        <f t="array" aca="1" ref="CA10:CA11" ca="1">IF(ISNUMBER($A8),MMULT(TRANSPOSE($P8:$Q9),CA8:CA9),0)</f>
        <v>2.7026493868370611E-4</v>
      </c>
      <c r="CB10" s="1">
        <f t="array" aca="1" ref="CB10:CB11" ca="1">IF(ISNUMBER($A8),MMULT(TRANSPOSE($P8:$Q9),CB8:CB9),0)</f>
        <v>2.3165566172889097E-4</v>
      </c>
      <c r="CC10" s="1">
        <f t="array" aca="1" ref="CC10:CC11" ca="1">IF(ISNUMBER($A8),MMULT(TRANSPOSE($P8:$Q9),CC8:CC9),0)</f>
        <v>1.9304638477407582E-4</v>
      </c>
      <c r="CD10" s="1">
        <f t="array" aca="1" ref="CD10:CD11" ca="1">IF(ISNUMBER($A8),MMULT(TRANSPOSE($P8:$Q9),CD8:CD9),0)</f>
        <v>1.5443710781926068E-4</v>
      </c>
      <c r="CE10" s="1">
        <f t="array" aca="1" ref="CE10:CE11" ca="1">IF(ISNUMBER($A8),MMULT(TRANSPOSE($P8:$Q9),CE8:CE9),0)</f>
        <v>1.1582783086444551E-4</v>
      </c>
      <c r="CF10" s="1">
        <f t="array" aca="1" ref="CF10:CF11" ca="1">IF(ISNUMBER($A8),MMULT(TRANSPOSE($P8:$Q9),CF8:CF9),0)</f>
        <v>7.7218553909630313E-5</v>
      </c>
      <c r="CG10" s="1">
        <f t="array" aca="1" ref="CG10:CG11" ca="1">IF(ISNUMBER($A8),MMULT(TRANSPOSE($P8:$Q9),CG8:CG9),0)</f>
        <v>3.8609276954815156E-5</v>
      </c>
      <c r="CH10" s="8">
        <f t="array" aca="1" ref="CH10:CH11" ca="1">IF(ISNUMBER($A8),MMULT(TRANSPOSE($P8:$Q9),CH8:CH9),0)</f>
        <v>0</v>
      </c>
      <c r="CI10" s="345"/>
      <c r="CJ10" s="345"/>
      <c r="CK10" s="444">
        <f ca="1">MAX(MAX(BX10:CH11),ABS(MIN(BX10:CH11)))</f>
        <v>1.6470609543335233E-3</v>
      </c>
      <c r="CL10" s="12"/>
      <c r="CM10" s="291" t="s">
        <v>96</v>
      </c>
      <c r="CN10" s="7">
        <f t="array" aca="1" ref="CN10:CN11" ca="1">IF(ISNUMBER($A8),MMULT(TRANSPOSE($P8:$Q9),CN8:CN9),0)</f>
        <v>0</v>
      </c>
      <c r="CO10" s="1">
        <f t="array" aca="1" ref="CO10:CO11" ca="1">IF(ISNUMBER($A8),MMULT(TRANSPOSE($P8:$Q9),CO8:CO9),0)</f>
        <v>0</v>
      </c>
      <c r="CP10" s="1">
        <f t="array" aca="1" ref="CP10:CP11" ca="1">IF(ISNUMBER($A8),MMULT(TRANSPOSE($P8:$Q9),CP8:CP9),0)</f>
        <v>0</v>
      </c>
      <c r="CQ10" s="1">
        <f t="array" aca="1" ref="CQ10:CQ11" ca="1">IF(ISNUMBER($A8),MMULT(TRANSPOSE($P8:$Q9),CQ8:CQ9),0)</f>
        <v>0</v>
      </c>
      <c r="CR10" s="1">
        <f t="array" aca="1" ref="CR10:CR11" ca="1">IF(ISNUMBER($A8),MMULT(TRANSPOSE($P8:$Q9),CR8:CR9),0)</f>
        <v>0</v>
      </c>
      <c r="CS10" s="1">
        <f t="array" aca="1" ref="CS10:CS11" ca="1">IF(ISNUMBER($A8),MMULT(TRANSPOSE($P8:$Q9),CS8:CS9),0)</f>
        <v>0</v>
      </c>
      <c r="CT10" s="1">
        <f t="array" aca="1" ref="CT10:CT11" ca="1">IF(ISNUMBER($A8),MMULT(TRANSPOSE($P8:$Q9),CT8:CT9),0)</f>
        <v>0</v>
      </c>
      <c r="CU10" s="1">
        <f t="array" aca="1" ref="CU10:CU11" ca="1">IF(ISNUMBER($A8),MMULT(TRANSPOSE($P8:$Q9),CU8:CU9),0)</f>
        <v>0</v>
      </c>
      <c r="CV10" s="1">
        <f t="array" aca="1" ref="CV10:CV11" ca="1">IF(ISNUMBER($A8),MMULT(TRANSPOSE($P8:$Q9),CV8:CV9),0)</f>
        <v>0</v>
      </c>
      <c r="CW10" s="1">
        <f t="array" aca="1" ref="CW10:CW11" ca="1">IF(ISNUMBER($A8),MMULT(TRANSPOSE($P8:$Q9),CW8:CW9),0)</f>
        <v>0</v>
      </c>
      <c r="CX10" s="1">
        <f t="array" aca="1" ref="CX10:CX11" ca="1">IF(ISNUMBER($A8),MMULT(TRANSPOSE($P8:$Q9),CX8:CX9),0)</f>
        <v>0</v>
      </c>
      <c r="CY10" s="1"/>
      <c r="CZ10" s="1"/>
      <c r="DA10" s="26"/>
      <c r="DB10" s="309"/>
      <c r="DC10" s="310"/>
      <c r="DD10" s="345"/>
      <c r="DE10" s="12"/>
      <c r="DF10" s="291" t="s">
        <v>96</v>
      </c>
      <c r="DG10" s="7">
        <f t="array" aca="1" ref="DG10:DG11" ca="1">IF(ISNUMBER($A8),MMULT(TRANSPOSE($P8:$Q9),DG8:DG9),0)</f>
        <v>0</v>
      </c>
      <c r="DH10" s="1">
        <f t="array" aca="1" ref="DH10:DH11" ca="1">IF(ISNUMBER($A8),MMULT(TRANSPOSE($P8:$Q9),DH8:DH9),0)</f>
        <v>0</v>
      </c>
      <c r="DI10" s="1">
        <f t="array" aca="1" ref="DI10:DI11" ca="1">IF(ISNUMBER($A8),MMULT(TRANSPOSE($P8:$Q9),DI8:DI9),0)</f>
        <v>0</v>
      </c>
      <c r="DJ10" s="1">
        <f t="array" aca="1" ref="DJ10:DJ11" ca="1">IF(ISNUMBER($A8),MMULT(TRANSPOSE($P8:$Q9),DJ8:DJ9),0)</f>
        <v>0</v>
      </c>
      <c r="DK10" s="1">
        <f t="array" aca="1" ref="DK10:DK11" ca="1">IF(ISNUMBER($A8),MMULT(TRANSPOSE($P8:$Q9),DK8:DK9),0)</f>
        <v>0</v>
      </c>
      <c r="DL10" s="1">
        <f t="array" aca="1" ref="DL10:DL11" ca="1">IF(ISNUMBER($A8),MMULT(TRANSPOSE($P8:$Q9),DL8:DL9),0)</f>
        <v>0</v>
      </c>
      <c r="DM10" s="1">
        <f t="array" aca="1" ref="DM10:DM11" ca="1">IF(ISNUMBER($A8),MMULT(TRANSPOSE($P8:$Q9),DM8:DM9),0)</f>
        <v>0</v>
      </c>
      <c r="DN10" s="1">
        <f t="array" aca="1" ref="DN10:DN11" ca="1">IF(ISNUMBER($A8),MMULT(TRANSPOSE($P8:$Q9),DN8:DN9),0)</f>
        <v>0</v>
      </c>
      <c r="DO10" s="1">
        <f t="array" aca="1" ref="DO10:DO11" ca="1">IF(ISNUMBER($A8),MMULT(TRANSPOSE($P8:$Q9),DO8:DO9),0)</f>
        <v>0</v>
      </c>
      <c r="DP10" s="1">
        <f t="array" aca="1" ref="DP10:DP11" ca="1">IF(ISNUMBER($A8),MMULT(TRANSPOSE($P8:$Q9),DP8:DP9),0)</f>
        <v>0</v>
      </c>
      <c r="DQ10" s="1">
        <f t="array" aca="1" ref="DQ10:DQ11" ca="1">IF(ISNUMBER($A8),MMULT(TRANSPOSE($P8:$Q9),DQ8:DQ9),0)</f>
        <v>0</v>
      </c>
      <c r="DR10" s="1"/>
      <c r="DS10" s="1"/>
      <c r="DT10" s="8"/>
      <c r="DU10" s="12"/>
      <c r="DV10" s="310"/>
      <c r="DW10" s="345"/>
      <c r="DX10" s="12"/>
      <c r="DY10" s="291" t="s">
        <v>96</v>
      </c>
      <c r="DZ10" s="7">
        <f t="array" aca="1" ref="DZ10:DZ11" ca="1">IF(ISNUMBER($A8),MMULT(TRANSPOSE($P8:$Q9),DZ8:DZ9),0)</f>
        <v>0</v>
      </c>
      <c r="EA10" s="1">
        <f t="array" aca="1" ref="EA10:EA11" ca="1">IF(ISNUMBER($A8),MMULT(TRANSPOSE($P8:$Q9),EA8:EA9),0)</f>
        <v>0</v>
      </c>
      <c r="EB10" s="1">
        <f t="array" aca="1" ref="EB10:EB11" ca="1">IF(ISNUMBER($A8),MMULT(TRANSPOSE($P8:$Q9),EB8:EB9),0)</f>
        <v>0</v>
      </c>
      <c r="EC10" s="1">
        <f t="array" aca="1" ref="EC10:EC11" ca="1">IF(ISNUMBER($A8),MMULT(TRANSPOSE($P8:$Q9),EC8:EC9),0)</f>
        <v>0</v>
      </c>
      <c r="ED10" s="1">
        <f t="array" aca="1" ref="ED10:ED11" ca="1">IF(ISNUMBER($A8),MMULT(TRANSPOSE($P8:$Q9),ED8:ED9),0)</f>
        <v>0</v>
      </c>
      <c r="EE10" s="1">
        <f t="array" aca="1" ref="EE10:EE11" ca="1">IF(ISNUMBER($A8),MMULT(TRANSPOSE($P8:$Q9),EE8:EE9),0)</f>
        <v>0</v>
      </c>
      <c r="EF10" s="1">
        <f t="array" aca="1" ref="EF10:EF11" ca="1">IF(ISNUMBER($A8),MMULT(TRANSPOSE($P8:$Q9),EF8:EF9),0)</f>
        <v>0</v>
      </c>
      <c r="EG10" s="1">
        <f t="array" aca="1" ref="EG10:EG11" ca="1">IF(ISNUMBER($A8),MMULT(TRANSPOSE($P8:$Q9),EG8:EG9),0)</f>
        <v>0</v>
      </c>
      <c r="EH10" s="1">
        <f t="array" aca="1" ref="EH10:EH11" ca="1">IF(ISNUMBER($A8),MMULT(TRANSPOSE($P8:$Q9),EH8:EH9),0)</f>
        <v>0</v>
      </c>
      <c r="EI10" s="1">
        <f t="array" aca="1" ref="EI10:EI11" ca="1">IF(ISNUMBER($A8),MMULT(TRANSPOSE($P8:$Q9),EI8:EI9),0)</f>
        <v>0</v>
      </c>
      <c r="EJ10" s="1">
        <f t="array" aca="1" ref="EJ10:EJ11" ca="1">IF(ISNUMBER($A8),MMULT(TRANSPOSE($P8:$Q9),EJ8:EJ9),0)</f>
        <v>0</v>
      </c>
      <c r="EK10" s="1"/>
      <c r="EL10" s="1"/>
      <c r="EM10" s="8"/>
      <c r="EN10" s="309"/>
      <c r="EO10" s="310"/>
      <c r="EP10" s="345"/>
    </row>
    <row r="11" spans="1:146" x14ac:dyDescent="0.2">
      <c r="E11" s="12"/>
      <c r="F11" s="12"/>
      <c r="J11" s="4">
        <f ca="1">-J8</f>
        <v>-2000</v>
      </c>
      <c r="K11" s="5">
        <v>0</v>
      </c>
      <c r="L11" s="6">
        <v>0</v>
      </c>
      <c r="M11" s="179">
        <f ca="1">J8</f>
        <v>2000</v>
      </c>
      <c r="N11" s="5">
        <v>0</v>
      </c>
      <c r="O11" s="6">
        <v>0</v>
      </c>
      <c r="P11" s="184">
        <v>0</v>
      </c>
      <c r="Q11" s="101">
        <v>0</v>
      </c>
      <c r="R11" s="101">
        <v>0</v>
      </c>
      <c r="S11" s="99">
        <f ca="1">I8</f>
        <v>1</v>
      </c>
      <c r="T11" s="99">
        <f ca="1">-H8</f>
        <v>0</v>
      </c>
      <c r="U11" s="100">
        <v>0</v>
      </c>
      <c r="V11" s="4">
        <f ca="1"/>
        <v>-2000</v>
      </c>
      <c r="W11" s="5">
        <f ca="1"/>
        <v>0</v>
      </c>
      <c r="X11" s="6">
        <f ca="1"/>
        <v>0</v>
      </c>
      <c r="Y11" s="179">
        <f ca="1"/>
        <v>2000</v>
      </c>
      <c r="Z11" s="5">
        <f ca="1"/>
        <v>0</v>
      </c>
      <c r="AA11" s="6">
        <f ca="1"/>
        <v>0</v>
      </c>
      <c r="AB11" s="61">
        <f ca="1">IF(ISNUMBER($A8),INDIRECT("System!" &amp; ADDRESS(A8+1,COLUMN(System!V7))),0)</f>
        <v>0</v>
      </c>
      <c r="AC11" s="301">
        <f ca="1">IF(ISNUMBER(E8),E8*D8/2,0)</f>
        <v>0</v>
      </c>
      <c r="AD11" s="61">
        <f ca="1"/>
        <v>0</v>
      </c>
      <c r="AE11" s="7">
        <f t="shared" ref="AE11:BR11" ca="1" si="22">IF(ABS($E10)=AE$1,SIGN($E10),0)</f>
        <v>0</v>
      </c>
      <c r="AF11" s="1">
        <f t="shared" ca="1" si="22"/>
        <v>0</v>
      </c>
      <c r="AG11" s="1">
        <f t="shared" ca="1" si="22"/>
        <v>0</v>
      </c>
      <c r="AH11" s="1">
        <f t="shared" ca="1" si="22"/>
        <v>0</v>
      </c>
      <c r="AI11" s="1">
        <f t="shared" ca="1" si="22"/>
        <v>0</v>
      </c>
      <c r="AJ11" s="26">
        <f t="shared" ca="1" si="22"/>
        <v>0</v>
      </c>
      <c r="AK11" s="26">
        <f t="shared" ca="1" si="22"/>
        <v>0</v>
      </c>
      <c r="AL11" s="26">
        <f t="shared" ca="1" si="22"/>
        <v>0</v>
      </c>
      <c r="AM11" s="26">
        <f t="shared" ca="1" si="22"/>
        <v>0</v>
      </c>
      <c r="AN11" s="26">
        <f t="shared" ca="1" si="22"/>
        <v>0</v>
      </c>
      <c r="AO11" s="26">
        <f t="shared" ca="1" si="22"/>
        <v>0</v>
      </c>
      <c r="AP11" s="26">
        <f t="shared" ca="1" si="22"/>
        <v>0</v>
      </c>
      <c r="AQ11" s="26">
        <f t="shared" ca="1" si="22"/>
        <v>0</v>
      </c>
      <c r="AR11" s="26">
        <f t="shared" ca="1" si="22"/>
        <v>0</v>
      </c>
      <c r="AS11" s="26">
        <f t="shared" ca="1" si="22"/>
        <v>0</v>
      </c>
      <c r="AT11" s="26">
        <f t="shared" ca="1" si="22"/>
        <v>0</v>
      </c>
      <c r="AU11" s="26">
        <f t="shared" ca="1" si="22"/>
        <v>0</v>
      </c>
      <c r="AV11" s="26">
        <f t="shared" ca="1" si="22"/>
        <v>0</v>
      </c>
      <c r="AW11" s="26">
        <f t="shared" ca="1" si="22"/>
        <v>0</v>
      </c>
      <c r="AX11" s="26">
        <f t="shared" ca="1" si="22"/>
        <v>0</v>
      </c>
      <c r="AY11" s="26">
        <f t="shared" ca="1" si="22"/>
        <v>0</v>
      </c>
      <c r="AZ11" s="26">
        <f t="shared" ca="1" si="22"/>
        <v>0</v>
      </c>
      <c r="BA11" s="26">
        <f t="shared" ca="1" si="22"/>
        <v>0</v>
      </c>
      <c r="BB11" s="26">
        <f t="shared" ca="1" si="22"/>
        <v>0</v>
      </c>
      <c r="BC11" s="26">
        <f t="shared" ca="1" si="22"/>
        <v>0</v>
      </c>
      <c r="BD11" s="26">
        <f t="shared" ca="1" si="22"/>
        <v>0</v>
      </c>
      <c r="BE11" s="26">
        <f t="shared" ca="1" si="22"/>
        <v>0</v>
      </c>
      <c r="BF11" s="26">
        <f t="shared" ca="1" si="22"/>
        <v>0</v>
      </c>
      <c r="BG11" s="26">
        <f t="shared" ca="1" si="22"/>
        <v>0</v>
      </c>
      <c r="BH11" s="26">
        <f t="shared" ca="1" si="22"/>
        <v>0</v>
      </c>
      <c r="BI11" s="26">
        <f t="shared" ca="1" si="22"/>
        <v>0</v>
      </c>
      <c r="BJ11" s="26">
        <f t="shared" ca="1" si="22"/>
        <v>0</v>
      </c>
      <c r="BK11" s="26">
        <f t="shared" ca="1" si="22"/>
        <v>0</v>
      </c>
      <c r="BL11" s="26">
        <f t="shared" ca="1" si="22"/>
        <v>0</v>
      </c>
      <c r="BM11" s="26">
        <f t="shared" ca="1" si="22"/>
        <v>0</v>
      </c>
      <c r="BN11" s="26">
        <f t="shared" ca="1" si="22"/>
        <v>0</v>
      </c>
      <c r="BO11" s="26">
        <f t="shared" ca="1" si="22"/>
        <v>0</v>
      </c>
      <c r="BP11" s="26">
        <f t="shared" ca="1" si="22"/>
        <v>0</v>
      </c>
      <c r="BQ11" s="26">
        <f t="shared" ca="1" si="22"/>
        <v>0</v>
      </c>
      <c r="BR11" s="26">
        <f t="shared" ca="1" si="22"/>
        <v>0</v>
      </c>
      <c r="BS11" s="282">
        <f ca="1">IF(ISNUMBER($A8),IF(INDEX(B10:G10,4)&lt;&gt;0,SIGN(INDEX(B10:G10,4))*INDIRECT(ADDRESS(1+ABS(INDEX(B10:G10,4)),COLUMN(Ksys!$B$1),1,TRUE,"Ksys")),0)+AB11,0)</f>
        <v>0</v>
      </c>
      <c r="BT11" s="61">
        <f ca="1"/>
        <v>0</v>
      </c>
      <c r="BU11" s="61">
        <f ca="1"/>
        <v>-0.77218553909630328</v>
      </c>
      <c r="BV11" s="61">
        <f t="array" aca="1" ref="BV11:BV13" ca="1">MMULT(J11:O13,BT8:BT13)-AC11:AC13</f>
        <v>-0.77218553909630328</v>
      </c>
      <c r="BW11" s="288" t="s">
        <v>101</v>
      </c>
      <c r="BX11" s="7">
        <f ca="1"/>
        <v>1.6470609543335233E-3</v>
      </c>
      <c r="BY11" s="1">
        <f ca="1"/>
        <v>1.5930124347486418E-3</v>
      </c>
      <c r="BZ11" s="1">
        <f ca="1"/>
        <v>1.509326435071261E-3</v>
      </c>
      <c r="CA11" s="1">
        <f ca="1"/>
        <v>1.3968017956820285E-3</v>
      </c>
      <c r="CB11" s="1">
        <f ca="1"/>
        <v>1.2568623569615927E-3</v>
      </c>
      <c r="CC11" s="1">
        <f ca="1"/>
        <v>1.0915569592906014E-3</v>
      </c>
      <c r="CD11" s="1">
        <f ca="1"/>
        <v>9.0355944304970311E-4</v>
      </c>
      <c r="CE11" s="1">
        <f ca="1"/>
        <v>6.9616864861954592E-4</v>
      </c>
      <c r="CF11" s="1">
        <f ca="1"/>
        <v>4.7330841638077727E-4</v>
      </c>
      <c r="CG11" s="1">
        <f ca="1"/>
        <v>2.3952758671404601E-4</v>
      </c>
      <c r="CH11" s="8">
        <f ca="1"/>
        <v>0</v>
      </c>
      <c r="CI11" s="344" t="s">
        <v>1</v>
      </c>
      <c r="CJ11" s="344" t="s">
        <v>111</v>
      </c>
      <c r="CK11" s="310"/>
      <c r="CL11" s="12"/>
      <c r="CM11" s="292" t="s">
        <v>101</v>
      </c>
      <c r="CN11" s="7">
        <f ca="1"/>
        <v>0.11945361522592417</v>
      </c>
      <c r="CO11" s="1">
        <f ca="1"/>
        <v>0.11875825370333175</v>
      </c>
      <c r="CP11" s="1">
        <f ca="1"/>
        <v>0.11556289218073934</v>
      </c>
      <c r="CQ11" s="1">
        <f ca="1"/>
        <v>0.1098675306581469</v>
      </c>
      <c r="CR11" s="1">
        <f ca="1"/>
        <v>0.10167216913555449</v>
      </c>
      <c r="CS11" s="1">
        <f ca="1"/>
        <v>9.0976807612962077E-2</v>
      </c>
      <c r="CT11" s="1">
        <f ca="1"/>
        <v>7.778144609036966E-2</v>
      </c>
      <c r="CU11" s="1">
        <f ca="1"/>
        <v>6.2086084567777242E-2</v>
      </c>
      <c r="CV11" s="1">
        <f ca="1"/>
        <v>4.3890723045184807E-2</v>
      </c>
      <c r="CW11" s="1">
        <f ca="1"/>
        <v>2.3195361522592398E-2</v>
      </c>
      <c r="CX11" s="1">
        <f ca="1"/>
        <v>-1.7347234759768071E-17</v>
      </c>
      <c r="CY11" s="1"/>
      <c r="CZ11" s="1"/>
      <c r="DA11" s="26"/>
      <c r="DB11" s="311" t="s">
        <v>1</v>
      </c>
      <c r="DC11" s="312" t="s">
        <v>111</v>
      </c>
      <c r="DD11" s="61">
        <f ca="1">MAX(MAX(CN10:CX11),ABS(MIN(CN10:CX11)))</f>
        <v>0.11945361522592417</v>
      </c>
      <c r="DE11" s="12"/>
      <c r="DF11" s="292" t="s">
        <v>101</v>
      </c>
      <c r="DG11" s="7">
        <f ca="1"/>
        <v>1.1092769548151526E-2</v>
      </c>
      <c r="DH11" s="1">
        <f ca="1"/>
        <v>-3.8907230451848476E-2</v>
      </c>
      <c r="DI11" s="1">
        <f ca="1"/>
        <v>-8.8907230451848479E-2</v>
      </c>
      <c r="DJ11" s="1">
        <f ca="1"/>
        <v>-0.13890723045184847</v>
      </c>
      <c r="DK11" s="1">
        <f ca="1"/>
        <v>-0.18890723045184848</v>
      </c>
      <c r="DL11" s="1">
        <f ca="1"/>
        <v>-0.23890723045184847</v>
      </c>
      <c r="DM11" s="1">
        <f ca="1"/>
        <v>-0.28890723045184846</v>
      </c>
      <c r="DN11" s="1">
        <f ca="1"/>
        <v>-0.33890723045184845</v>
      </c>
      <c r="DO11" s="1">
        <f ca="1"/>
        <v>-0.3889072304518485</v>
      </c>
      <c r="DP11" s="1">
        <f ca="1"/>
        <v>-0.43890723045184848</v>
      </c>
      <c r="DQ11" s="1">
        <f ca="1"/>
        <v>-0.48890723045184847</v>
      </c>
      <c r="DR11" s="1"/>
      <c r="DS11" s="1"/>
      <c r="DT11" s="8"/>
      <c r="DU11" s="314" t="s">
        <v>1</v>
      </c>
      <c r="DV11" s="312" t="s">
        <v>111</v>
      </c>
      <c r="DW11" s="349">
        <f ca="1">MAX(MAX(DG10:DQ11),ABS(MIN(DG10:DQ11)))</f>
        <v>0.48890723045184847</v>
      </c>
      <c r="DX11" s="12"/>
      <c r="DY11" s="292" t="s">
        <v>101</v>
      </c>
      <c r="DZ11" s="7">
        <f ca="1"/>
        <v>-0.77218553909630328</v>
      </c>
      <c r="EA11" s="1">
        <f ca="1"/>
        <v>-0.77218553909630328</v>
      </c>
      <c r="EB11" s="1">
        <f ca="1"/>
        <v>-0.77218553909630339</v>
      </c>
      <c r="EC11" s="1">
        <f ca="1"/>
        <v>-0.77218553909630316</v>
      </c>
      <c r="ED11" s="1">
        <f ca="1"/>
        <v>-0.77218553909630328</v>
      </c>
      <c r="EE11" s="1">
        <f ca="1"/>
        <v>-0.77218553909630328</v>
      </c>
      <c r="EF11" s="1">
        <f ca="1"/>
        <v>-0.77218553909630328</v>
      </c>
      <c r="EG11" s="1">
        <f ca="1"/>
        <v>-0.77218553909630328</v>
      </c>
      <c r="EH11" s="1">
        <f ca="1"/>
        <v>-0.77218553909630328</v>
      </c>
      <c r="EI11" s="1">
        <f ca="1"/>
        <v>-0.77218553909630328</v>
      </c>
      <c r="EJ11" s="1">
        <f ca="1"/>
        <v>-0.77218553909630328</v>
      </c>
      <c r="EK11" s="1"/>
      <c r="EL11" s="1"/>
      <c r="EM11" s="8"/>
      <c r="EN11" s="311" t="s">
        <v>1</v>
      </c>
      <c r="EO11" s="312" t="s">
        <v>111</v>
      </c>
      <c r="EP11" s="61">
        <f ca="1">MAX(MAX(DZ10:EJ11),ABS(MIN(DZ10:EJ11)))</f>
        <v>0.77218553909630339</v>
      </c>
    </row>
    <row r="12" spans="1:146" x14ac:dyDescent="0.2">
      <c r="E12" s="1" t="str">
        <f ca="1">IF(ISNUMBER(A8),"" &amp; ADDRESS(ROW(A8),COLUMN($AD$1)) &amp; ":" &amp; ADDRESS(ROW(A13),COLUMN($AD$1)) &amp; "","")</f>
        <v>$AD$8:$AD$13</v>
      </c>
      <c r="F12" s="1" t="str">
        <f ca="1">IF(ISNUMBER(A8),"" &amp; ADDRESS(ROW(A8),COLUMN($V$1)) &amp; ":" &amp; ADDRESS(ROW(A13),COLUMN($AA$1)) &amp; "","")</f>
        <v>$V$8:$AA$13</v>
      </c>
      <c r="G12" s="1" t="str">
        <f ca="1">IF(ISNUMBER(A8),"" &amp; ADDRESS(ROW(A8),COLUMN($AE$1)) &amp; ":" &amp; ADDRESS(ROW(A13),COLUMN($AD$1)+$C$6) &amp; "","")</f>
        <v>$AE$8:$AI$13</v>
      </c>
      <c r="J12" s="7">
        <v>0</v>
      </c>
      <c r="K12" s="1">
        <f ca="1">-K9</f>
        <v>-960</v>
      </c>
      <c r="L12" s="8">
        <f ca="1">IF(G8=1,6*B8/D8^2,IF(G8="2a",0,IF(G8="2b",3*B8/D8^2,0)))</f>
        <v>240</v>
      </c>
      <c r="M12" s="7">
        <v>0</v>
      </c>
      <c r="N12" s="180">
        <f ca="1">K9</f>
        <v>960</v>
      </c>
      <c r="O12" s="8">
        <f ca="1">N13</f>
        <v>240</v>
      </c>
      <c r="P12" s="184">
        <v>0</v>
      </c>
      <c r="Q12" s="101">
        <v>0</v>
      </c>
      <c r="R12" s="101">
        <v>0</v>
      </c>
      <c r="S12" s="99">
        <f ca="1">H8</f>
        <v>0</v>
      </c>
      <c r="T12" s="99">
        <f ca="1">I8</f>
        <v>1</v>
      </c>
      <c r="U12" s="100">
        <v>0</v>
      </c>
      <c r="V12" s="7">
        <f ca="1"/>
        <v>0</v>
      </c>
      <c r="W12" s="1">
        <f ca="1"/>
        <v>-960</v>
      </c>
      <c r="X12" s="8">
        <f ca="1"/>
        <v>240</v>
      </c>
      <c r="Y12" s="7">
        <f ca="1"/>
        <v>0</v>
      </c>
      <c r="Z12" s="180">
        <f ca="1"/>
        <v>960</v>
      </c>
      <c r="AA12" s="8">
        <f ca="1"/>
        <v>240</v>
      </c>
      <c r="AB12" s="61">
        <f ca="1">IF(ISNUMBER($A8),INDIRECT("System!" &amp; ADDRESS(A8+1,COLUMN(System!W7))),0)</f>
        <v>0</v>
      </c>
      <c r="AC12" s="301">
        <f ca="1">IF(G8=1,F8*D8/2,IF(G8="2a",F8*5/8*D8,IF(G8="2b",F8*3/8*D8,0)))</f>
        <v>0.25</v>
      </c>
      <c r="AD12" s="61">
        <f ca="1"/>
        <v>0.25</v>
      </c>
      <c r="AE12" s="7">
        <f t="shared" ref="AE12:BR12" ca="1" si="23">IF(ABS($F10)=AE$1,SIGN($F10),0)</f>
        <v>0</v>
      </c>
      <c r="AF12" s="1">
        <f t="shared" ca="1" si="23"/>
        <v>0</v>
      </c>
      <c r="AG12" s="1">
        <f t="shared" ca="1" si="23"/>
        <v>0</v>
      </c>
      <c r="AH12" s="1">
        <f t="shared" ca="1" si="23"/>
        <v>0</v>
      </c>
      <c r="AI12" s="1">
        <f t="shared" ca="1" si="23"/>
        <v>0</v>
      </c>
      <c r="AJ12" s="26">
        <f t="shared" ca="1" si="23"/>
        <v>0</v>
      </c>
      <c r="AK12" s="26">
        <f t="shared" ca="1" si="23"/>
        <v>0</v>
      </c>
      <c r="AL12" s="26">
        <f t="shared" ca="1" si="23"/>
        <v>0</v>
      </c>
      <c r="AM12" s="26">
        <f t="shared" ca="1" si="23"/>
        <v>0</v>
      </c>
      <c r="AN12" s="26">
        <f t="shared" ca="1" si="23"/>
        <v>0</v>
      </c>
      <c r="AO12" s="26">
        <f t="shared" ca="1" si="23"/>
        <v>0</v>
      </c>
      <c r="AP12" s="26">
        <f t="shared" ca="1" si="23"/>
        <v>0</v>
      </c>
      <c r="AQ12" s="26">
        <f t="shared" ca="1" si="23"/>
        <v>0</v>
      </c>
      <c r="AR12" s="26">
        <f t="shared" ca="1" si="23"/>
        <v>0</v>
      </c>
      <c r="AS12" s="26">
        <f t="shared" ca="1" si="23"/>
        <v>0</v>
      </c>
      <c r="AT12" s="26">
        <f t="shared" ca="1" si="23"/>
        <v>0</v>
      </c>
      <c r="AU12" s="26">
        <f t="shared" ca="1" si="23"/>
        <v>0</v>
      </c>
      <c r="AV12" s="26">
        <f t="shared" ca="1" si="23"/>
        <v>0</v>
      </c>
      <c r="AW12" s="26">
        <f t="shared" ca="1" si="23"/>
        <v>0</v>
      </c>
      <c r="AX12" s="26">
        <f t="shared" ca="1" si="23"/>
        <v>0</v>
      </c>
      <c r="AY12" s="26">
        <f t="shared" ca="1" si="23"/>
        <v>0</v>
      </c>
      <c r="AZ12" s="26">
        <f t="shared" ca="1" si="23"/>
        <v>0</v>
      </c>
      <c r="BA12" s="26">
        <f t="shared" ca="1" si="23"/>
        <v>0</v>
      </c>
      <c r="BB12" s="26">
        <f t="shared" ca="1" si="23"/>
        <v>0</v>
      </c>
      <c r="BC12" s="26">
        <f t="shared" ca="1" si="23"/>
        <v>0</v>
      </c>
      <c r="BD12" s="26">
        <f t="shared" ca="1" si="23"/>
        <v>0</v>
      </c>
      <c r="BE12" s="26">
        <f t="shared" ca="1" si="23"/>
        <v>0</v>
      </c>
      <c r="BF12" s="26">
        <f t="shared" ca="1" si="23"/>
        <v>0</v>
      </c>
      <c r="BG12" s="26">
        <f t="shared" ca="1" si="23"/>
        <v>0</v>
      </c>
      <c r="BH12" s="26">
        <f t="shared" ca="1" si="23"/>
        <v>0</v>
      </c>
      <c r="BI12" s="26">
        <f t="shared" ca="1" si="23"/>
        <v>0</v>
      </c>
      <c r="BJ12" s="26">
        <f t="shared" ca="1" si="23"/>
        <v>0</v>
      </c>
      <c r="BK12" s="26">
        <f t="shared" ca="1" si="23"/>
        <v>0</v>
      </c>
      <c r="BL12" s="26">
        <f t="shared" ca="1" si="23"/>
        <v>0</v>
      </c>
      <c r="BM12" s="26">
        <f t="shared" ca="1" si="23"/>
        <v>0</v>
      </c>
      <c r="BN12" s="26">
        <f t="shared" ca="1" si="23"/>
        <v>0</v>
      </c>
      <c r="BO12" s="26">
        <f t="shared" ca="1" si="23"/>
        <v>0</v>
      </c>
      <c r="BP12" s="26">
        <f t="shared" ca="1" si="23"/>
        <v>0</v>
      </c>
      <c r="BQ12" s="26">
        <f t="shared" ca="1" si="23"/>
        <v>0</v>
      </c>
      <c r="BR12" s="26">
        <f t="shared" ca="1" si="23"/>
        <v>0</v>
      </c>
      <c r="BS12" s="282">
        <f ca="1">IF(ISNUMBER($A8),IF(INDEX(B10:G10,5)&lt;&gt;0,SIGN(INDEX(B10:G10,5))*INDIRECT(ADDRESS(1+ABS(INDEX(B10:G10,5)),COLUMN(Ksys!$B$1),1,TRUE,"Ksys")),0)+AB12,0)</f>
        <v>0</v>
      </c>
      <c r="BT12" s="61">
        <f ca="1"/>
        <v>0</v>
      </c>
      <c r="BU12" s="61">
        <f ca="1"/>
        <v>-0.48890723045184847</v>
      </c>
      <c r="BV12" s="61">
        <f ca="1"/>
        <v>-0.48890723045184847</v>
      </c>
      <c r="BW12" s="296" t="s">
        <v>102</v>
      </c>
      <c r="BX12" s="216">
        <f ca="1">IF(ISNUMBER($A8),$B9*(1-BX$1) + $C9*BX$1 + Knoten!$S$5*BX10,KnotenData!$H$2)</f>
        <v>0.55885637953108702</v>
      </c>
      <c r="BY12" s="206">
        <f ca="1">IF(ISNUMBER($A8),$B9*(1-BY$1) + $C9*BY$1 + Knoten!$S$5*BY10,KnotenData!$H$2)</f>
        <v>0.60297074157797836</v>
      </c>
      <c r="BZ12" s="206">
        <f ca="1">IF(ISNUMBER($A8),$B9*(1-BZ$1) + $C9*BZ$1 + Knoten!$S$5*BZ10,KnotenData!$H$2)</f>
        <v>0.64708510362486971</v>
      </c>
      <c r="CA12" s="206">
        <f ca="1">IF(ISNUMBER($A8),$B9*(1-CA$1) + $C9*CA$1 + Knoten!$S$5*CA10,KnotenData!$H$2)</f>
        <v>0.69119946567176083</v>
      </c>
      <c r="CB12" s="206">
        <f ca="1">IF(ISNUMBER($A8),$B9*(1-CB$1) + $C9*CB$1 + Knoten!$S$5*CB10,KnotenData!$H$2)</f>
        <v>0.73531382771865217</v>
      </c>
      <c r="CC12" s="206">
        <f ca="1">IF(ISNUMBER($A8),$B9*(1-CC$1) + $C9*CC$1 + Knoten!$S$5*CC10,KnotenData!$H$2)</f>
        <v>0.77942818976554351</v>
      </c>
      <c r="CD12" s="206">
        <f ca="1">IF(ISNUMBER($A8),$B9*(1-CD$1) + $C9*CD$1 + Knoten!$S$5*CD10,KnotenData!$H$2)</f>
        <v>0.82354255181243485</v>
      </c>
      <c r="CE12" s="206">
        <f ca="1">IF(ISNUMBER($A8),$B9*(1-CE$1) + $C9*CE$1 + Knoten!$S$5*CE10,KnotenData!$H$2)</f>
        <v>0.86765691385932608</v>
      </c>
      <c r="CF12" s="206">
        <f ca="1">IF(ISNUMBER($A8),$B9*(1-CF$1) + $C9*CF$1 + Knoten!$S$5*CF10,KnotenData!$H$2)</f>
        <v>0.91177127590621743</v>
      </c>
      <c r="CG12" s="206">
        <f ca="1">IF(ISNUMBER($A8),$B9*(1-CG$1) + $C9*CG$1 + Knoten!$S$5*CG10,KnotenData!$H$2)</f>
        <v>0.95588563795310866</v>
      </c>
      <c r="CH12" s="217">
        <f ca="1">IF(ISNUMBER($A8),$B9*(1-CH$1) + $C9*CH$1 + Knoten!$S$5*CH10,KnotenData!$H$2)</f>
        <v>1</v>
      </c>
      <c r="CI12" s="447">
        <f ca="1">MIN(BX12:CH12)</f>
        <v>0.55885637953108702</v>
      </c>
      <c r="CJ12" s="447">
        <f ca="1">MIN(BX13:CH13)</f>
        <v>0.25</v>
      </c>
      <c r="CK12" s="445"/>
      <c r="CL12" s="12"/>
      <c r="CM12" s="293" t="s">
        <v>102</v>
      </c>
      <c r="CN12" s="216">
        <f ca="1">IF(ISNUMBER($A8),$B9*(1-CN$1) + $C9*CN$1 + Momente!$D$6*CN10,KnotenData!$H$2)</f>
        <v>0.5</v>
      </c>
      <c r="CO12" s="206">
        <f ca="1">IF(ISNUMBER($A8),$B9*(1-CO$1) + $C9*CO$1 + Momente!$D$6*CO10,KnotenData!$H$2)</f>
        <v>0.55000000000000004</v>
      </c>
      <c r="CP12" s="206">
        <f ca="1">IF(ISNUMBER($A8),$B9*(1-CP$1) + $C9*CP$1 + Momente!$D$6*CP10,KnotenData!$H$2)</f>
        <v>0.60000000000000009</v>
      </c>
      <c r="CQ12" s="206">
        <f ca="1">IF(ISNUMBER($A8),$B9*(1-CQ$1) + $C9*CQ$1 + Momente!$D$6*CQ10,KnotenData!$H$2)</f>
        <v>0.64999999999999991</v>
      </c>
      <c r="CR12" s="206">
        <f ca="1">IF(ISNUMBER($A8),$B9*(1-CR$1) + $C9*CR$1 + Momente!$D$6*CR10,KnotenData!$H$2)</f>
        <v>0.7</v>
      </c>
      <c r="CS12" s="206">
        <f ca="1">IF(ISNUMBER($A8),$B9*(1-CS$1) + $C9*CS$1 + Momente!$D$6*CS10,KnotenData!$H$2)</f>
        <v>0.75</v>
      </c>
      <c r="CT12" s="206">
        <f ca="1">IF(ISNUMBER($A8),$B9*(1-CT$1) + $C9*CT$1 + Momente!$D$6*CT10,KnotenData!$H$2)</f>
        <v>0.8</v>
      </c>
      <c r="CU12" s="206">
        <f ca="1">IF(ISNUMBER($A8),$B9*(1-CU$1) + $C9*CU$1 + Momente!$D$6*CU10,KnotenData!$H$2)</f>
        <v>0.85</v>
      </c>
      <c r="CV12" s="206">
        <f ca="1">IF(ISNUMBER($A8),$B9*(1-CV$1) + $C9*CV$1 + Momente!$D$6*CV10,KnotenData!$H$2)</f>
        <v>0.9</v>
      </c>
      <c r="CW12" s="206">
        <f ca="1">IF(ISNUMBER($A8),$B9*(1-CW$1) + $C9*CW$1 + Momente!$D$6*CW10,KnotenData!$H$2)</f>
        <v>0.95</v>
      </c>
      <c r="CX12" s="206">
        <f ca="1">IF(ISNUMBER($A8),$B9*(1-CX$1) + $C9*CX$1 + Momente!$D$6*CX10,KnotenData!$H$2)</f>
        <v>1</v>
      </c>
      <c r="CY12" s="206">
        <f ca="1">IF(ISNUMBER($A8),$C9,KnotenData!$H$2)</f>
        <v>1</v>
      </c>
      <c r="CZ12" s="206">
        <f ca="1">IF(ISNUMBER($A8),$B9,KnotenData!$H$2)</f>
        <v>0.5</v>
      </c>
      <c r="DA12" s="305">
        <f ca="1">IF(ISNUMBER($A8),CN12,KnotenData!$H$2)</f>
        <v>0.5</v>
      </c>
      <c r="DB12" s="7">
        <f ca="1">MIN(CN12:DA12)</f>
        <v>0.5</v>
      </c>
      <c r="DC12" s="8">
        <f ca="1">MIN(CN13:DA13)</f>
        <v>0.24999999999999994</v>
      </c>
      <c r="DD12" s="345"/>
      <c r="DE12" s="12"/>
      <c r="DF12" s="293" t="s">
        <v>102</v>
      </c>
      <c r="DG12" s="216">
        <f ca="1">IF(ISNUMBER($A8),$B9*(1-DG$1) + $C9*DG$1 + Querkräfte!$D$6*DG10,KnotenData!$H$2)</f>
        <v>0.5</v>
      </c>
      <c r="DH12" s="206">
        <f ca="1">IF(ISNUMBER($A8),$B9*(1-DH$1) + $C9*DH$1 + Querkräfte!$D$6*DH10,KnotenData!$H$2)</f>
        <v>0.55000000000000004</v>
      </c>
      <c r="DI12" s="206">
        <f ca="1">IF(ISNUMBER($A8),$B9*(1-DI$1) + $C9*DI$1 + Querkräfte!$D$6*DI10,KnotenData!$H$2)</f>
        <v>0.60000000000000009</v>
      </c>
      <c r="DJ12" s="206">
        <f ca="1">IF(ISNUMBER($A8),$B9*(1-DJ$1) + $C9*DJ$1 + Querkräfte!$D$6*DJ10,KnotenData!$H$2)</f>
        <v>0.64999999999999991</v>
      </c>
      <c r="DK12" s="206">
        <f ca="1">IF(ISNUMBER($A8),$B9*(1-DK$1) + $C9*DK$1 + Querkräfte!$D$6*DK10,KnotenData!$H$2)</f>
        <v>0.7</v>
      </c>
      <c r="DL12" s="206">
        <f ca="1">IF(ISNUMBER($A8),$B9*(1-DL$1) + $C9*DL$1 + Querkräfte!$D$6*DL10,KnotenData!$H$2)</f>
        <v>0.75</v>
      </c>
      <c r="DM12" s="206">
        <f ca="1">IF(ISNUMBER($A8),$B9*(1-DM$1) + $C9*DM$1 + Querkräfte!$D$6*DM10,KnotenData!$H$2)</f>
        <v>0.8</v>
      </c>
      <c r="DN12" s="206">
        <f ca="1">IF(ISNUMBER($A8),$B9*(1-DN$1) + $C9*DN$1 + Querkräfte!$D$6*DN10,KnotenData!$H$2)</f>
        <v>0.85</v>
      </c>
      <c r="DO12" s="206">
        <f ca="1">IF(ISNUMBER($A8),$B9*(1-DO$1) + $C9*DO$1 + Querkräfte!$D$6*DO10,KnotenData!$H$2)</f>
        <v>0.9</v>
      </c>
      <c r="DP12" s="206">
        <f ca="1">IF(ISNUMBER($A8),$B9*(1-DP$1) + $C9*DP$1 + Querkräfte!$D$6*DP10,KnotenData!$H$2)</f>
        <v>0.95</v>
      </c>
      <c r="DQ12" s="206">
        <f ca="1">IF(ISNUMBER($A8),$B9*(1-DQ$1) + $C9*DQ$1 + Querkräfte!$D$6*DQ10,KnotenData!$H$2)</f>
        <v>1</v>
      </c>
      <c r="DR12" s="206">
        <f ca="1">IF(ISNUMBER($A8),$C9,KnotenData!$H$2)</f>
        <v>1</v>
      </c>
      <c r="DS12" s="206">
        <f ca="1">IF(ISNUMBER($A8),$B9,KnotenData!$H$2)</f>
        <v>0.5</v>
      </c>
      <c r="DT12" s="217">
        <f ca="1">IF(ISNUMBER($A8),DG12,KnotenData!$H$2)</f>
        <v>0.5</v>
      </c>
      <c r="DU12" s="145">
        <f ca="1">MIN(DG12:DQ12)</f>
        <v>0.5</v>
      </c>
      <c r="DV12" s="8">
        <f ca="1">MIN(DG13:DQ13)</f>
        <v>6.1690248526530073E-2</v>
      </c>
      <c r="DW12" s="345"/>
      <c r="DX12" s="12"/>
      <c r="DY12" s="293" t="s">
        <v>102</v>
      </c>
      <c r="DZ12" s="216">
        <f ca="1">IF(ISNUMBER($A8),$B9*(1-DZ$1) + $C9*DZ$1 + Normalkräfte!$D$6*DZ10,KnotenData!$H$2)</f>
        <v>0.5</v>
      </c>
      <c r="EA12" s="206">
        <f ca="1">IF(ISNUMBER($A8),$B9*(1-EA$1) + $C9*EA$1 + Normalkräfte!$D$6*EA10,KnotenData!$H$2)</f>
        <v>0.55000000000000004</v>
      </c>
      <c r="EB12" s="206">
        <f ca="1">IF(ISNUMBER($A8),$B9*(1-EB$1) + $C9*EB$1 + Normalkräfte!$D$6*EB10,KnotenData!$H$2)</f>
        <v>0.60000000000000009</v>
      </c>
      <c r="EC12" s="206">
        <f ca="1">IF(ISNUMBER($A8),$B9*(1-EC$1) + $C9*EC$1 + Normalkräfte!$D$6*EC10,KnotenData!$H$2)</f>
        <v>0.64999999999999991</v>
      </c>
      <c r="ED12" s="206">
        <f ca="1">IF(ISNUMBER($A8),$B9*(1-ED$1) + $C9*ED$1 + Normalkräfte!$D$6*ED10,KnotenData!$H$2)</f>
        <v>0.7</v>
      </c>
      <c r="EE12" s="206">
        <f ca="1">IF(ISNUMBER($A8),$B9*(1-EE$1) + $C9*EE$1 + Normalkräfte!$D$6*EE10,KnotenData!$H$2)</f>
        <v>0.75</v>
      </c>
      <c r="EF12" s="206">
        <f ca="1">IF(ISNUMBER($A8),$B9*(1-EF$1) + $C9*EF$1 + Normalkräfte!$D$6*EF10,KnotenData!$H$2)</f>
        <v>0.8</v>
      </c>
      <c r="EG12" s="206">
        <f ca="1">IF(ISNUMBER($A8),$B9*(1-EG$1) + $C9*EG$1 + Normalkräfte!$D$6*EG10,KnotenData!$H$2)</f>
        <v>0.85</v>
      </c>
      <c r="EH12" s="206">
        <f ca="1">IF(ISNUMBER($A8),$B9*(1-EH$1) + $C9*EH$1 + Normalkräfte!$D$6*EH10,KnotenData!$H$2)</f>
        <v>0.9</v>
      </c>
      <c r="EI12" s="206">
        <f ca="1">IF(ISNUMBER($A8),$B9*(1-EI$1) + $C9*EI$1 + Normalkräfte!$D$6*EI10,KnotenData!$H$2)</f>
        <v>0.95</v>
      </c>
      <c r="EJ12" s="206">
        <f ca="1">IF(ISNUMBER($A8),$B9*(1-EJ$1) + $C9*EJ$1 + Normalkräfte!$D$6*EJ10,KnotenData!$H$2)</f>
        <v>1</v>
      </c>
      <c r="EK12" s="256">
        <f ca="1">IF(ISNUMBER($A8),$C9,KnotenData!$H$2)</f>
        <v>1</v>
      </c>
      <c r="EL12" s="206">
        <f ca="1">IF(ISNUMBER($A8),$B9,KnotenData!$H$2)</f>
        <v>0.5</v>
      </c>
      <c r="EM12" s="217">
        <f ca="1">IF(ISNUMBER($A8),DZ12,KnotenData!$H$2)</f>
        <v>0.5</v>
      </c>
      <c r="EN12" s="7">
        <f ca="1">MIN(DZ12:EJ12)</f>
        <v>0.5</v>
      </c>
      <c r="EO12" s="8">
        <f ca="1">MIN(DZ13:EJ13)</f>
        <v>8.6918257510613051E-2</v>
      </c>
      <c r="EP12" s="345"/>
    </row>
    <row r="13" spans="1:146" ht="13.5" thickBot="1" x14ac:dyDescent="0.25">
      <c r="E13" s="12"/>
      <c r="F13" s="12"/>
      <c r="J13" s="9">
        <v>0</v>
      </c>
      <c r="K13" s="10">
        <f ca="1">IF(G8=1,-6*B8/D8^2,IF(G8="2a",-3*B8/D8^2,IF(G8="2b",0,0)))</f>
        <v>-240</v>
      </c>
      <c r="L13" s="146">
        <f ca="1">IF(G8=1,2*B8/D8,IF(G8="2a",0,IF(G8="2b",0,0)))</f>
        <v>40</v>
      </c>
      <c r="M13" s="9">
        <v>0</v>
      </c>
      <c r="N13" s="10">
        <f ca="1">-K13</f>
        <v>240</v>
      </c>
      <c r="O13" s="181">
        <f ca="1">IF(G8=1,4*B8/D8,IF(G8="2a",3*B8/D8,IF(G8="2b",0,0)))</f>
        <v>80</v>
      </c>
      <c r="P13" s="185">
        <v>0</v>
      </c>
      <c r="Q13" s="103">
        <v>0</v>
      </c>
      <c r="R13" s="103">
        <v>0</v>
      </c>
      <c r="S13" s="111">
        <v>0</v>
      </c>
      <c r="T13" s="111">
        <v>0</v>
      </c>
      <c r="U13" s="112">
        <v>1</v>
      </c>
      <c r="V13" s="9">
        <f ca="1"/>
        <v>0</v>
      </c>
      <c r="W13" s="10">
        <f ca="1"/>
        <v>-240</v>
      </c>
      <c r="X13" s="146">
        <f ca="1"/>
        <v>40</v>
      </c>
      <c r="Y13" s="9">
        <f ca="1"/>
        <v>0</v>
      </c>
      <c r="Z13" s="10">
        <f ca="1"/>
        <v>240</v>
      </c>
      <c r="AA13" s="181">
        <f ca="1"/>
        <v>80</v>
      </c>
      <c r="AB13" s="62">
        <f ca="1">IF(ISNUMBER($A8),INDIRECT("System!" &amp; ADDRESS(A8+1,COLUMN(System!X7))),0)</f>
        <v>0</v>
      </c>
      <c r="AC13" s="302">
        <f ca="1">IF(G8=1,F8*D8^2/12,IF(G8="2a",F8*D8^2/8,IF(G8="2b",0,0)))</f>
        <v>2.0833333333333332E-2</v>
      </c>
      <c r="AD13" s="62">
        <f ca="1"/>
        <v>2.0833333333333332E-2</v>
      </c>
      <c r="AE13" s="9">
        <f t="shared" ref="AE13:BR13" ca="1" si="24">IF(ABS($G10)=AE$1,SIGN($G10),0)</f>
        <v>0</v>
      </c>
      <c r="AF13" s="10">
        <f t="shared" ca="1" si="24"/>
        <v>0</v>
      </c>
      <c r="AG13" s="10">
        <f t="shared" ca="1" si="24"/>
        <v>0</v>
      </c>
      <c r="AH13" s="10">
        <f t="shared" ca="1" si="24"/>
        <v>0</v>
      </c>
      <c r="AI13" s="10">
        <f t="shared" ca="1" si="24"/>
        <v>1</v>
      </c>
      <c r="AJ13" s="188">
        <f t="shared" ca="1" si="24"/>
        <v>0</v>
      </c>
      <c r="AK13" s="188">
        <f t="shared" ca="1" si="24"/>
        <v>0</v>
      </c>
      <c r="AL13" s="188">
        <f t="shared" ca="1" si="24"/>
        <v>0</v>
      </c>
      <c r="AM13" s="188">
        <f t="shared" ca="1" si="24"/>
        <v>0</v>
      </c>
      <c r="AN13" s="188">
        <f t="shared" ca="1" si="24"/>
        <v>0</v>
      </c>
      <c r="AO13" s="188">
        <f t="shared" ca="1" si="24"/>
        <v>0</v>
      </c>
      <c r="AP13" s="188">
        <f t="shared" ca="1" si="24"/>
        <v>0</v>
      </c>
      <c r="AQ13" s="188">
        <f t="shared" ca="1" si="24"/>
        <v>0</v>
      </c>
      <c r="AR13" s="188">
        <f t="shared" ca="1" si="24"/>
        <v>0</v>
      </c>
      <c r="AS13" s="188">
        <f t="shared" ca="1" si="24"/>
        <v>0</v>
      </c>
      <c r="AT13" s="188">
        <f t="shared" ca="1" si="24"/>
        <v>0</v>
      </c>
      <c r="AU13" s="188">
        <f t="shared" ca="1" si="24"/>
        <v>0</v>
      </c>
      <c r="AV13" s="188">
        <f t="shared" ca="1" si="24"/>
        <v>0</v>
      </c>
      <c r="AW13" s="188">
        <f t="shared" ca="1" si="24"/>
        <v>0</v>
      </c>
      <c r="AX13" s="188">
        <f t="shared" ca="1" si="24"/>
        <v>0</v>
      </c>
      <c r="AY13" s="188">
        <f t="shared" ca="1" si="24"/>
        <v>0</v>
      </c>
      <c r="AZ13" s="188">
        <f t="shared" ca="1" si="24"/>
        <v>0</v>
      </c>
      <c r="BA13" s="188">
        <f t="shared" ca="1" si="24"/>
        <v>0</v>
      </c>
      <c r="BB13" s="188">
        <f t="shared" ca="1" si="24"/>
        <v>0</v>
      </c>
      <c r="BC13" s="188">
        <f t="shared" ca="1" si="24"/>
        <v>0</v>
      </c>
      <c r="BD13" s="188">
        <f t="shared" ca="1" si="24"/>
        <v>0</v>
      </c>
      <c r="BE13" s="188">
        <f t="shared" ca="1" si="24"/>
        <v>0</v>
      </c>
      <c r="BF13" s="188">
        <f t="shared" ca="1" si="24"/>
        <v>0</v>
      </c>
      <c r="BG13" s="188">
        <f t="shared" ca="1" si="24"/>
        <v>0</v>
      </c>
      <c r="BH13" s="188">
        <f t="shared" ca="1" si="24"/>
        <v>0</v>
      </c>
      <c r="BI13" s="188">
        <f t="shared" ca="1" si="24"/>
        <v>0</v>
      </c>
      <c r="BJ13" s="188">
        <f t="shared" ca="1" si="24"/>
        <v>0</v>
      </c>
      <c r="BK13" s="188">
        <f t="shared" ca="1" si="24"/>
        <v>0</v>
      </c>
      <c r="BL13" s="188">
        <f t="shared" ca="1" si="24"/>
        <v>0</v>
      </c>
      <c r="BM13" s="188">
        <f t="shared" ca="1" si="24"/>
        <v>0</v>
      </c>
      <c r="BN13" s="188">
        <f t="shared" ca="1" si="24"/>
        <v>0</v>
      </c>
      <c r="BO13" s="188">
        <f t="shared" ca="1" si="24"/>
        <v>0</v>
      </c>
      <c r="BP13" s="188">
        <f t="shared" ca="1" si="24"/>
        <v>0</v>
      </c>
      <c r="BQ13" s="188">
        <f t="shared" ca="1" si="24"/>
        <v>0</v>
      </c>
      <c r="BR13" s="188">
        <f t="shared" ca="1" si="24"/>
        <v>0</v>
      </c>
      <c r="BS13" s="283">
        <f ca="1">IF(ISNUMBER($A8),IF(INDEX(B10:G10,6)&lt;&gt;0,SIGN(INDEX(B10:G10,6))*INDIRECT(ADDRESS(1+ABS(INDEX(B10:G10,6)),COLUMN(Ksys!$B$1),1,TRUE,"Ksys")),0)+AB13,0)</f>
        <v>4.8104020355497473E-3</v>
      </c>
      <c r="BT13" s="62">
        <f ca="1"/>
        <v>4.8104020355497473E-3</v>
      </c>
      <c r="BU13" s="62">
        <f ca="1"/>
        <v>-1.7347234759768071E-17</v>
      </c>
      <c r="BV13" s="62">
        <f ca="1"/>
        <v>-1.7347234759768071E-17</v>
      </c>
      <c r="BW13" s="297" t="s">
        <v>103</v>
      </c>
      <c r="BX13" s="218">
        <f ca="1">IF(ISNUMBER($A8),$D9*(1-BX$1) + $E9*BX$1 + Knoten!$S$5*BX11,KnotenData!$H$3)</f>
        <v>0.50107966863129327</v>
      </c>
      <c r="BY13" s="295">
        <f ca="1">IF(ISNUMBER($A8),$D9*(1-BY$1) + $E9*BY$1 + Knoten!$S$5*BY11,KnotenData!$H$3)</f>
        <v>0.49284045662661347</v>
      </c>
      <c r="BZ13" s="295">
        <f ca="1">IF(ISNUMBER($A8),$D9*(1-BZ$1) + $E9*BZ$1 + Knoten!$S$5*BZ11,KnotenData!$H$3)</f>
        <v>0.48008327662499195</v>
      </c>
      <c r="CA13" s="295">
        <f ca="1">IF(ISNUMBER($A8),$D9*(1-CA$1) + $E9*CA$1 + Knoten!$S$5*CA11,KnotenData!$H$3)</f>
        <v>0.46292990467699591</v>
      </c>
      <c r="CB13" s="295">
        <f ca="1">IF(ISNUMBER($A8),$D9*(1-CB$1) + $E9*CB$1 + Knoten!$S$5*CB11,KnotenData!$H$3)</f>
        <v>0.44159739247704899</v>
      </c>
      <c r="CC13" s="295">
        <f ca="1">IF(ISNUMBER($A8),$D9*(1-CC$1) + $E9*CC$1 + Knoten!$S$5*CC11,KnotenData!$H$3)</f>
        <v>0.41639806736343077</v>
      </c>
      <c r="CD13" s="295">
        <f ca="1">IF(ISNUMBER($A8),$D9*(1-CD$1) + $E9*CD$1 + Knoten!$S$5*CD11,KnotenData!$H$3)</f>
        <v>0.38773953231827751</v>
      </c>
      <c r="CE13" s="295">
        <f ca="1">IF(ISNUMBER($A8),$D9*(1-CE$1) + $E9*CE$1 + Knoten!$S$5*CE11,KnotenData!$H$3)</f>
        <v>0.3561246659675813</v>
      </c>
      <c r="CF13" s="295">
        <f ca="1">IF(ISNUMBER($A8),$D9*(1-CF$1) + $E9*CF$1 + Knoten!$S$5*CF11,KnotenData!$H$3)</f>
        <v>0.32215162258119046</v>
      </c>
      <c r="CG13" s="295">
        <f ca="1">IF(ISNUMBER($A8),$D9*(1-CG$1) + $E9*CG$1 + Knoten!$S$5*CG11,KnotenData!$H$3)</f>
        <v>0.28651383207280973</v>
      </c>
      <c r="CH13" s="219">
        <f ca="1">IF(ISNUMBER($A8),$D9*(1-CH$1) + $E9*CH$1 + Knoten!$S$5*CH11,KnotenData!$H$3)</f>
        <v>0.25</v>
      </c>
      <c r="CI13" s="449">
        <f ca="1">MAX(BX12:CH12)</f>
        <v>1</v>
      </c>
      <c r="CJ13" s="448">
        <f ca="1">MAX(BX13:CH13)</f>
        <v>0.50107966863129327</v>
      </c>
      <c r="CK13" s="446"/>
      <c r="CL13" s="12">
        <v>2</v>
      </c>
      <c r="CM13" s="294" t="s">
        <v>103</v>
      </c>
      <c r="CN13" s="218">
        <f ca="1">IF(ISNUMBER($A8),$D9*(1-CN$1) + $E9*CN$1 + Momente!$D$6*CN11,KnotenData!$H$3)</f>
        <v>0.6266195029469398</v>
      </c>
      <c r="CO13" s="295">
        <f ca="1">IF(ISNUMBER($A8),$D9*(1-CO$1) + $E9*CO$1 + Momente!$D$6*CO11,KnotenData!$H$3)</f>
        <v>0.62442713136813177</v>
      </c>
      <c r="CP13" s="295">
        <f ca="1">IF(ISNUMBER($A8),$D9*(1-CP$1) + $E9*CP$1 + Momente!$D$6*CP11,KnotenData!$H$3)</f>
        <v>0.61435263118579364</v>
      </c>
      <c r="CQ13" s="295">
        <f ca="1">IF(ISNUMBER($A8),$D9*(1-CQ$1) + $E9*CQ$1 + Momente!$D$6*CQ11,KnotenData!$H$3)</f>
        <v>0.59639600239992507</v>
      </c>
      <c r="CR13" s="295">
        <f ca="1">IF(ISNUMBER($A8),$D9*(1-CR$1) + $E9*CR$1 + Momente!$D$6*CR11,KnotenData!$H$3)</f>
        <v>0.5705572450105264</v>
      </c>
      <c r="CS13" s="295">
        <f ca="1">IF(ISNUMBER($A8),$D9*(1-CS$1) + $E9*CS$1 + Momente!$D$6*CS11,KnotenData!$H$3)</f>
        <v>0.53683635901759752</v>
      </c>
      <c r="CT13" s="295">
        <f ca="1">IF(ISNUMBER($A8),$D9*(1-CT$1) + $E9*CT$1 + Momente!$D$6*CT11,KnotenData!$H$3)</f>
        <v>0.49523334442113848</v>
      </c>
      <c r="CU13" s="295">
        <f ca="1">IF(ISNUMBER($A8),$D9*(1-CU$1) + $E9*CU$1 + Momente!$D$6*CU11,KnotenData!$H$3)</f>
        <v>0.44574820122114917</v>
      </c>
      <c r="CV13" s="295">
        <f ca="1">IF(ISNUMBER($A8),$D9*(1-CV$1) + $E9*CV$1 + Momente!$D$6*CV11,KnotenData!$H$3)</f>
        <v>0.38838092941762958</v>
      </c>
      <c r="CW13" s="295">
        <f ca="1">IF(ISNUMBER($A8),$D9*(1-CW$1) + $E9*CW$1 + Momente!$D$6*CW11,KnotenData!$H$3)</f>
        <v>0.3231315290105799</v>
      </c>
      <c r="CX13" s="295">
        <f ca="1">IF(ISNUMBER($A8),$D9*(1-CX$1) + $E9*CX$1 + Momente!$D$6*CX11,KnotenData!$H$3)</f>
        <v>0.24999999999999994</v>
      </c>
      <c r="CY13" s="295">
        <f ca="1">IF(ISNUMBER($A8),$E9,KnotenData!$H$3)</f>
        <v>0.25</v>
      </c>
      <c r="CZ13" s="295">
        <f ca="1">IF(ISNUMBER($A8),$D9,KnotenData!$H$3)</f>
        <v>0.25</v>
      </c>
      <c r="DA13" s="306">
        <f ca="1">IF(ISNUMBER($A8),CN13,KnotenData!$H$3)</f>
        <v>0.6266195029469398</v>
      </c>
      <c r="DB13" s="9">
        <f ca="1">MAX(CN12:DA12)</f>
        <v>1</v>
      </c>
      <c r="DC13" s="146">
        <f ca="1">MAX(CN13:DA13)</f>
        <v>0.6266195029469398</v>
      </c>
      <c r="DD13" s="346"/>
      <c r="DE13" s="12">
        <v>2</v>
      </c>
      <c r="DF13" s="294" t="s">
        <v>103</v>
      </c>
      <c r="DG13" s="218">
        <f ca="1">IF(ISNUMBER($A8),$D9*(1-DG$1) + $E9*DG$1 + Querkräfte!$D$6*DG11,KnotenData!$H$3)</f>
        <v>0.25427254200113658</v>
      </c>
      <c r="DH13" s="295">
        <f ca="1">IF(ISNUMBER($A8),$D9*(1-DH$1) + $E9*DH$1 + Querkräfte!$D$6*DH11,KnotenData!$H$3)</f>
        <v>0.23501431265367595</v>
      </c>
      <c r="DI13" s="295">
        <f ca="1">IF(ISNUMBER($A8),$D9*(1-DI$1) + $E9*DI$1 + Querkräfte!$D$6*DI11,KnotenData!$H$3)</f>
        <v>0.21575608330621529</v>
      </c>
      <c r="DJ13" s="295">
        <f ca="1">IF(ISNUMBER($A8),$D9*(1-DJ$1) + $E9*DJ$1 + Querkräfte!$D$6*DJ11,KnotenData!$H$3)</f>
        <v>0.19649785395875463</v>
      </c>
      <c r="DK13" s="295">
        <f ca="1">IF(ISNUMBER($A8),$D9*(1-DK$1) + $E9*DK$1 + Querkräfte!$D$6*DK11,KnotenData!$H$3)</f>
        <v>0.177239624611294</v>
      </c>
      <c r="DL13" s="295">
        <f ca="1">IF(ISNUMBER($A8),$D9*(1-DL$1) + $E9*DL$1 + Querkräfte!$D$6*DL11,KnotenData!$H$3)</f>
        <v>0.15798139526383334</v>
      </c>
      <c r="DM13" s="295">
        <f ca="1">IF(ISNUMBER($A8),$D9*(1-DM$1) + $E9*DM$1 + Querkräfte!$D$6*DM11,KnotenData!$H$3)</f>
        <v>0.13872316591637268</v>
      </c>
      <c r="DN13" s="295">
        <f ca="1">IF(ISNUMBER($A8),$D9*(1-DN$1) + $E9*DN$1 + Querkräfte!$D$6*DN11,KnotenData!$H$3)</f>
        <v>0.11946493656891205</v>
      </c>
      <c r="DO13" s="295">
        <f ca="1">IF(ISNUMBER($A8),$D9*(1-DO$1) + $E9*DO$1 + Querkräfte!$D$6*DO11,KnotenData!$H$3)</f>
        <v>0.10020670722145136</v>
      </c>
      <c r="DP13" s="295">
        <f ca="1">IF(ISNUMBER($A8),$D9*(1-DP$1) + $E9*DP$1 + Querkräfte!$D$6*DP11,KnotenData!$H$3)</f>
        <v>8.0948477873990732E-2</v>
      </c>
      <c r="DQ13" s="295">
        <f ca="1">IF(ISNUMBER($A8),$D9*(1-DQ$1) + $E9*DQ$1 + Querkräfte!$D$6*DQ11,KnotenData!$H$3)</f>
        <v>6.1690248526530073E-2</v>
      </c>
      <c r="DR13" s="295">
        <f ca="1">IF(ISNUMBER($A8),$E9,KnotenData!$H$3)</f>
        <v>0.25</v>
      </c>
      <c r="DS13" s="295">
        <f ca="1">IF(ISNUMBER($A8),$D9,KnotenData!$H$3)</f>
        <v>0.25</v>
      </c>
      <c r="DT13" s="219">
        <f ca="1">IF(ISNUMBER($A8),DG13,KnotenData!$H$3)</f>
        <v>0.25427254200113658</v>
      </c>
      <c r="DU13" s="11">
        <f ca="1">MAX(DG12:DQ12)</f>
        <v>1</v>
      </c>
      <c r="DV13" s="146">
        <f ca="1">MAX(DG13:DQ13)</f>
        <v>0.25427254200113658</v>
      </c>
      <c r="DW13" s="346"/>
      <c r="DX13" s="12">
        <v>2</v>
      </c>
      <c r="DY13" s="294" t="s">
        <v>103</v>
      </c>
      <c r="DZ13" s="218">
        <f ca="1">IF(ISNUMBER($A8),$D9*(1-DZ$1) + $E9*DZ$1 + Normalkräfte!$D$6*DZ11,KnotenData!$H$3)</f>
        <v>8.6918257510613051E-2</v>
      </c>
      <c r="EA13" s="295">
        <f ca="1">IF(ISNUMBER($A8),$D9*(1-EA$1) + $E9*EA$1 + Normalkräfte!$D$6*EA11,KnotenData!$H$3)</f>
        <v>8.6918257510613051E-2</v>
      </c>
      <c r="EB13" s="295">
        <f ca="1">IF(ISNUMBER($A8),$D9*(1-EB$1) + $E9*EB$1 + Normalkräfte!$D$6*EB11,KnotenData!$H$3)</f>
        <v>8.6918257510613051E-2</v>
      </c>
      <c r="EC13" s="295">
        <f ca="1">IF(ISNUMBER($A8),$D9*(1-EC$1) + $E9*EC$1 + Normalkräfte!$D$6*EC11,KnotenData!$H$3)</f>
        <v>8.6918257510613078E-2</v>
      </c>
      <c r="ED13" s="295">
        <f ca="1">IF(ISNUMBER($A8),$D9*(1-ED$1) + $E9*ED$1 + Normalkräfte!$D$6*ED11,KnotenData!$H$3)</f>
        <v>8.6918257510613051E-2</v>
      </c>
      <c r="EE13" s="295">
        <f ca="1">IF(ISNUMBER($A8),$D9*(1-EE$1) + $E9*EE$1 + Normalkräfte!$D$6*EE11,KnotenData!$H$3)</f>
        <v>8.6918257510613051E-2</v>
      </c>
      <c r="EF13" s="295">
        <f ca="1">IF(ISNUMBER($A8),$D9*(1-EF$1) + $E9*EF$1 + Normalkräfte!$D$6*EF11,KnotenData!$H$3)</f>
        <v>8.6918257510613051E-2</v>
      </c>
      <c r="EG13" s="295">
        <f ca="1">IF(ISNUMBER($A8),$D9*(1-EG$1) + $E9*EG$1 + Normalkräfte!$D$6*EG11,KnotenData!$H$3)</f>
        <v>8.6918257510613051E-2</v>
      </c>
      <c r="EH13" s="295">
        <f ca="1">IF(ISNUMBER($A8),$D9*(1-EH$1) + $E9*EH$1 + Normalkräfte!$D$6*EH11,KnotenData!$H$3)</f>
        <v>8.6918257510613051E-2</v>
      </c>
      <c r="EI13" s="295">
        <f ca="1">IF(ISNUMBER($A8),$D9*(1-EI$1) + $E9*EI$1 + Normalkräfte!$D$6*EI11,KnotenData!$H$3)</f>
        <v>8.6918257510613051E-2</v>
      </c>
      <c r="EJ13" s="295">
        <f ca="1">IF(ISNUMBER($A8),$D9*(1-EJ$1) + $E9*EJ$1 + Normalkräfte!$D$6*EJ11,KnotenData!$H$3)</f>
        <v>8.6918257510613051E-2</v>
      </c>
      <c r="EK13" s="295">
        <f ca="1">IF(ISNUMBER($A8),$E9,KnotenData!$H$3)</f>
        <v>0.25</v>
      </c>
      <c r="EL13" s="295">
        <f ca="1">IF(ISNUMBER($A8),$D9,KnotenData!$H$3)</f>
        <v>0.25</v>
      </c>
      <c r="EM13" s="219">
        <f ca="1">IF(ISNUMBER($A8),DZ13,KnotenData!$H$3)</f>
        <v>8.6918257510613051E-2</v>
      </c>
      <c r="EN13" s="9">
        <f ca="1">MAX(DZ12:EJ12)</f>
        <v>1</v>
      </c>
      <c r="EO13" s="146">
        <f ca="1">MAX(DZ13:EJ13)</f>
        <v>8.6918257510613078E-2</v>
      </c>
      <c r="EP13" s="346"/>
    </row>
    <row r="14" spans="1:146" x14ac:dyDescent="0.2">
      <c r="A14" s="205" t="str">
        <f ca="1">IF(ISNUMBER(INDIRECT("System!C" &amp;(ROW(A14)+4)/6+1)),INDIRECT("System!B"&amp;(ROW(A14)+4)/6+1),"")</f>
        <v/>
      </c>
      <c r="B14" s="206">
        <f ca="1">IF(ISNUMBER(A14),INDIRECT("System!" &amp; ADDRESS(A14 +1,COLUMN(System!E13))),0)</f>
        <v>0</v>
      </c>
      <c r="C14" s="206">
        <f ca="1">IF(ISNUMBER(A14),INDIRECT("System!" &amp; ADDRESS(A14 +1,COLUMN(System!F13))),0)</f>
        <v>0</v>
      </c>
      <c r="D14" s="209">
        <f ca="1">IF(ISNUMBER(A14),INDIRECT("System!" &amp; ADDRESS(A14 +1,COLUMN(System!O13))),0)</f>
        <v>0</v>
      </c>
      <c r="E14" s="208" t="str">
        <f ca="1">IF(ISNUMBER(A14),INDIRECT("System!" &amp; ADDRESS(A14 +1,COLUMN(System!G13))),"")</f>
        <v/>
      </c>
      <c r="F14" s="208" t="str">
        <f ca="1">IF(ISNUMBER(A14),INDIRECT("System!" &amp; ADDRESS(A14 +1,COLUMN(System!H13))),"")</f>
        <v/>
      </c>
      <c r="G14" s="261" t="str">
        <f ca="1">IF(ISNUMBER(A14),INDIRECT("System!" &amp; ADDRESS(A14 +1,COLUMN(System!I13))),"")</f>
        <v/>
      </c>
      <c r="H14" s="207">
        <f ca="1">IF(ISNUMBER($A14),INDIRECT("System!" &amp; ADDRESS($A14 +1,COLUMN(System!Q13))),0)</f>
        <v>0</v>
      </c>
      <c r="I14" s="209">
        <f ca="1">IF(ISNUMBER($A14),INDIRECT("System!" &amp; ADDRESS($A14 +1,COLUMN(System!R13))),0)</f>
        <v>0</v>
      </c>
      <c r="J14" s="179">
        <f ca="1">IF(ISNUMBER(A14),C14/D14,0)</f>
        <v>0</v>
      </c>
      <c r="K14" s="5">
        <v>0</v>
      </c>
      <c r="L14" s="6">
        <v>0</v>
      </c>
      <c r="M14" s="4">
        <f ca="1">-J14</f>
        <v>0</v>
      </c>
      <c r="N14" s="5">
        <v>0</v>
      </c>
      <c r="O14" s="6">
        <v>0</v>
      </c>
      <c r="P14" s="141">
        <f ca="1">I14</f>
        <v>0</v>
      </c>
      <c r="Q14" s="142">
        <f ca="1">-H14</f>
        <v>0</v>
      </c>
      <c r="R14" s="142">
        <v>0</v>
      </c>
      <c r="S14" s="182">
        <v>0</v>
      </c>
      <c r="T14" s="182">
        <v>0</v>
      </c>
      <c r="U14" s="183">
        <v>0</v>
      </c>
      <c r="V14" s="179">
        <f t="array" aca="1" ref="V14:AA19" ca="1">MMULT(TRANSPOSE(P14:U19),MMULT(J14:O19,P14:U19))</f>
        <v>0</v>
      </c>
      <c r="W14" s="5">
        <f ca="1"/>
        <v>0</v>
      </c>
      <c r="X14" s="6">
        <f ca="1"/>
        <v>0</v>
      </c>
      <c r="Y14" s="4">
        <f ca="1"/>
        <v>0</v>
      </c>
      <c r="Z14" s="5">
        <f ca="1"/>
        <v>0</v>
      </c>
      <c r="AA14" s="6">
        <f ca="1"/>
        <v>0</v>
      </c>
      <c r="AB14" s="60">
        <f ca="1">IF(ISNUMBER($A14),INDIRECT("System!" &amp; ADDRESS(A14+1,COLUMN(System!S13))),0)</f>
        <v>0</v>
      </c>
      <c r="AC14" s="299">
        <f ca="1">IF(ISNUMBER(E14),E14*D14/2,0)</f>
        <v>0</v>
      </c>
      <c r="AD14" s="60">
        <f t="array" aca="1" ref="AD14:AD19" ca="1">MMULT(TRANSPOSE(P14:U19),AC14:AC19) - MMULT(V14:AA19,AB14:AB19)</f>
        <v>0</v>
      </c>
      <c r="AE14" s="4">
        <f t="shared" ref="AE14:BR14" ca="1" si="25">IF(ABS($B16)=AE$1,SIGN($B16),0)</f>
        <v>0</v>
      </c>
      <c r="AF14" s="5">
        <f t="shared" ca="1" si="25"/>
        <v>0</v>
      </c>
      <c r="AG14" s="5">
        <f t="shared" ca="1" si="25"/>
        <v>0</v>
      </c>
      <c r="AH14" s="5">
        <f t="shared" ca="1" si="25"/>
        <v>0</v>
      </c>
      <c r="AI14" s="5">
        <f t="shared" ca="1" si="25"/>
        <v>0</v>
      </c>
      <c r="AJ14" s="189">
        <f t="shared" ca="1" si="25"/>
        <v>0</v>
      </c>
      <c r="AK14" s="189">
        <f t="shared" ca="1" si="25"/>
        <v>0</v>
      </c>
      <c r="AL14" s="189">
        <f t="shared" ca="1" si="25"/>
        <v>0</v>
      </c>
      <c r="AM14" s="189">
        <f t="shared" ca="1" si="25"/>
        <v>0</v>
      </c>
      <c r="AN14" s="189">
        <f t="shared" ca="1" si="25"/>
        <v>0</v>
      </c>
      <c r="AO14" s="189">
        <f t="shared" ca="1" si="25"/>
        <v>0</v>
      </c>
      <c r="AP14" s="189">
        <f t="shared" ca="1" si="25"/>
        <v>0</v>
      </c>
      <c r="AQ14" s="189">
        <f t="shared" ca="1" si="25"/>
        <v>0</v>
      </c>
      <c r="AR14" s="189">
        <f t="shared" ca="1" si="25"/>
        <v>0</v>
      </c>
      <c r="AS14" s="189">
        <f t="shared" ca="1" si="25"/>
        <v>0</v>
      </c>
      <c r="AT14" s="189">
        <f t="shared" ca="1" si="25"/>
        <v>0</v>
      </c>
      <c r="AU14" s="189">
        <f t="shared" ca="1" si="25"/>
        <v>0</v>
      </c>
      <c r="AV14" s="189">
        <f t="shared" ca="1" si="25"/>
        <v>0</v>
      </c>
      <c r="AW14" s="189">
        <f t="shared" ca="1" si="25"/>
        <v>0</v>
      </c>
      <c r="AX14" s="189">
        <f t="shared" ca="1" si="25"/>
        <v>0</v>
      </c>
      <c r="AY14" s="189">
        <f t="shared" ca="1" si="25"/>
        <v>0</v>
      </c>
      <c r="AZ14" s="189">
        <f t="shared" ca="1" si="25"/>
        <v>0</v>
      </c>
      <c r="BA14" s="189">
        <f t="shared" ca="1" si="25"/>
        <v>0</v>
      </c>
      <c r="BB14" s="189">
        <f t="shared" ca="1" si="25"/>
        <v>0</v>
      </c>
      <c r="BC14" s="189">
        <f t="shared" ca="1" si="25"/>
        <v>0</v>
      </c>
      <c r="BD14" s="189">
        <f t="shared" ca="1" si="25"/>
        <v>0</v>
      </c>
      <c r="BE14" s="189">
        <f t="shared" ca="1" si="25"/>
        <v>0</v>
      </c>
      <c r="BF14" s="189">
        <f t="shared" ca="1" si="25"/>
        <v>0</v>
      </c>
      <c r="BG14" s="189">
        <f t="shared" ca="1" si="25"/>
        <v>0</v>
      </c>
      <c r="BH14" s="189">
        <f t="shared" ca="1" si="25"/>
        <v>0</v>
      </c>
      <c r="BI14" s="189">
        <f t="shared" ca="1" si="25"/>
        <v>0</v>
      </c>
      <c r="BJ14" s="189">
        <f t="shared" ca="1" si="25"/>
        <v>0</v>
      </c>
      <c r="BK14" s="189">
        <f t="shared" ca="1" si="25"/>
        <v>0</v>
      </c>
      <c r="BL14" s="189">
        <f t="shared" ca="1" si="25"/>
        <v>0</v>
      </c>
      <c r="BM14" s="189">
        <f t="shared" ca="1" si="25"/>
        <v>0</v>
      </c>
      <c r="BN14" s="189">
        <f t="shared" ca="1" si="25"/>
        <v>0</v>
      </c>
      <c r="BO14" s="189">
        <f t="shared" ca="1" si="25"/>
        <v>0</v>
      </c>
      <c r="BP14" s="189">
        <f t="shared" ca="1" si="25"/>
        <v>0</v>
      </c>
      <c r="BQ14" s="189">
        <f t="shared" ca="1" si="25"/>
        <v>0</v>
      </c>
      <c r="BR14" s="189">
        <f t="shared" ca="1" si="25"/>
        <v>0</v>
      </c>
      <c r="BS14" s="281">
        <f ca="1">IF(ISNUMBER($A14),IF(INDEX(B16:G16,1)&lt;&gt;0,SIGN(INDEX(B16:G16,1))*INDIRECT(ADDRESS(1+ABS(INDEX(B16:G16,1)),COLUMN(Ksys!$B$1),1,TRUE,"Ksys")),0)+AB14,0)</f>
        <v>0</v>
      </c>
      <c r="BT14" s="60">
        <f t="array" aca="1" ref="BT14:BT19" ca="1">MMULT(P14:U19,BS14:BS19)</f>
        <v>0</v>
      </c>
      <c r="BU14" s="60">
        <f t="array" aca="1" ref="BU14:BU19" ca="1">MMULT(J14:O19,BT14:BT19)-AC14:AC19</f>
        <v>0</v>
      </c>
      <c r="BV14" s="60">
        <f t="array" aca="1" ref="BV14:BV16" ca="1">-(MMULT(J14:O16,BT14:BT19)-AC14:AC16)</f>
        <v>0</v>
      </c>
      <c r="BW14" s="286" t="s">
        <v>97</v>
      </c>
      <c r="BX14" s="4">
        <f t="shared" ref="BX14:CH14" ca="1" si="26">IF(ISNUMBER($A14),$BT14*(1-BX$1) + $BT17*BX$1,0)</f>
        <v>0</v>
      </c>
      <c r="BY14" s="5">
        <f t="shared" ca="1" si="26"/>
        <v>0</v>
      </c>
      <c r="BZ14" s="5">
        <f t="shared" ca="1" si="26"/>
        <v>0</v>
      </c>
      <c r="CA14" s="5">
        <f t="shared" ca="1" si="26"/>
        <v>0</v>
      </c>
      <c r="CB14" s="5">
        <f t="shared" ca="1" si="26"/>
        <v>0</v>
      </c>
      <c r="CC14" s="5">
        <f t="shared" ca="1" si="26"/>
        <v>0</v>
      </c>
      <c r="CD14" s="5">
        <f t="shared" ca="1" si="26"/>
        <v>0</v>
      </c>
      <c r="CE14" s="5">
        <f t="shared" ca="1" si="26"/>
        <v>0</v>
      </c>
      <c r="CF14" s="5">
        <f t="shared" ca="1" si="26"/>
        <v>0</v>
      </c>
      <c r="CG14" s="5">
        <f t="shared" ca="1" si="26"/>
        <v>0</v>
      </c>
      <c r="CH14" s="6">
        <f t="shared" ca="1" si="26"/>
        <v>0</v>
      </c>
      <c r="CI14" s="343"/>
      <c r="CJ14" s="343"/>
      <c r="CK14" s="308"/>
      <c r="CL14" s="12"/>
      <c r="CM14" s="290" t="s">
        <v>97</v>
      </c>
      <c r="CN14" s="4">
        <v>0</v>
      </c>
      <c r="CO14" s="5">
        <v>0</v>
      </c>
      <c r="CP14" s="5">
        <v>0</v>
      </c>
      <c r="CQ14" s="5">
        <v>0</v>
      </c>
      <c r="CR14" s="5">
        <v>0</v>
      </c>
      <c r="CS14" s="5">
        <v>0</v>
      </c>
      <c r="CT14" s="5">
        <v>0</v>
      </c>
      <c r="CU14" s="5">
        <v>0</v>
      </c>
      <c r="CV14" s="5">
        <v>0</v>
      </c>
      <c r="CW14" s="5">
        <v>0</v>
      </c>
      <c r="CX14" s="5">
        <v>0</v>
      </c>
      <c r="CY14" s="5"/>
      <c r="CZ14" s="5"/>
      <c r="DA14" s="189"/>
      <c r="DB14" s="307"/>
      <c r="DC14" s="308"/>
      <c r="DD14" s="343"/>
      <c r="DE14" s="12"/>
      <c r="DF14" s="290" t="s">
        <v>97</v>
      </c>
      <c r="DG14" s="4">
        <v>0</v>
      </c>
      <c r="DH14" s="5">
        <v>0</v>
      </c>
      <c r="DI14" s="5">
        <v>0</v>
      </c>
      <c r="DJ14" s="5">
        <v>0</v>
      </c>
      <c r="DK14" s="5">
        <v>0</v>
      </c>
      <c r="DL14" s="5">
        <v>0</v>
      </c>
      <c r="DM14" s="5">
        <v>0</v>
      </c>
      <c r="DN14" s="5">
        <v>0</v>
      </c>
      <c r="DO14" s="5">
        <v>0</v>
      </c>
      <c r="DP14" s="5">
        <v>0</v>
      </c>
      <c r="DQ14" s="5">
        <v>0</v>
      </c>
      <c r="DR14" s="5"/>
      <c r="DS14" s="5"/>
      <c r="DT14" s="6"/>
      <c r="DU14" s="325"/>
      <c r="DV14" s="308"/>
      <c r="DW14" s="343"/>
      <c r="DX14" s="12"/>
      <c r="DY14" s="290" t="s">
        <v>97</v>
      </c>
      <c r="DZ14" s="4">
        <v>0</v>
      </c>
      <c r="EA14" s="5">
        <v>0</v>
      </c>
      <c r="EB14" s="5">
        <v>0</v>
      </c>
      <c r="EC14" s="5">
        <v>0</v>
      </c>
      <c r="ED14" s="5">
        <v>0</v>
      </c>
      <c r="EE14" s="5">
        <v>0</v>
      </c>
      <c r="EF14" s="5">
        <v>0</v>
      </c>
      <c r="EG14" s="5">
        <v>0</v>
      </c>
      <c r="EH14" s="5">
        <v>0</v>
      </c>
      <c r="EI14" s="5">
        <v>0</v>
      </c>
      <c r="EJ14" s="5">
        <v>0</v>
      </c>
      <c r="EK14" s="5"/>
      <c r="EL14" s="5"/>
      <c r="EM14" s="6"/>
      <c r="EN14" s="307"/>
      <c r="EO14" s="308"/>
      <c r="EP14" s="343"/>
    </row>
    <row r="15" spans="1:146" x14ac:dyDescent="0.2">
      <c r="B15" s="1">
        <f ca="1">IF(ISNUMBER($A14),INDIRECT(ADDRESS($A14+1,COLUMN(System!K$2),1,TRUE,"System")),0)</f>
        <v>0</v>
      </c>
      <c r="C15" s="1">
        <f ca="1">IF(ISNUMBER($A14),INDIRECT(ADDRESS($A14+1,COLUMN(System!L$2),1,TRUE,"System")),0)</f>
        <v>0</v>
      </c>
      <c r="D15" s="1">
        <f ca="1">IF(ISNUMBER($A14),INDIRECT(ADDRESS($A14+1,COLUMN(System!M$2),1,TRUE,"System")),0)</f>
        <v>0</v>
      </c>
      <c r="E15" s="1">
        <f ca="1">IF(ISNUMBER($A14),INDIRECT(ADDRESS($A14+1,COLUMN(System!N$2),1,TRUE,"System")),0)</f>
        <v>0</v>
      </c>
      <c r="F15" s="12"/>
      <c r="J15" s="7">
        <v>0</v>
      </c>
      <c r="K15" s="180">
        <f ca="1">IF(G14=1,12*B14/D14^3,IF(G14="2a",3*B14/D14^3,IF(G14="2b",3*B14/D14^3,0)))</f>
        <v>0</v>
      </c>
      <c r="L15" s="8">
        <f ca="1">K16</f>
        <v>0</v>
      </c>
      <c r="M15" s="7">
        <v>0</v>
      </c>
      <c r="N15" s="1">
        <f ca="1">-K15</f>
        <v>0</v>
      </c>
      <c r="O15" s="8">
        <f ca="1">K19</f>
        <v>0</v>
      </c>
      <c r="P15" s="143">
        <f ca="1">H14</f>
        <v>0</v>
      </c>
      <c r="Q15" s="99">
        <f ca="1">I14</f>
        <v>0</v>
      </c>
      <c r="R15" s="99">
        <v>0</v>
      </c>
      <c r="S15" s="101">
        <v>0</v>
      </c>
      <c r="T15" s="101">
        <v>0</v>
      </c>
      <c r="U15" s="110">
        <v>0</v>
      </c>
      <c r="V15" s="7">
        <f ca="1"/>
        <v>0</v>
      </c>
      <c r="W15" s="180">
        <f ca="1"/>
        <v>0</v>
      </c>
      <c r="X15" s="8">
        <f ca="1"/>
        <v>0</v>
      </c>
      <c r="Y15" s="7">
        <f ca="1"/>
        <v>0</v>
      </c>
      <c r="Z15" s="1">
        <f ca="1"/>
        <v>0</v>
      </c>
      <c r="AA15" s="8">
        <f ca="1"/>
        <v>0</v>
      </c>
      <c r="AB15" s="61">
        <f ca="1">IF(ISNUMBER($A14),INDIRECT("System!" &amp; ADDRESS(A14+1,COLUMN(System!T13))),0)</f>
        <v>0</v>
      </c>
      <c r="AC15" s="301">
        <f ca="1">IF(G14=1,F14*D14/2,IF(G14="2a",F14*3/8*D14,IF(G14="2b",F14*5/8*D14,0)))</f>
        <v>0</v>
      </c>
      <c r="AD15" s="61">
        <f ca="1"/>
        <v>0</v>
      </c>
      <c r="AE15" s="7">
        <f t="shared" ref="AE15:BR15" ca="1" si="27">IF(ABS($C16)=AE$1,SIGN($C16),0)</f>
        <v>0</v>
      </c>
      <c r="AF15" s="1">
        <f t="shared" ca="1" si="27"/>
        <v>0</v>
      </c>
      <c r="AG15" s="1">
        <f t="shared" ca="1" si="27"/>
        <v>0</v>
      </c>
      <c r="AH15" s="1">
        <f t="shared" ca="1" si="27"/>
        <v>0</v>
      </c>
      <c r="AI15" s="1">
        <f t="shared" ca="1" si="27"/>
        <v>0</v>
      </c>
      <c r="AJ15" s="26">
        <f t="shared" ca="1" si="27"/>
        <v>0</v>
      </c>
      <c r="AK15" s="26">
        <f t="shared" ca="1" si="27"/>
        <v>0</v>
      </c>
      <c r="AL15" s="26">
        <f t="shared" ca="1" si="27"/>
        <v>0</v>
      </c>
      <c r="AM15" s="26">
        <f t="shared" ca="1" si="27"/>
        <v>0</v>
      </c>
      <c r="AN15" s="26">
        <f t="shared" ca="1" si="27"/>
        <v>0</v>
      </c>
      <c r="AO15" s="26">
        <f t="shared" ca="1" si="27"/>
        <v>0</v>
      </c>
      <c r="AP15" s="26">
        <f t="shared" ca="1" si="27"/>
        <v>0</v>
      </c>
      <c r="AQ15" s="26">
        <f t="shared" ca="1" si="27"/>
        <v>0</v>
      </c>
      <c r="AR15" s="26">
        <f t="shared" ca="1" si="27"/>
        <v>0</v>
      </c>
      <c r="AS15" s="26">
        <f t="shared" ca="1" si="27"/>
        <v>0</v>
      </c>
      <c r="AT15" s="26">
        <f t="shared" ca="1" si="27"/>
        <v>0</v>
      </c>
      <c r="AU15" s="26">
        <f t="shared" ca="1" si="27"/>
        <v>0</v>
      </c>
      <c r="AV15" s="26">
        <f t="shared" ca="1" si="27"/>
        <v>0</v>
      </c>
      <c r="AW15" s="26">
        <f t="shared" ca="1" si="27"/>
        <v>0</v>
      </c>
      <c r="AX15" s="26">
        <f t="shared" ca="1" si="27"/>
        <v>0</v>
      </c>
      <c r="AY15" s="26">
        <f t="shared" ca="1" si="27"/>
        <v>0</v>
      </c>
      <c r="AZ15" s="26">
        <f t="shared" ca="1" si="27"/>
        <v>0</v>
      </c>
      <c r="BA15" s="26">
        <f t="shared" ca="1" si="27"/>
        <v>0</v>
      </c>
      <c r="BB15" s="26">
        <f t="shared" ca="1" si="27"/>
        <v>0</v>
      </c>
      <c r="BC15" s="26">
        <f t="shared" ca="1" si="27"/>
        <v>0</v>
      </c>
      <c r="BD15" s="26">
        <f t="shared" ca="1" si="27"/>
        <v>0</v>
      </c>
      <c r="BE15" s="26">
        <f t="shared" ca="1" si="27"/>
        <v>0</v>
      </c>
      <c r="BF15" s="26">
        <f t="shared" ca="1" si="27"/>
        <v>0</v>
      </c>
      <c r="BG15" s="26">
        <f t="shared" ca="1" si="27"/>
        <v>0</v>
      </c>
      <c r="BH15" s="26">
        <f t="shared" ca="1" si="27"/>
        <v>0</v>
      </c>
      <c r="BI15" s="26">
        <f t="shared" ca="1" si="27"/>
        <v>0</v>
      </c>
      <c r="BJ15" s="26">
        <f t="shared" ca="1" si="27"/>
        <v>0</v>
      </c>
      <c r="BK15" s="26">
        <f t="shared" ca="1" si="27"/>
        <v>0</v>
      </c>
      <c r="BL15" s="26">
        <f t="shared" ca="1" si="27"/>
        <v>0</v>
      </c>
      <c r="BM15" s="26">
        <f t="shared" ca="1" si="27"/>
        <v>0</v>
      </c>
      <c r="BN15" s="26">
        <f t="shared" ca="1" si="27"/>
        <v>0</v>
      </c>
      <c r="BO15" s="26">
        <f t="shared" ca="1" si="27"/>
        <v>0</v>
      </c>
      <c r="BP15" s="26">
        <f t="shared" ca="1" si="27"/>
        <v>0</v>
      </c>
      <c r="BQ15" s="26">
        <f t="shared" ca="1" si="27"/>
        <v>0</v>
      </c>
      <c r="BR15" s="26">
        <f t="shared" ca="1" si="27"/>
        <v>0</v>
      </c>
      <c r="BS15" s="282">
        <f ca="1">IF(ISNUMBER($A14),IF(INDEX(B16:G16,2)&lt;&gt;0,SIGN(INDEX(B16:G16,2))*INDIRECT(ADDRESS(1+ABS(INDEX(B16:G16,2)),COLUMN(Ksys!$B$1),1,TRUE,"Ksys")),0)+AB15,0)</f>
        <v>0</v>
      </c>
      <c r="BT15" s="61">
        <f ca="1"/>
        <v>0</v>
      </c>
      <c r="BU15" s="61">
        <f ca="1"/>
        <v>0</v>
      </c>
      <c r="BV15" s="61">
        <f ca="1"/>
        <v>0</v>
      </c>
      <c r="BW15" s="287" t="s">
        <v>100</v>
      </c>
      <c r="BX15" s="272">
        <f t="shared" ref="BX15:CH15" ca="1" si="28" xml:space="preserve">  IF(ISNUMBER($A14),$BT15*(1-BX$1) + $BT18*BX$1 + ((1-BX$1)-(1-BX$1)^3)*$D14^2/6*$BV16/$B14 + (BX$1-(BX$1)^3)*$D14^2/6*$BV19/$B14 + (BX$1-2*(BX$1)^3+(BX$1)^4)*$D14^2/3*$F14*$D14^2/8/$B14,0)</f>
        <v>0</v>
      </c>
      <c r="BY15" s="173">
        <f t="shared" ca="1" si="28"/>
        <v>0</v>
      </c>
      <c r="BZ15" s="173">
        <f t="shared" ca="1" si="28"/>
        <v>0</v>
      </c>
      <c r="CA15" s="173">
        <f t="shared" ca="1" si="28"/>
        <v>0</v>
      </c>
      <c r="CB15" s="173">
        <f t="shared" ca="1" si="28"/>
        <v>0</v>
      </c>
      <c r="CC15" s="173">
        <f t="shared" ca="1" si="28"/>
        <v>0</v>
      </c>
      <c r="CD15" s="173">
        <f t="shared" ca="1" si="28"/>
        <v>0</v>
      </c>
      <c r="CE15" s="173">
        <f t="shared" ca="1" si="28"/>
        <v>0</v>
      </c>
      <c r="CF15" s="173">
        <f t="shared" ca="1" si="28"/>
        <v>0</v>
      </c>
      <c r="CG15" s="173">
        <f t="shared" ca="1" si="28"/>
        <v>0</v>
      </c>
      <c r="CH15" s="289">
        <f t="shared" ca="1" si="28"/>
        <v>0</v>
      </c>
      <c r="CI15" s="344"/>
      <c r="CJ15" s="344"/>
      <c r="CK15" s="312"/>
      <c r="CL15" s="12"/>
      <c r="CM15" s="291" t="s">
        <v>100</v>
      </c>
      <c r="CN15" s="7">
        <f t="shared" ref="CN15:CX15" ca="1" si="29" xml:space="preserve">  IF(ISNUMBER($A14),$BV16*(1-CN$1) + $BV19*CN$1  + CN$1*(1-CN$1)*$F14*$D14^2/2,0)</f>
        <v>0</v>
      </c>
      <c r="CO15" s="1">
        <f t="shared" ca="1" si="29"/>
        <v>0</v>
      </c>
      <c r="CP15" s="1">
        <f t="shared" ca="1" si="29"/>
        <v>0</v>
      </c>
      <c r="CQ15" s="1">
        <f t="shared" ca="1" si="29"/>
        <v>0</v>
      </c>
      <c r="CR15" s="1">
        <f t="shared" ca="1" si="29"/>
        <v>0</v>
      </c>
      <c r="CS15" s="1">
        <f t="shared" ca="1" si="29"/>
        <v>0</v>
      </c>
      <c r="CT15" s="1">
        <f t="shared" ca="1" si="29"/>
        <v>0</v>
      </c>
      <c r="CU15" s="1">
        <f t="shared" ca="1" si="29"/>
        <v>0</v>
      </c>
      <c r="CV15" s="1">
        <f t="shared" ca="1" si="29"/>
        <v>0</v>
      </c>
      <c r="CW15" s="1">
        <f t="shared" ca="1" si="29"/>
        <v>0</v>
      </c>
      <c r="CX15" s="1">
        <f t="shared" ca="1" si="29"/>
        <v>0</v>
      </c>
      <c r="CY15" s="1"/>
      <c r="CZ15" s="1"/>
      <c r="DA15" s="26"/>
      <c r="DB15" s="309"/>
      <c r="DC15" s="310"/>
      <c r="DD15" s="345"/>
      <c r="DE15" s="12"/>
      <c r="DF15" s="291" t="s">
        <v>100</v>
      </c>
      <c r="DG15" s="7">
        <f t="shared" ref="DG15:DQ15" ca="1" si="30" xml:space="preserve">  IF(ISNUMBER($A14),$BV15*(1-DG$1) + $BV18*DG$1,0)</f>
        <v>0</v>
      </c>
      <c r="DH15" s="1">
        <f t="shared" ca="1" si="30"/>
        <v>0</v>
      </c>
      <c r="DI15" s="1">
        <f t="shared" ca="1" si="30"/>
        <v>0</v>
      </c>
      <c r="DJ15" s="1">
        <f t="shared" ca="1" si="30"/>
        <v>0</v>
      </c>
      <c r="DK15" s="1">
        <f t="shared" ca="1" si="30"/>
        <v>0</v>
      </c>
      <c r="DL15" s="1">
        <f t="shared" ca="1" si="30"/>
        <v>0</v>
      </c>
      <c r="DM15" s="1">
        <f t="shared" ca="1" si="30"/>
        <v>0</v>
      </c>
      <c r="DN15" s="1">
        <f t="shared" ca="1" si="30"/>
        <v>0</v>
      </c>
      <c r="DO15" s="1">
        <f t="shared" ca="1" si="30"/>
        <v>0</v>
      </c>
      <c r="DP15" s="1">
        <f t="shared" ca="1" si="30"/>
        <v>0</v>
      </c>
      <c r="DQ15" s="1">
        <f t="shared" ca="1" si="30"/>
        <v>0</v>
      </c>
      <c r="DR15" s="1"/>
      <c r="DS15" s="1"/>
      <c r="DT15" s="8"/>
      <c r="DU15" s="12"/>
      <c r="DV15" s="310"/>
      <c r="DW15" s="345"/>
      <c r="DX15" s="12"/>
      <c r="DY15" s="291" t="s">
        <v>100</v>
      </c>
      <c r="DZ15" s="7">
        <f t="shared" ref="DZ15:EJ15" ca="1" si="31" xml:space="preserve">  IF(ISNUMBER($A14),$BV14*(1-DZ$1) + $BV17*DZ$1,0)</f>
        <v>0</v>
      </c>
      <c r="EA15" s="1">
        <f t="shared" ca="1" si="31"/>
        <v>0</v>
      </c>
      <c r="EB15" s="1">
        <f t="shared" ca="1" si="31"/>
        <v>0</v>
      </c>
      <c r="EC15" s="1">
        <f t="shared" ca="1" si="31"/>
        <v>0</v>
      </c>
      <c r="ED15" s="1">
        <f t="shared" ca="1" si="31"/>
        <v>0</v>
      </c>
      <c r="EE15" s="1">
        <f t="shared" ca="1" si="31"/>
        <v>0</v>
      </c>
      <c r="EF15" s="1">
        <f t="shared" ca="1" si="31"/>
        <v>0</v>
      </c>
      <c r="EG15" s="1">
        <f t="shared" ca="1" si="31"/>
        <v>0</v>
      </c>
      <c r="EH15" s="1">
        <f t="shared" ca="1" si="31"/>
        <v>0</v>
      </c>
      <c r="EI15" s="1">
        <f t="shared" ca="1" si="31"/>
        <v>0</v>
      </c>
      <c r="EJ15" s="1">
        <f t="shared" ca="1" si="31"/>
        <v>0</v>
      </c>
      <c r="EK15" s="1"/>
      <c r="EL15" s="1"/>
      <c r="EM15" s="8"/>
      <c r="EN15" s="309"/>
      <c r="EO15" s="310"/>
      <c r="EP15" s="345"/>
    </row>
    <row r="16" spans="1:146" ht="13.5" thickBot="1" x14ac:dyDescent="0.25">
      <c r="B16" s="1">
        <f ca="1">IF(ISNUMBER($A14),INDIRECT("System!" &amp; ADDRESS($A14 +1,COLUMN(System!Y13))),0)</f>
        <v>0</v>
      </c>
      <c r="C16" s="1">
        <f ca="1">IF(ISNUMBER($A14),INDIRECT("System!" &amp; ADDRESS($A14 +1,COLUMN(System!Z13))),0)</f>
        <v>0</v>
      </c>
      <c r="D16" s="1">
        <f ca="1">IF(ISNUMBER($A14),INDIRECT("System!" &amp; ADDRESS($A14 +1,COLUMN(System!AA13))),0)</f>
        <v>0</v>
      </c>
      <c r="E16" s="1">
        <f ca="1">IF(ISNUMBER($A14),INDIRECT("System!" &amp; ADDRESS($A14 +1,COLUMN(System!AB13))),0)</f>
        <v>0</v>
      </c>
      <c r="F16" s="1">
        <f ca="1">IF(ISNUMBER($A14),INDIRECT("System!" &amp; ADDRESS($A14 +1,COLUMN(System!AC13))),0)</f>
        <v>0</v>
      </c>
      <c r="G16" s="1">
        <f ca="1">IF(ISNUMBER($A14),INDIRECT("System!" &amp; ADDRESS($A14 +1,COLUMN(System!AD13))),0)</f>
        <v>0</v>
      </c>
      <c r="J16" s="9">
        <v>0</v>
      </c>
      <c r="K16" s="10">
        <f ca="1">IF(G14=1,-6*B14/D14^2,IF(G14="2a",0,IF(G14="2b",-3*B14/D14^2,0)))</f>
        <v>0</v>
      </c>
      <c r="L16" s="181">
        <f ca="1">IF(G14=1,4*B14/D14,IF(G14="2a",0,IF(G14="2b",3*B14/D14,0)))</f>
        <v>0</v>
      </c>
      <c r="M16" s="9">
        <v>0</v>
      </c>
      <c r="N16" s="10">
        <f ca="1">L18</f>
        <v>0</v>
      </c>
      <c r="O16" s="146">
        <f ca="1">L19</f>
        <v>0</v>
      </c>
      <c r="P16" s="143">
        <v>0</v>
      </c>
      <c r="Q16" s="99">
        <v>0</v>
      </c>
      <c r="R16" s="99">
        <v>1</v>
      </c>
      <c r="S16" s="101">
        <v>0</v>
      </c>
      <c r="T16" s="101">
        <v>0</v>
      </c>
      <c r="U16" s="110">
        <v>0</v>
      </c>
      <c r="V16" s="9">
        <f ca="1"/>
        <v>0</v>
      </c>
      <c r="W16" s="10">
        <f ca="1"/>
        <v>0</v>
      </c>
      <c r="X16" s="181">
        <f ca="1"/>
        <v>0</v>
      </c>
      <c r="Y16" s="9">
        <f ca="1"/>
        <v>0</v>
      </c>
      <c r="Z16" s="10">
        <f ca="1"/>
        <v>0</v>
      </c>
      <c r="AA16" s="146">
        <f ca="1"/>
        <v>0</v>
      </c>
      <c r="AB16" s="61">
        <f ca="1">IF(ISNUMBER($A14),INDIRECT("System!" &amp; ADDRESS(A14+1,COLUMN(System!U13))),0)</f>
        <v>0</v>
      </c>
      <c r="AC16" s="301">
        <f ca="1">IF(G14=1,-F14*D14^2/12,IF(G14="2a",0,IF(G14="2b",-F14*D14^2/8,0)))</f>
        <v>0</v>
      </c>
      <c r="AD16" s="61">
        <f ca="1"/>
        <v>0</v>
      </c>
      <c r="AE16" s="7">
        <f t="shared" ref="AE16:BR16" ca="1" si="32">IF(ABS($D16)=AE$1,SIGN($D16),0)</f>
        <v>0</v>
      </c>
      <c r="AF16" s="1">
        <f t="shared" ca="1" si="32"/>
        <v>0</v>
      </c>
      <c r="AG16" s="1">
        <f t="shared" ca="1" si="32"/>
        <v>0</v>
      </c>
      <c r="AH16" s="1">
        <f t="shared" ca="1" si="32"/>
        <v>0</v>
      </c>
      <c r="AI16" s="1">
        <f t="shared" ca="1" si="32"/>
        <v>0</v>
      </c>
      <c r="AJ16" s="26">
        <f t="shared" ca="1" si="32"/>
        <v>0</v>
      </c>
      <c r="AK16" s="26">
        <f t="shared" ca="1" si="32"/>
        <v>0</v>
      </c>
      <c r="AL16" s="26">
        <f t="shared" ca="1" si="32"/>
        <v>0</v>
      </c>
      <c r="AM16" s="26">
        <f t="shared" ca="1" si="32"/>
        <v>0</v>
      </c>
      <c r="AN16" s="26">
        <f t="shared" ca="1" si="32"/>
        <v>0</v>
      </c>
      <c r="AO16" s="26">
        <f t="shared" ca="1" si="32"/>
        <v>0</v>
      </c>
      <c r="AP16" s="26">
        <f t="shared" ca="1" si="32"/>
        <v>0</v>
      </c>
      <c r="AQ16" s="26">
        <f t="shared" ca="1" si="32"/>
        <v>0</v>
      </c>
      <c r="AR16" s="26">
        <f t="shared" ca="1" si="32"/>
        <v>0</v>
      </c>
      <c r="AS16" s="26">
        <f t="shared" ca="1" si="32"/>
        <v>0</v>
      </c>
      <c r="AT16" s="26">
        <f t="shared" ca="1" si="32"/>
        <v>0</v>
      </c>
      <c r="AU16" s="26">
        <f t="shared" ca="1" si="32"/>
        <v>0</v>
      </c>
      <c r="AV16" s="26">
        <f t="shared" ca="1" si="32"/>
        <v>0</v>
      </c>
      <c r="AW16" s="26">
        <f t="shared" ca="1" si="32"/>
        <v>0</v>
      </c>
      <c r="AX16" s="26">
        <f t="shared" ca="1" si="32"/>
        <v>0</v>
      </c>
      <c r="AY16" s="26">
        <f t="shared" ca="1" si="32"/>
        <v>0</v>
      </c>
      <c r="AZ16" s="26">
        <f t="shared" ca="1" si="32"/>
        <v>0</v>
      </c>
      <c r="BA16" s="26">
        <f t="shared" ca="1" si="32"/>
        <v>0</v>
      </c>
      <c r="BB16" s="26">
        <f t="shared" ca="1" si="32"/>
        <v>0</v>
      </c>
      <c r="BC16" s="26">
        <f t="shared" ca="1" si="32"/>
        <v>0</v>
      </c>
      <c r="BD16" s="26">
        <f t="shared" ca="1" si="32"/>
        <v>0</v>
      </c>
      <c r="BE16" s="26">
        <f t="shared" ca="1" si="32"/>
        <v>0</v>
      </c>
      <c r="BF16" s="26">
        <f t="shared" ca="1" si="32"/>
        <v>0</v>
      </c>
      <c r="BG16" s="26">
        <f t="shared" ca="1" si="32"/>
        <v>0</v>
      </c>
      <c r="BH16" s="26">
        <f t="shared" ca="1" si="32"/>
        <v>0</v>
      </c>
      <c r="BI16" s="26">
        <f t="shared" ca="1" si="32"/>
        <v>0</v>
      </c>
      <c r="BJ16" s="26">
        <f t="shared" ca="1" si="32"/>
        <v>0</v>
      </c>
      <c r="BK16" s="26">
        <f t="shared" ca="1" si="32"/>
        <v>0</v>
      </c>
      <c r="BL16" s="26">
        <f t="shared" ca="1" si="32"/>
        <v>0</v>
      </c>
      <c r="BM16" s="26">
        <f t="shared" ca="1" si="32"/>
        <v>0</v>
      </c>
      <c r="BN16" s="26">
        <f t="shared" ca="1" si="32"/>
        <v>0</v>
      </c>
      <c r="BO16" s="26">
        <f t="shared" ca="1" si="32"/>
        <v>0</v>
      </c>
      <c r="BP16" s="26">
        <f t="shared" ca="1" si="32"/>
        <v>0</v>
      </c>
      <c r="BQ16" s="26">
        <f t="shared" ca="1" si="32"/>
        <v>0</v>
      </c>
      <c r="BR16" s="26">
        <f t="shared" ca="1" si="32"/>
        <v>0</v>
      </c>
      <c r="BS16" s="282">
        <f ca="1">IF(ISNUMBER($A14),IF(INDEX(B16:G16,3)&lt;&gt;0,SIGN(INDEX(B16:G16,3))*INDIRECT(ADDRESS(1+ABS(INDEX(B16:G16,3)),COLUMN(Ksys!$B$1),1,TRUE,"Ksys")),0)+AB16,0)</f>
        <v>0</v>
      </c>
      <c r="BT16" s="61">
        <f ca="1"/>
        <v>0</v>
      </c>
      <c r="BU16" s="61">
        <f ca="1"/>
        <v>0</v>
      </c>
      <c r="BV16" s="61">
        <f ca="1"/>
        <v>0</v>
      </c>
      <c r="BW16" s="287" t="s">
        <v>96</v>
      </c>
      <c r="BX16" s="7">
        <f t="array" aca="1" ref="BX16:BX17" ca="1">IF(ISNUMBER($A14),MMULT(TRANSPOSE($P14:$Q15),BX14:BX15),0)</f>
        <v>0</v>
      </c>
      <c r="BY16" s="1">
        <f t="array" aca="1" ref="BY16:BY17" ca="1">IF(ISNUMBER($A14),MMULT(TRANSPOSE($P14:$Q15),BY14:BY15),0)</f>
        <v>0</v>
      </c>
      <c r="BZ16" s="1">
        <f t="array" aca="1" ref="BZ16:BZ17" ca="1">IF(ISNUMBER($A14),MMULT(TRANSPOSE($P14:$Q15),BZ14:BZ15),0)</f>
        <v>0</v>
      </c>
      <c r="CA16" s="1">
        <f t="array" aca="1" ref="CA16:CA17" ca="1">IF(ISNUMBER($A14),MMULT(TRANSPOSE($P14:$Q15),CA14:CA15),0)</f>
        <v>0</v>
      </c>
      <c r="CB16" s="1">
        <f t="array" aca="1" ref="CB16:CB17" ca="1">IF(ISNUMBER($A14),MMULT(TRANSPOSE($P14:$Q15),CB14:CB15),0)</f>
        <v>0</v>
      </c>
      <c r="CC16" s="1">
        <f t="array" aca="1" ref="CC16:CC17" ca="1">IF(ISNUMBER($A14),MMULT(TRANSPOSE($P14:$Q15),CC14:CC15),0)</f>
        <v>0</v>
      </c>
      <c r="CD16" s="1">
        <f t="array" aca="1" ref="CD16:CD17" ca="1">IF(ISNUMBER($A14),MMULT(TRANSPOSE($P14:$Q15),CD14:CD15),0)</f>
        <v>0</v>
      </c>
      <c r="CE16" s="1">
        <f t="array" aca="1" ref="CE16:CE17" ca="1">IF(ISNUMBER($A14),MMULT(TRANSPOSE($P14:$Q15),CE14:CE15),0)</f>
        <v>0</v>
      </c>
      <c r="CF16" s="1">
        <f t="array" aca="1" ref="CF16:CF17" ca="1">IF(ISNUMBER($A14),MMULT(TRANSPOSE($P14:$Q15),CF14:CF15),0)</f>
        <v>0</v>
      </c>
      <c r="CG16" s="1">
        <f t="array" aca="1" ref="CG16:CG17" ca="1">IF(ISNUMBER($A14),MMULT(TRANSPOSE($P14:$Q15),CG14:CG15),0)</f>
        <v>0</v>
      </c>
      <c r="CH16" s="8">
        <f t="array" aca="1" ref="CH16:CH17" ca="1">IF(ISNUMBER($A14),MMULT(TRANSPOSE($P14:$Q15),CH14:CH15),0)</f>
        <v>0</v>
      </c>
      <c r="CI16" s="345"/>
      <c r="CJ16" s="345"/>
      <c r="CK16" s="444">
        <f ca="1">MAX(MAX(BX16:CH17),ABS(MIN(BX16:CH17)))</f>
        <v>0</v>
      </c>
      <c r="CL16" s="12"/>
      <c r="CM16" s="291" t="s">
        <v>96</v>
      </c>
      <c r="CN16" s="7">
        <f t="array" aca="1" ref="CN16:CN17" ca="1">IF(ISNUMBER($A14),MMULT(TRANSPOSE($P14:$Q15),CN14:CN15),0)</f>
        <v>0</v>
      </c>
      <c r="CO16" s="1">
        <f t="array" aca="1" ref="CO16:CO17" ca="1">IF(ISNUMBER($A14),MMULT(TRANSPOSE($P14:$Q15),CO14:CO15),0)</f>
        <v>0</v>
      </c>
      <c r="CP16" s="1">
        <f t="array" aca="1" ref="CP16:CP17" ca="1">IF(ISNUMBER($A14),MMULT(TRANSPOSE($P14:$Q15),CP14:CP15),0)</f>
        <v>0</v>
      </c>
      <c r="CQ16" s="1">
        <f t="array" aca="1" ref="CQ16:CQ17" ca="1">IF(ISNUMBER($A14),MMULT(TRANSPOSE($P14:$Q15),CQ14:CQ15),0)</f>
        <v>0</v>
      </c>
      <c r="CR16" s="1">
        <f t="array" aca="1" ref="CR16:CR17" ca="1">IF(ISNUMBER($A14),MMULT(TRANSPOSE($P14:$Q15),CR14:CR15),0)</f>
        <v>0</v>
      </c>
      <c r="CS16" s="1">
        <f t="array" aca="1" ref="CS16:CS17" ca="1">IF(ISNUMBER($A14),MMULT(TRANSPOSE($P14:$Q15),CS14:CS15),0)</f>
        <v>0</v>
      </c>
      <c r="CT16" s="1">
        <f t="array" aca="1" ref="CT16:CT17" ca="1">IF(ISNUMBER($A14),MMULT(TRANSPOSE($P14:$Q15),CT14:CT15),0)</f>
        <v>0</v>
      </c>
      <c r="CU16" s="1">
        <f t="array" aca="1" ref="CU16:CU17" ca="1">IF(ISNUMBER($A14),MMULT(TRANSPOSE($P14:$Q15),CU14:CU15),0)</f>
        <v>0</v>
      </c>
      <c r="CV16" s="1">
        <f t="array" aca="1" ref="CV16:CV17" ca="1">IF(ISNUMBER($A14),MMULT(TRANSPOSE($P14:$Q15),CV14:CV15),0)</f>
        <v>0</v>
      </c>
      <c r="CW16" s="1">
        <f t="array" aca="1" ref="CW16:CW17" ca="1">IF(ISNUMBER($A14),MMULT(TRANSPOSE($P14:$Q15),CW14:CW15),0)</f>
        <v>0</v>
      </c>
      <c r="CX16" s="1">
        <f t="array" aca="1" ref="CX16:CX17" ca="1">IF(ISNUMBER($A14),MMULT(TRANSPOSE($P14:$Q15),CX14:CX15),0)</f>
        <v>0</v>
      </c>
      <c r="CY16" s="1"/>
      <c r="CZ16" s="1"/>
      <c r="DA16" s="26"/>
      <c r="DB16" s="309"/>
      <c r="DC16" s="310"/>
      <c r="DD16" s="345"/>
      <c r="DE16" s="12"/>
      <c r="DF16" s="291" t="s">
        <v>96</v>
      </c>
      <c r="DG16" s="7">
        <f t="array" aca="1" ref="DG16:DG17" ca="1">IF(ISNUMBER($A14),MMULT(TRANSPOSE($P14:$Q15),DG14:DG15),0)</f>
        <v>0</v>
      </c>
      <c r="DH16" s="1">
        <f t="array" aca="1" ref="DH16:DH17" ca="1">IF(ISNUMBER($A14),MMULT(TRANSPOSE($P14:$Q15),DH14:DH15),0)</f>
        <v>0</v>
      </c>
      <c r="DI16" s="1">
        <f t="array" aca="1" ref="DI16:DI17" ca="1">IF(ISNUMBER($A14),MMULT(TRANSPOSE($P14:$Q15),DI14:DI15),0)</f>
        <v>0</v>
      </c>
      <c r="DJ16" s="1">
        <f t="array" aca="1" ref="DJ16:DJ17" ca="1">IF(ISNUMBER($A14),MMULT(TRANSPOSE($P14:$Q15),DJ14:DJ15),0)</f>
        <v>0</v>
      </c>
      <c r="DK16" s="1">
        <f t="array" aca="1" ref="DK16:DK17" ca="1">IF(ISNUMBER($A14),MMULT(TRANSPOSE($P14:$Q15),DK14:DK15),0)</f>
        <v>0</v>
      </c>
      <c r="DL16" s="1">
        <f t="array" aca="1" ref="DL16:DL17" ca="1">IF(ISNUMBER($A14),MMULT(TRANSPOSE($P14:$Q15),DL14:DL15),0)</f>
        <v>0</v>
      </c>
      <c r="DM16" s="1">
        <f t="array" aca="1" ref="DM16:DM17" ca="1">IF(ISNUMBER($A14),MMULT(TRANSPOSE($P14:$Q15),DM14:DM15),0)</f>
        <v>0</v>
      </c>
      <c r="DN16" s="1">
        <f t="array" aca="1" ref="DN16:DN17" ca="1">IF(ISNUMBER($A14),MMULT(TRANSPOSE($P14:$Q15),DN14:DN15),0)</f>
        <v>0</v>
      </c>
      <c r="DO16" s="1">
        <f t="array" aca="1" ref="DO16:DO17" ca="1">IF(ISNUMBER($A14),MMULT(TRANSPOSE($P14:$Q15),DO14:DO15),0)</f>
        <v>0</v>
      </c>
      <c r="DP16" s="1">
        <f t="array" aca="1" ref="DP16:DP17" ca="1">IF(ISNUMBER($A14),MMULT(TRANSPOSE($P14:$Q15),DP14:DP15),0)</f>
        <v>0</v>
      </c>
      <c r="DQ16" s="1">
        <f t="array" aca="1" ref="DQ16:DQ17" ca="1">IF(ISNUMBER($A14),MMULT(TRANSPOSE($P14:$Q15),DQ14:DQ15),0)</f>
        <v>0</v>
      </c>
      <c r="DR16" s="1"/>
      <c r="DS16" s="1"/>
      <c r="DT16" s="8"/>
      <c r="DU16" s="12"/>
      <c r="DV16" s="310"/>
      <c r="DW16" s="345"/>
      <c r="DX16" s="12"/>
      <c r="DY16" s="291" t="s">
        <v>96</v>
      </c>
      <c r="DZ16" s="7">
        <f t="array" aca="1" ref="DZ16:DZ17" ca="1">IF(ISNUMBER($A14),MMULT(TRANSPOSE($P14:$Q15),DZ14:DZ15),0)</f>
        <v>0</v>
      </c>
      <c r="EA16" s="1">
        <f t="array" aca="1" ref="EA16:EA17" ca="1">IF(ISNUMBER($A14),MMULT(TRANSPOSE($P14:$Q15),EA14:EA15),0)</f>
        <v>0</v>
      </c>
      <c r="EB16" s="1">
        <f t="array" aca="1" ref="EB16:EB17" ca="1">IF(ISNUMBER($A14),MMULT(TRANSPOSE($P14:$Q15),EB14:EB15),0)</f>
        <v>0</v>
      </c>
      <c r="EC16" s="1">
        <f t="array" aca="1" ref="EC16:EC17" ca="1">IF(ISNUMBER($A14),MMULT(TRANSPOSE($P14:$Q15),EC14:EC15),0)</f>
        <v>0</v>
      </c>
      <c r="ED16" s="1">
        <f t="array" aca="1" ref="ED16:ED17" ca="1">IF(ISNUMBER($A14),MMULT(TRANSPOSE($P14:$Q15),ED14:ED15),0)</f>
        <v>0</v>
      </c>
      <c r="EE16" s="1">
        <f t="array" aca="1" ref="EE16:EE17" ca="1">IF(ISNUMBER($A14),MMULT(TRANSPOSE($P14:$Q15),EE14:EE15),0)</f>
        <v>0</v>
      </c>
      <c r="EF16" s="1">
        <f t="array" aca="1" ref="EF16:EF17" ca="1">IF(ISNUMBER($A14),MMULT(TRANSPOSE($P14:$Q15),EF14:EF15),0)</f>
        <v>0</v>
      </c>
      <c r="EG16" s="1">
        <f t="array" aca="1" ref="EG16:EG17" ca="1">IF(ISNUMBER($A14),MMULT(TRANSPOSE($P14:$Q15),EG14:EG15),0)</f>
        <v>0</v>
      </c>
      <c r="EH16" s="1">
        <f t="array" aca="1" ref="EH16:EH17" ca="1">IF(ISNUMBER($A14),MMULT(TRANSPOSE($P14:$Q15),EH14:EH15),0)</f>
        <v>0</v>
      </c>
      <c r="EI16" s="1">
        <f t="array" aca="1" ref="EI16:EI17" ca="1">IF(ISNUMBER($A14),MMULT(TRANSPOSE($P14:$Q15),EI14:EI15),0)</f>
        <v>0</v>
      </c>
      <c r="EJ16" s="1">
        <f t="array" aca="1" ref="EJ16:EJ17" ca="1">IF(ISNUMBER($A14),MMULT(TRANSPOSE($P14:$Q15),EJ14:EJ15),0)</f>
        <v>0</v>
      </c>
      <c r="EK16" s="1"/>
      <c r="EL16" s="1"/>
      <c r="EM16" s="8"/>
      <c r="EN16" s="309"/>
      <c r="EO16" s="310"/>
      <c r="EP16" s="345"/>
    </row>
    <row r="17" spans="1:146" x14ac:dyDescent="0.2">
      <c r="E17" s="12"/>
      <c r="F17" s="12"/>
      <c r="J17" s="4">
        <f ca="1">-J14</f>
        <v>0</v>
      </c>
      <c r="K17" s="5">
        <v>0</v>
      </c>
      <c r="L17" s="6">
        <v>0</v>
      </c>
      <c r="M17" s="179">
        <f ca="1">J14</f>
        <v>0</v>
      </c>
      <c r="N17" s="5">
        <v>0</v>
      </c>
      <c r="O17" s="6">
        <v>0</v>
      </c>
      <c r="P17" s="184">
        <v>0</v>
      </c>
      <c r="Q17" s="101">
        <v>0</v>
      </c>
      <c r="R17" s="101">
        <v>0</v>
      </c>
      <c r="S17" s="99">
        <f ca="1">I14</f>
        <v>0</v>
      </c>
      <c r="T17" s="99">
        <f ca="1">-H14</f>
        <v>0</v>
      </c>
      <c r="U17" s="100">
        <v>0</v>
      </c>
      <c r="V17" s="4">
        <f ca="1"/>
        <v>0</v>
      </c>
      <c r="W17" s="5">
        <f ca="1"/>
        <v>0</v>
      </c>
      <c r="X17" s="6">
        <f ca="1"/>
        <v>0</v>
      </c>
      <c r="Y17" s="179">
        <f ca="1"/>
        <v>0</v>
      </c>
      <c r="Z17" s="5">
        <f ca="1"/>
        <v>0</v>
      </c>
      <c r="AA17" s="6">
        <f ca="1"/>
        <v>0</v>
      </c>
      <c r="AB17" s="61">
        <f ca="1">IF(ISNUMBER($A14),INDIRECT("System!" &amp; ADDRESS(A14+1,COLUMN(System!V13))),0)</f>
        <v>0</v>
      </c>
      <c r="AC17" s="301">
        <f ca="1">IF(ISNUMBER(E14),E14*D14/2,0)</f>
        <v>0</v>
      </c>
      <c r="AD17" s="61">
        <f ca="1"/>
        <v>0</v>
      </c>
      <c r="AE17" s="7">
        <f t="shared" ref="AE17:BR17" ca="1" si="33">IF(ABS($E16)=AE$1,SIGN($E16),0)</f>
        <v>0</v>
      </c>
      <c r="AF17" s="1">
        <f t="shared" ca="1" si="33"/>
        <v>0</v>
      </c>
      <c r="AG17" s="1">
        <f t="shared" ca="1" si="33"/>
        <v>0</v>
      </c>
      <c r="AH17" s="1">
        <f t="shared" ca="1" si="33"/>
        <v>0</v>
      </c>
      <c r="AI17" s="1">
        <f t="shared" ca="1" si="33"/>
        <v>0</v>
      </c>
      <c r="AJ17" s="26">
        <f t="shared" ca="1" si="33"/>
        <v>0</v>
      </c>
      <c r="AK17" s="26">
        <f t="shared" ca="1" si="33"/>
        <v>0</v>
      </c>
      <c r="AL17" s="26">
        <f t="shared" ca="1" si="33"/>
        <v>0</v>
      </c>
      <c r="AM17" s="26">
        <f t="shared" ca="1" si="33"/>
        <v>0</v>
      </c>
      <c r="AN17" s="26">
        <f t="shared" ca="1" si="33"/>
        <v>0</v>
      </c>
      <c r="AO17" s="26">
        <f t="shared" ca="1" si="33"/>
        <v>0</v>
      </c>
      <c r="AP17" s="26">
        <f t="shared" ca="1" si="33"/>
        <v>0</v>
      </c>
      <c r="AQ17" s="26">
        <f t="shared" ca="1" si="33"/>
        <v>0</v>
      </c>
      <c r="AR17" s="26">
        <f t="shared" ca="1" si="33"/>
        <v>0</v>
      </c>
      <c r="AS17" s="26">
        <f t="shared" ca="1" si="33"/>
        <v>0</v>
      </c>
      <c r="AT17" s="26">
        <f t="shared" ca="1" si="33"/>
        <v>0</v>
      </c>
      <c r="AU17" s="26">
        <f t="shared" ca="1" si="33"/>
        <v>0</v>
      </c>
      <c r="AV17" s="26">
        <f t="shared" ca="1" si="33"/>
        <v>0</v>
      </c>
      <c r="AW17" s="26">
        <f t="shared" ca="1" si="33"/>
        <v>0</v>
      </c>
      <c r="AX17" s="26">
        <f t="shared" ca="1" si="33"/>
        <v>0</v>
      </c>
      <c r="AY17" s="26">
        <f t="shared" ca="1" si="33"/>
        <v>0</v>
      </c>
      <c r="AZ17" s="26">
        <f t="shared" ca="1" si="33"/>
        <v>0</v>
      </c>
      <c r="BA17" s="26">
        <f t="shared" ca="1" si="33"/>
        <v>0</v>
      </c>
      <c r="BB17" s="26">
        <f t="shared" ca="1" si="33"/>
        <v>0</v>
      </c>
      <c r="BC17" s="26">
        <f t="shared" ca="1" si="33"/>
        <v>0</v>
      </c>
      <c r="BD17" s="26">
        <f t="shared" ca="1" si="33"/>
        <v>0</v>
      </c>
      <c r="BE17" s="26">
        <f t="shared" ca="1" si="33"/>
        <v>0</v>
      </c>
      <c r="BF17" s="26">
        <f t="shared" ca="1" si="33"/>
        <v>0</v>
      </c>
      <c r="BG17" s="26">
        <f t="shared" ca="1" si="33"/>
        <v>0</v>
      </c>
      <c r="BH17" s="26">
        <f t="shared" ca="1" si="33"/>
        <v>0</v>
      </c>
      <c r="BI17" s="26">
        <f t="shared" ca="1" si="33"/>
        <v>0</v>
      </c>
      <c r="BJ17" s="26">
        <f t="shared" ca="1" si="33"/>
        <v>0</v>
      </c>
      <c r="BK17" s="26">
        <f t="shared" ca="1" si="33"/>
        <v>0</v>
      </c>
      <c r="BL17" s="26">
        <f t="shared" ca="1" si="33"/>
        <v>0</v>
      </c>
      <c r="BM17" s="26">
        <f t="shared" ca="1" si="33"/>
        <v>0</v>
      </c>
      <c r="BN17" s="26">
        <f t="shared" ca="1" si="33"/>
        <v>0</v>
      </c>
      <c r="BO17" s="26">
        <f t="shared" ca="1" si="33"/>
        <v>0</v>
      </c>
      <c r="BP17" s="26">
        <f t="shared" ca="1" si="33"/>
        <v>0</v>
      </c>
      <c r="BQ17" s="26">
        <f t="shared" ca="1" si="33"/>
        <v>0</v>
      </c>
      <c r="BR17" s="26">
        <f t="shared" ca="1" si="33"/>
        <v>0</v>
      </c>
      <c r="BS17" s="282">
        <f ca="1">IF(ISNUMBER($A14),IF(INDEX(B16:G16,4)&lt;&gt;0,SIGN(INDEX(B16:G16,4))*INDIRECT(ADDRESS(1+ABS(INDEX(B16:G16,4)),COLUMN(Ksys!$B$1),1,TRUE,"Ksys")),0)+AB17,0)</f>
        <v>0</v>
      </c>
      <c r="BT17" s="61">
        <f ca="1"/>
        <v>0</v>
      </c>
      <c r="BU17" s="61">
        <f ca="1"/>
        <v>0</v>
      </c>
      <c r="BV17" s="61">
        <f t="array" aca="1" ref="BV17:BV19" ca="1">MMULT(J17:O19,BT14:BT19)-AC17:AC19</f>
        <v>0</v>
      </c>
      <c r="BW17" s="288" t="s">
        <v>101</v>
      </c>
      <c r="BX17" s="7">
        <f ca="1"/>
        <v>0</v>
      </c>
      <c r="BY17" s="1">
        <f ca="1"/>
        <v>0</v>
      </c>
      <c r="BZ17" s="1">
        <f ca="1"/>
        <v>0</v>
      </c>
      <c r="CA17" s="1">
        <f ca="1"/>
        <v>0</v>
      </c>
      <c r="CB17" s="1">
        <f ca="1"/>
        <v>0</v>
      </c>
      <c r="CC17" s="1">
        <f ca="1"/>
        <v>0</v>
      </c>
      <c r="CD17" s="1">
        <f ca="1"/>
        <v>0</v>
      </c>
      <c r="CE17" s="1">
        <f ca="1"/>
        <v>0</v>
      </c>
      <c r="CF17" s="1">
        <f ca="1"/>
        <v>0</v>
      </c>
      <c r="CG17" s="1">
        <f ca="1"/>
        <v>0</v>
      </c>
      <c r="CH17" s="8">
        <f ca="1"/>
        <v>0</v>
      </c>
      <c r="CI17" s="344" t="s">
        <v>1</v>
      </c>
      <c r="CJ17" s="344" t="s">
        <v>111</v>
      </c>
      <c r="CK17" s="310"/>
      <c r="CL17" s="12"/>
      <c r="CM17" s="292" t="s">
        <v>101</v>
      </c>
      <c r="CN17" s="7">
        <f ca="1"/>
        <v>0</v>
      </c>
      <c r="CO17" s="1">
        <f ca="1"/>
        <v>0</v>
      </c>
      <c r="CP17" s="1">
        <f ca="1"/>
        <v>0</v>
      </c>
      <c r="CQ17" s="1">
        <f ca="1"/>
        <v>0</v>
      </c>
      <c r="CR17" s="1">
        <f ca="1"/>
        <v>0</v>
      </c>
      <c r="CS17" s="1">
        <f ca="1"/>
        <v>0</v>
      </c>
      <c r="CT17" s="1">
        <f ca="1"/>
        <v>0</v>
      </c>
      <c r="CU17" s="1">
        <f ca="1"/>
        <v>0</v>
      </c>
      <c r="CV17" s="1">
        <f ca="1"/>
        <v>0</v>
      </c>
      <c r="CW17" s="1">
        <f ca="1"/>
        <v>0</v>
      </c>
      <c r="CX17" s="1">
        <f ca="1"/>
        <v>0</v>
      </c>
      <c r="CY17" s="1"/>
      <c r="CZ17" s="1"/>
      <c r="DA17" s="26"/>
      <c r="DB17" s="311" t="s">
        <v>1</v>
      </c>
      <c r="DC17" s="312" t="s">
        <v>111</v>
      </c>
      <c r="DD17" s="61">
        <f ca="1">MAX(MAX(CN16:CX17),ABS(MIN(CN16:CX17)))</f>
        <v>0</v>
      </c>
      <c r="DE17" s="12"/>
      <c r="DF17" s="292" t="s">
        <v>101</v>
      </c>
      <c r="DG17" s="7">
        <f ca="1"/>
        <v>0</v>
      </c>
      <c r="DH17" s="1">
        <f ca="1"/>
        <v>0</v>
      </c>
      <c r="DI17" s="1">
        <f ca="1"/>
        <v>0</v>
      </c>
      <c r="DJ17" s="1">
        <f ca="1"/>
        <v>0</v>
      </c>
      <c r="DK17" s="1">
        <f ca="1"/>
        <v>0</v>
      </c>
      <c r="DL17" s="1">
        <f ca="1"/>
        <v>0</v>
      </c>
      <c r="DM17" s="1">
        <f ca="1"/>
        <v>0</v>
      </c>
      <c r="DN17" s="1">
        <f ca="1"/>
        <v>0</v>
      </c>
      <c r="DO17" s="1">
        <f ca="1"/>
        <v>0</v>
      </c>
      <c r="DP17" s="1">
        <f ca="1"/>
        <v>0</v>
      </c>
      <c r="DQ17" s="1">
        <f ca="1"/>
        <v>0</v>
      </c>
      <c r="DR17" s="1"/>
      <c r="DS17" s="1"/>
      <c r="DT17" s="8"/>
      <c r="DU17" s="314" t="s">
        <v>1</v>
      </c>
      <c r="DV17" s="312" t="s">
        <v>111</v>
      </c>
      <c r="DW17" s="349">
        <f ca="1">MAX(MAX(DG16:DQ17),ABS(MIN(DG16:DQ17)))</f>
        <v>0</v>
      </c>
      <c r="DX17" s="12"/>
      <c r="DY17" s="292" t="s">
        <v>101</v>
      </c>
      <c r="DZ17" s="7">
        <f ca="1"/>
        <v>0</v>
      </c>
      <c r="EA17" s="1">
        <f ca="1"/>
        <v>0</v>
      </c>
      <c r="EB17" s="1">
        <f ca="1"/>
        <v>0</v>
      </c>
      <c r="EC17" s="1">
        <f ca="1"/>
        <v>0</v>
      </c>
      <c r="ED17" s="1">
        <f ca="1"/>
        <v>0</v>
      </c>
      <c r="EE17" s="1">
        <f ca="1"/>
        <v>0</v>
      </c>
      <c r="EF17" s="1">
        <f ca="1"/>
        <v>0</v>
      </c>
      <c r="EG17" s="1">
        <f ca="1"/>
        <v>0</v>
      </c>
      <c r="EH17" s="1">
        <f ca="1"/>
        <v>0</v>
      </c>
      <c r="EI17" s="1">
        <f ca="1"/>
        <v>0</v>
      </c>
      <c r="EJ17" s="1">
        <f ca="1"/>
        <v>0</v>
      </c>
      <c r="EK17" s="1"/>
      <c r="EL17" s="1"/>
      <c r="EM17" s="8"/>
      <c r="EN17" s="311" t="s">
        <v>1</v>
      </c>
      <c r="EO17" s="312" t="s">
        <v>111</v>
      </c>
      <c r="EP17" s="61">
        <f ca="1">MAX(MAX(DZ16:EJ17),ABS(MIN(DZ16:EJ17)))</f>
        <v>0</v>
      </c>
    </row>
    <row r="18" spans="1:146" x14ac:dyDescent="0.2">
      <c r="E18" s="1" t="str">
        <f ca="1">IF(ISNUMBER(A14),"" &amp; ADDRESS(ROW(A14),COLUMN($AD$1)) &amp; ":" &amp; ADDRESS(ROW(A19),COLUMN($AD$1)) &amp; "","")</f>
        <v/>
      </c>
      <c r="F18" s="1" t="str">
        <f ca="1">IF(ISNUMBER(A14),"" &amp; ADDRESS(ROW(A14),COLUMN($V$1)) &amp; ":" &amp; ADDRESS(ROW(A19),COLUMN($AA$1)) &amp; "","")</f>
        <v/>
      </c>
      <c r="G18" s="1" t="str">
        <f ca="1">IF(ISNUMBER(A14),"" &amp; ADDRESS(ROW(A14),COLUMN($AE$1)) &amp; ":" &amp; ADDRESS(ROW(A19),COLUMN($AD$1)+$C$6) &amp; "","")</f>
        <v/>
      </c>
      <c r="J18" s="7">
        <v>0</v>
      </c>
      <c r="K18" s="1">
        <f ca="1">-K15</f>
        <v>0</v>
      </c>
      <c r="L18" s="8">
        <f ca="1">IF(G14=1,6*B14/D14^2,IF(G14="2a",0,IF(G14="2b",3*B14/D14^2,0)))</f>
        <v>0</v>
      </c>
      <c r="M18" s="7">
        <v>0</v>
      </c>
      <c r="N18" s="180">
        <f ca="1">K15</f>
        <v>0</v>
      </c>
      <c r="O18" s="8">
        <f ca="1">N19</f>
        <v>0</v>
      </c>
      <c r="P18" s="184">
        <v>0</v>
      </c>
      <c r="Q18" s="101">
        <v>0</v>
      </c>
      <c r="R18" s="101">
        <v>0</v>
      </c>
      <c r="S18" s="99">
        <f ca="1">H14</f>
        <v>0</v>
      </c>
      <c r="T18" s="99">
        <f ca="1">I14</f>
        <v>0</v>
      </c>
      <c r="U18" s="100">
        <v>0</v>
      </c>
      <c r="V18" s="7">
        <f ca="1"/>
        <v>0</v>
      </c>
      <c r="W18" s="1">
        <f ca="1"/>
        <v>0</v>
      </c>
      <c r="X18" s="8">
        <f ca="1"/>
        <v>0</v>
      </c>
      <c r="Y18" s="7">
        <f ca="1"/>
        <v>0</v>
      </c>
      <c r="Z18" s="180">
        <f ca="1"/>
        <v>0</v>
      </c>
      <c r="AA18" s="8">
        <f ca="1"/>
        <v>0</v>
      </c>
      <c r="AB18" s="61">
        <f ca="1">IF(ISNUMBER($A14),INDIRECT("System!" &amp; ADDRESS(A14+1,COLUMN(System!W13))),0)</f>
        <v>0</v>
      </c>
      <c r="AC18" s="301">
        <f ca="1">IF(G14=1,F14*D14/2,IF(G14="2a",F14*5/8*D14,IF(G14="2b",F14*3/8*D14,0)))</f>
        <v>0</v>
      </c>
      <c r="AD18" s="61">
        <f ca="1"/>
        <v>0</v>
      </c>
      <c r="AE18" s="7">
        <f t="shared" ref="AE18:BR18" ca="1" si="34">IF(ABS($F16)=AE$1,SIGN($F16),0)</f>
        <v>0</v>
      </c>
      <c r="AF18" s="1">
        <f t="shared" ca="1" si="34"/>
        <v>0</v>
      </c>
      <c r="AG18" s="1">
        <f t="shared" ca="1" si="34"/>
        <v>0</v>
      </c>
      <c r="AH18" s="1">
        <f t="shared" ca="1" si="34"/>
        <v>0</v>
      </c>
      <c r="AI18" s="1">
        <f t="shared" ca="1" si="34"/>
        <v>0</v>
      </c>
      <c r="AJ18" s="26">
        <f t="shared" ca="1" si="34"/>
        <v>0</v>
      </c>
      <c r="AK18" s="26">
        <f t="shared" ca="1" si="34"/>
        <v>0</v>
      </c>
      <c r="AL18" s="26">
        <f t="shared" ca="1" si="34"/>
        <v>0</v>
      </c>
      <c r="AM18" s="26">
        <f t="shared" ca="1" si="34"/>
        <v>0</v>
      </c>
      <c r="AN18" s="26">
        <f t="shared" ca="1" si="34"/>
        <v>0</v>
      </c>
      <c r="AO18" s="26">
        <f t="shared" ca="1" si="34"/>
        <v>0</v>
      </c>
      <c r="AP18" s="26">
        <f t="shared" ca="1" si="34"/>
        <v>0</v>
      </c>
      <c r="AQ18" s="26">
        <f t="shared" ca="1" si="34"/>
        <v>0</v>
      </c>
      <c r="AR18" s="26">
        <f t="shared" ca="1" si="34"/>
        <v>0</v>
      </c>
      <c r="AS18" s="26">
        <f t="shared" ca="1" si="34"/>
        <v>0</v>
      </c>
      <c r="AT18" s="26">
        <f t="shared" ca="1" si="34"/>
        <v>0</v>
      </c>
      <c r="AU18" s="26">
        <f t="shared" ca="1" si="34"/>
        <v>0</v>
      </c>
      <c r="AV18" s="26">
        <f t="shared" ca="1" si="34"/>
        <v>0</v>
      </c>
      <c r="AW18" s="26">
        <f t="shared" ca="1" si="34"/>
        <v>0</v>
      </c>
      <c r="AX18" s="26">
        <f t="shared" ca="1" si="34"/>
        <v>0</v>
      </c>
      <c r="AY18" s="26">
        <f t="shared" ca="1" si="34"/>
        <v>0</v>
      </c>
      <c r="AZ18" s="26">
        <f t="shared" ca="1" si="34"/>
        <v>0</v>
      </c>
      <c r="BA18" s="26">
        <f t="shared" ca="1" si="34"/>
        <v>0</v>
      </c>
      <c r="BB18" s="26">
        <f t="shared" ca="1" si="34"/>
        <v>0</v>
      </c>
      <c r="BC18" s="26">
        <f t="shared" ca="1" si="34"/>
        <v>0</v>
      </c>
      <c r="BD18" s="26">
        <f t="shared" ca="1" si="34"/>
        <v>0</v>
      </c>
      <c r="BE18" s="26">
        <f t="shared" ca="1" si="34"/>
        <v>0</v>
      </c>
      <c r="BF18" s="26">
        <f t="shared" ca="1" si="34"/>
        <v>0</v>
      </c>
      <c r="BG18" s="26">
        <f t="shared" ca="1" si="34"/>
        <v>0</v>
      </c>
      <c r="BH18" s="26">
        <f t="shared" ca="1" si="34"/>
        <v>0</v>
      </c>
      <c r="BI18" s="26">
        <f t="shared" ca="1" si="34"/>
        <v>0</v>
      </c>
      <c r="BJ18" s="26">
        <f t="shared" ca="1" si="34"/>
        <v>0</v>
      </c>
      <c r="BK18" s="26">
        <f t="shared" ca="1" si="34"/>
        <v>0</v>
      </c>
      <c r="BL18" s="26">
        <f t="shared" ca="1" si="34"/>
        <v>0</v>
      </c>
      <c r="BM18" s="26">
        <f t="shared" ca="1" si="34"/>
        <v>0</v>
      </c>
      <c r="BN18" s="26">
        <f t="shared" ca="1" si="34"/>
        <v>0</v>
      </c>
      <c r="BO18" s="26">
        <f t="shared" ca="1" si="34"/>
        <v>0</v>
      </c>
      <c r="BP18" s="26">
        <f t="shared" ca="1" si="34"/>
        <v>0</v>
      </c>
      <c r="BQ18" s="26">
        <f t="shared" ca="1" si="34"/>
        <v>0</v>
      </c>
      <c r="BR18" s="26">
        <f t="shared" ca="1" si="34"/>
        <v>0</v>
      </c>
      <c r="BS18" s="282">
        <f ca="1">IF(ISNUMBER($A14),IF(INDEX(B16:G16,5)&lt;&gt;0,SIGN(INDEX(B16:G16,5))*INDIRECT(ADDRESS(1+ABS(INDEX(B16:G16,5)),COLUMN(Ksys!$B$1),1,TRUE,"Ksys")),0)+AB18,0)</f>
        <v>0</v>
      </c>
      <c r="BT18" s="61">
        <f ca="1"/>
        <v>0</v>
      </c>
      <c r="BU18" s="61">
        <f ca="1"/>
        <v>0</v>
      </c>
      <c r="BV18" s="61">
        <f ca="1"/>
        <v>0</v>
      </c>
      <c r="BW18" s="296" t="s">
        <v>102</v>
      </c>
      <c r="BX18" s="216">
        <f ca="1">IF(ISNUMBER($A14),$B15*(1-BX$1) + $C15*BX$1 + Knoten!$S$5*BX16,KnotenData!$H$2)</f>
        <v>0.5</v>
      </c>
      <c r="BY18" s="206">
        <f ca="1">IF(ISNUMBER($A14),$B15*(1-BY$1) + $C15*BY$1 + Knoten!$S$5*BY16,KnotenData!$H$2)</f>
        <v>0.5</v>
      </c>
      <c r="BZ18" s="206">
        <f ca="1">IF(ISNUMBER($A14),$B15*(1-BZ$1) + $C15*BZ$1 + Knoten!$S$5*BZ16,KnotenData!$H$2)</f>
        <v>0.5</v>
      </c>
      <c r="CA18" s="206">
        <f ca="1">IF(ISNUMBER($A14),$B15*(1-CA$1) + $C15*CA$1 + Knoten!$S$5*CA16,KnotenData!$H$2)</f>
        <v>0.5</v>
      </c>
      <c r="CB18" s="206">
        <f ca="1">IF(ISNUMBER($A14),$B15*(1-CB$1) + $C15*CB$1 + Knoten!$S$5*CB16,KnotenData!$H$2)</f>
        <v>0.5</v>
      </c>
      <c r="CC18" s="206">
        <f ca="1">IF(ISNUMBER($A14),$B15*(1-CC$1) + $C15*CC$1 + Knoten!$S$5*CC16,KnotenData!$H$2)</f>
        <v>0.5</v>
      </c>
      <c r="CD18" s="206">
        <f ca="1">IF(ISNUMBER($A14),$B15*(1-CD$1) + $C15*CD$1 + Knoten!$S$5*CD16,KnotenData!$H$2)</f>
        <v>0.5</v>
      </c>
      <c r="CE18" s="206">
        <f ca="1">IF(ISNUMBER($A14),$B15*(1-CE$1) + $C15*CE$1 + Knoten!$S$5*CE16,KnotenData!$H$2)</f>
        <v>0.5</v>
      </c>
      <c r="CF18" s="206">
        <f ca="1">IF(ISNUMBER($A14),$B15*(1-CF$1) + $C15*CF$1 + Knoten!$S$5*CF16,KnotenData!$H$2)</f>
        <v>0.5</v>
      </c>
      <c r="CG18" s="206">
        <f ca="1">IF(ISNUMBER($A14),$B15*(1-CG$1) + $C15*CG$1 + Knoten!$S$5*CG16,KnotenData!$H$2)</f>
        <v>0.5</v>
      </c>
      <c r="CH18" s="217">
        <f ca="1">IF(ISNUMBER($A14),$B15*(1-CH$1) + $C15*CH$1 + Knoten!$S$5*CH16,KnotenData!$H$2)</f>
        <v>0.5</v>
      </c>
      <c r="CI18" s="447">
        <f ca="1">MIN(BX18:CH18)</f>
        <v>0.5</v>
      </c>
      <c r="CJ18" s="447">
        <f ca="1">MIN(BX19:CH19)</f>
        <v>0.47499999999999998</v>
      </c>
      <c r="CK18" s="445"/>
      <c r="CL18" s="12"/>
      <c r="CM18" s="293" t="s">
        <v>102</v>
      </c>
      <c r="CN18" s="216">
        <f ca="1">IF(ISNUMBER($A14),$B15*(1-CN$1) + $C15*CN$1 + Momente!$D$6*CN16,KnotenData!$H$2)</f>
        <v>0.5</v>
      </c>
      <c r="CO18" s="206">
        <f ca="1">IF(ISNUMBER($A14),$B15*(1-CO$1) + $C15*CO$1 + Momente!$D$6*CO16,KnotenData!$H$2)</f>
        <v>0.5</v>
      </c>
      <c r="CP18" s="206">
        <f ca="1">IF(ISNUMBER($A14),$B15*(1-CP$1) + $C15*CP$1 + Momente!$D$6*CP16,KnotenData!$H$2)</f>
        <v>0.5</v>
      </c>
      <c r="CQ18" s="206">
        <f ca="1">IF(ISNUMBER($A14),$B15*(1-CQ$1) + $C15*CQ$1 + Momente!$D$6*CQ16,KnotenData!$H$2)</f>
        <v>0.5</v>
      </c>
      <c r="CR18" s="206">
        <f ca="1">IF(ISNUMBER($A14),$B15*(1-CR$1) + $C15*CR$1 + Momente!$D$6*CR16,KnotenData!$H$2)</f>
        <v>0.5</v>
      </c>
      <c r="CS18" s="206">
        <f ca="1">IF(ISNUMBER($A14),$B15*(1-CS$1) + $C15*CS$1 + Momente!$D$6*CS16,KnotenData!$H$2)</f>
        <v>0.5</v>
      </c>
      <c r="CT18" s="206">
        <f ca="1">IF(ISNUMBER($A14),$B15*(1-CT$1) + $C15*CT$1 + Momente!$D$6*CT16,KnotenData!$H$2)</f>
        <v>0.5</v>
      </c>
      <c r="CU18" s="206">
        <f ca="1">IF(ISNUMBER($A14),$B15*(1-CU$1) + $C15*CU$1 + Momente!$D$6*CU16,KnotenData!$H$2)</f>
        <v>0.5</v>
      </c>
      <c r="CV18" s="206">
        <f ca="1">IF(ISNUMBER($A14),$B15*(1-CV$1) + $C15*CV$1 + Momente!$D$6*CV16,KnotenData!$H$2)</f>
        <v>0.5</v>
      </c>
      <c r="CW18" s="206">
        <f ca="1">IF(ISNUMBER($A14),$B15*(1-CW$1) + $C15*CW$1 + Momente!$D$6*CW16,KnotenData!$H$2)</f>
        <v>0.5</v>
      </c>
      <c r="CX18" s="206">
        <f ca="1">IF(ISNUMBER($A14),$B15*(1-CX$1) + $C15*CX$1 + Momente!$D$6*CX16,KnotenData!$H$2)</f>
        <v>0.5</v>
      </c>
      <c r="CY18" s="206">
        <f ca="1">IF(ISNUMBER($A14),$C15,KnotenData!$H$2)</f>
        <v>0.5</v>
      </c>
      <c r="CZ18" s="206">
        <f ca="1">IF(ISNUMBER($A14),$B15,KnotenData!$H$2)</f>
        <v>0.5</v>
      </c>
      <c r="DA18" s="305">
        <f ca="1">IF(ISNUMBER($A14),CN18,KnotenData!$H$2)</f>
        <v>0.5</v>
      </c>
      <c r="DB18" s="7">
        <f ca="1">MIN(CN18:DA18)</f>
        <v>0.5</v>
      </c>
      <c r="DC18" s="8">
        <f ca="1">MIN(CN19:DA19)</f>
        <v>0.47499999999999998</v>
      </c>
      <c r="DD18" s="345"/>
      <c r="DE18" s="12"/>
      <c r="DF18" s="293" t="s">
        <v>102</v>
      </c>
      <c r="DG18" s="216">
        <f ca="1">IF(ISNUMBER($A14),$B15*(1-DG$1) + $C15*DG$1 + Querkräfte!$D$6*DG16,KnotenData!$H$2)</f>
        <v>0.5</v>
      </c>
      <c r="DH18" s="206">
        <f ca="1">IF(ISNUMBER($A14),$B15*(1-DH$1) + $C15*DH$1 + Querkräfte!$D$6*DH16,KnotenData!$H$2)</f>
        <v>0.5</v>
      </c>
      <c r="DI18" s="206">
        <f ca="1">IF(ISNUMBER($A14),$B15*(1-DI$1) + $C15*DI$1 + Querkräfte!$D$6*DI16,KnotenData!$H$2)</f>
        <v>0.5</v>
      </c>
      <c r="DJ18" s="206">
        <f ca="1">IF(ISNUMBER($A14),$B15*(1-DJ$1) + $C15*DJ$1 + Querkräfte!$D$6*DJ16,KnotenData!$H$2)</f>
        <v>0.5</v>
      </c>
      <c r="DK18" s="206">
        <f ca="1">IF(ISNUMBER($A14),$B15*(1-DK$1) + $C15*DK$1 + Querkräfte!$D$6*DK16,KnotenData!$H$2)</f>
        <v>0.5</v>
      </c>
      <c r="DL18" s="206">
        <f ca="1">IF(ISNUMBER($A14),$B15*(1-DL$1) + $C15*DL$1 + Querkräfte!$D$6*DL16,KnotenData!$H$2)</f>
        <v>0.5</v>
      </c>
      <c r="DM18" s="206">
        <f ca="1">IF(ISNUMBER($A14),$B15*(1-DM$1) + $C15*DM$1 + Querkräfte!$D$6*DM16,KnotenData!$H$2)</f>
        <v>0.5</v>
      </c>
      <c r="DN18" s="206">
        <f ca="1">IF(ISNUMBER($A14),$B15*(1-DN$1) + $C15*DN$1 + Querkräfte!$D$6*DN16,KnotenData!$H$2)</f>
        <v>0.5</v>
      </c>
      <c r="DO18" s="206">
        <f ca="1">IF(ISNUMBER($A14),$B15*(1-DO$1) + $C15*DO$1 + Querkräfte!$D$6*DO16,KnotenData!$H$2)</f>
        <v>0.5</v>
      </c>
      <c r="DP18" s="206">
        <f ca="1">IF(ISNUMBER($A14),$B15*(1-DP$1) + $C15*DP$1 + Querkräfte!$D$6*DP16,KnotenData!$H$2)</f>
        <v>0.5</v>
      </c>
      <c r="DQ18" s="206">
        <f ca="1">IF(ISNUMBER($A14),$B15*(1-DQ$1) + $C15*DQ$1 + Querkräfte!$D$6*DQ16,KnotenData!$H$2)</f>
        <v>0.5</v>
      </c>
      <c r="DR18" s="206">
        <f ca="1">IF(ISNUMBER($A14),$C15,KnotenData!$H$2)</f>
        <v>0.5</v>
      </c>
      <c r="DS18" s="206">
        <f ca="1">IF(ISNUMBER($A14),$B15,KnotenData!$H$2)</f>
        <v>0.5</v>
      </c>
      <c r="DT18" s="217">
        <f ca="1">IF(ISNUMBER($A14),DG18,KnotenData!$H$2)</f>
        <v>0.5</v>
      </c>
      <c r="DU18" s="145">
        <f ca="1">MIN(DG18:DQ18)</f>
        <v>0.5</v>
      </c>
      <c r="DV18" s="8">
        <f ca="1">MIN(DG19:DQ19)</f>
        <v>0.47499999999999998</v>
      </c>
      <c r="DW18" s="345"/>
      <c r="DX18" s="12"/>
      <c r="DY18" s="293" t="s">
        <v>102</v>
      </c>
      <c r="DZ18" s="216">
        <f ca="1">IF(ISNUMBER($A14),$B15*(1-DZ$1) + $C15*DZ$1 + Normalkräfte!$D$6*DZ16,KnotenData!$H$2)</f>
        <v>0.5</v>
      </c>
      <c r="EA18" s="206">
        <f ca="1">IF(ISNUMBER($A14),$B15*(1-EA$1) + $C15*EA$1 + Normalkräfte!$D$6*EA16,KnotenData!$H$2)</f>
        <v>0.5</v>
      </c>
      <c r="EB18" s="206">
        <f ca="1">IF(ISNUMBER($A14),$B15*(1-EB$1) + $C15*EB$1 + Normalkräfte!$D$6*EB16,KnotenData!$H$2)</f>
        <v>0.5</v>
      </c>
      <c r="EC18" s="206">
        <f ca="1">IF(ISNUMBER($A14),$B15*(1-EC$1) + $C15*EC$1 + Normalkräfte!$D$6*EC16,KnotenData!$H$2)</f>
        <v>0.5</v>
      </c>
      <c r="ED18" s="206">
        <f ca="1">IF(ISNUMBER($A14),$B15*(1-ED$1) + $C15*ED$1 + Normalkräfte!$D$6*ED16,KnotenData!$H$2)</f>
        <v>0.5</v>
      </c>
      <c r="EE18" s="206">
        <f ca="1">IF(ISNUMBER($A14),$B15*(1-EE$1) + $C15*EE$1 + Normalkräfte!$D$6*EE16,KnotenData!$H$2)</f>
        <v>0.5</v>
      </c>
      <c r="EF18" s="206">
        <f ca="1">IF(ISNUMBER($A14),$B15*(1-EF$1) + $C15*EF$1 + Normalkräfte!$D$6*EF16,KnotenData!$H$2)</f>
        <v>0.5</v>
      </c>
      <c r="EG18" s="206">
        <f ca="1">IF(ISNUMBER($A14),$B15*(1-EG$1) + $C15*EG$1 + Normalkräfte!$D$6*EG16,KnotenData!$H$2)</f>
        <v>0.5</v>
      </c>
      <c r="EH18" s="206">
        <f ca="1">IF(ISNUMBER($A14),$B15*(1-EH$1) + $C15*EH$1 + Normalkräfte!$D$6*EH16,KnotenData!$H$2)</f>
        <v>0.5</v>
      </c>
      <c r="EI18" s="206">
        <f ca="1">IF(ISNUMBER($A14),$B15*(1-EI$1) + $C15*EI$1 + Normalkräfte!$D$6*EI16,KnotenData!$H$2)</f>
        <v>0.5</v>
      </c>
      <c r="EJ18" s="206">
        <f ca="1">IF(ISNUMBER($A14),$B15*(1-EJ$1) + $C15*EJ$1 + Normalkräfte!$D$6*EJ16,KnotenData!$H$2)</f>
        <v>0.5</v>
      </c>
      <c r="EK18" s="256">
        <f ca="1">IF(ISNUMBER($A14),$C15,KnotenData!$H$2)</f>
        <v>0.5</v>
      </c>
      <c r="EL18" s="206">
        <f ca="1">IF(ISNUMBER($A14),$B15,KnotenData!$H$2)</f>
        <v>0.5</v>
      </c>
      <c r="EM18" s="217">
        <f ca="1">IF(ISNUMBER($A14),DZ18,KnotenData!$H$2)</f>
        <v>0.5</v>
      </c>
      <c r="EN18" s="7">
        <f ca="1">MIN(DZ18:EJ18)</f>
        <v>0.5</v>
      </c>
      <c r="EO18" s="8">
        <f ca="1">MIN(DZ19:EJ19)</f>
        <v>0.47499999999999998</v>
      </c>
      <c r="EP18" s="345"/>
    </row>
    <row r="19" spans="1:146" ht="13.5" thickBot="1" x14ac:dyDescent="0.25">
      <c r="E19" s="12"/>
      <c r="F19" s="12"/>
      <c r="J19" s="9">
        <v>0</v>
      </c>
      <c r="K19" s="10">
        <f ca="1">IF(G14=1,-6*B14/D14^2,IF(G14="2a",-3*B14/D14^2,IF(G14="2b",0,0)))</f>
        <v>0</v>
      </c>
      <c r="L19" s="146">
        <f ca="1">IF(G14=1,2*B14/D14,IF(G14="2a",0,IF(G14="2b",0,0)))</f>
        <v>0</v>
      </c>
      <c r="M19" s="9">
        <v>0</v>
      </c>
      <c r="N19" s="10">
        <f ca="1">-K19</f>
        <v>0</v>
      </c>
      <c r="O19" s="181">
        <f ca="1">IF(G14=1,4*B14/D14,IF(G14="2a",3*B14/D14,IF(G14="2b",0,0)))</f>
        <v>0</v>
      </c>
      <c r="P19" s="185">
        <v>0</v>
      </c>
      <c r="Q19" s="103">
        <v>0</v>
      </c>
      <c r="R19" s="103">
        <v>0</v>
      </c>
      <c r="S19" s="111">
        <v>0</v>
      </c>
      <c r="T19" s="111">
        <v>0</v>
      </c>
      <c r="U19" s="112">
        <v>1</v>
      </c>
      <c r="V19" s="9">
        <f ca="1"/>
        <v>0</v>
      </c>
      <c r="W19" s="10">
        <f ca="1"/>
        <v>0</v>
      </c>
      <c r="X19" s="146">
        <f ca="1"/>
        <v>0</v>
      </c>
      <c r="Y19" s="9">
        <f ca="1"/>
        <v>0</v>
      </c>
      <c r="Z19" s="10">
        <f ca="1"/>
        <v>0</v>
      </c>
      <c r="AA19" s="181">
        <f ca="1"/>
        <v>0</v>
      </c>
      <c r="AB19" s="62">
        <f ca="1">IF(ISNUMBER($A14),INDIRECT("System!" &amp; ADDRESS(A14+1,COLUMN(System!X13))),0)</f>
        <v>0</v>
      </c>
      <c r="AC19" s="302">
        <f ca="1">IF(G14=1,F14*D14^2/12,IF(G14="2a",F14*D14^2/8,IF(G14="2b",0,0)))</f>
        <v>0</v>
      </c>
      <c r="AD19" s="62">
        <f ca="1"/>
        <v>0</v>
      </c>
      <c r="AE19" s="9">
        <f t="shared" ref="AE19:BR19" ca="1" si="35">IF(ABS($G16)=AE$1,SIGN($G16),0)</f>
        <v>0</v>
      </c>
      <c r="AF19" s="10">
        <f t="shared" ca="1" si="35"/>
        <v>0</v>
      </c>
      <c r="AG19" s="10">
        <f t="shared" ca="1" si="35"/>
        <v>0</v>
      </c>
      <c r="AH19" s="10">
        <f t="shared" ca="1" si="35"/>
        <v>0</v>
      </c>
      <c r="AI19" s="10">
        <f t="shared" ca="1" si="35"/>
        <v>0</v>
      </c>
      <c r="AJ19" s="188">
        <f t="shared" ca="1" si="35"/>
        <v>0</v>
      </c>
      <c r="AK19" s="188">
        <f t="shared" ca="1" si="35"/>
        <v>0</v>
      </c>
      <c r="AL19" s="188">
        <f t="shared" ca="1" si="35"/>
        <v>0</v>
      </c>
      <c r="AM19" s="188">
        <f t="shared" ca="1" si="35"/>
        <v>0</v>
      </c>
      <c r="AN19" s="188">
        <f t="shared" ca="1" si="35"/>
        <v>0</v>
      </c>
      <c r="AO19" s="188">
        <f t="shared" ca="1" si="35"/>
        <v>0</v>
      </c>
      <c r="AP19" s="188">
        <f t="shared" ca="1" si="35"/>
        <v>0</v>
      </c>
      <c r="AQ19" s="188">
        <f t="shared" ca="1" si="35"/>
        <v>0</v>
      </c>
      <c r="AR19" s="188">
        <f t="shared" ca="1" si="35"/>
        <v>0</v>
      </c>
      <c r="AS19" s="188">
        <f t="shared" ca="1" si="35"/>
        <v>0</v>
      </c>
      <c r="AT19" s="188">
        <f t="shared" ca="1" si="35"/>
        <v>0</v>
      </c>
      <c r="AU19" s="188">
        <f t="shared" ca="1" si="35"/>
        <v>0</v>
      </c>
      <c r="AV19" s="188">
        <f t="shared" ca="1" si="35"/>
        <v>0</v>
      </c>
      <c r="AW19" s="188">
        <f t="shared" ca="1" si="35"/>
        <v>0</v>
      </c>
      <c r="AX19" s="188">
        <f t="shared" ca="1" si="35"/>
        <v>0</v>
      </c>
      <c r="AY19" s="188">
        <f t="shared" ca="1" si="35"/>
        <v>0</v>
      </c>
      <c r="AZ19" s="188">
        <f t="shared" ca="1" si="35"/>
        <v>0</v>
      </c>
      <c r="BA19" s="188">
        <f t="shared" ca="1" si="35"/>
        <v>0</v>
      </c>
      <c r="BB19" s="188">
        <f t="shared" ca="1" si="35"/>
        <v>0</v>
      </c>
      <c r="BC19" s="188">
        <f t="shared" ca="1" si="35"/>
        <v>0</v>
      </c>
      <c r="BD19" s="188">
        <f t="shared" ca="1" si="35"/>
        <v>0</v>
      </c>
      <c r="BE19" s="188">
        <f t="shared" ca="1" si="35"/>
        <v>0</v>
      </c>
      <c r="BF19" s="188">
        <f t="shared" ca="1" si="35"/>
        <v>0</v>
      </c>
      <c r="BG19" s="188">
        <f t="shared" ca="1" si="35"/>
        <v>0</v>
      </c>
      <c r="BH19" s="188">
        <f t="shared" ca="1" si="35"/>
        <v>0</v>
      </c>
      <c r="BI19" s="188">
        <f t="shared" ca="1" si="35"/>
        <v>0</v>
      </c>
      <c r="BJ19" s="188">
        <f t="shared" ca="1" si="35"/>
        <v>0</v>
      </c>
      <c r="BK19" s="188">
        <f t="shared" ca="1" si="35"/>
        <v>0</v>
      </c>
      <c r="BL19" s="188">
        <f t="shared" ca="1" si="35"/>
        <v>0</v>
      </c>
      <c r="BM19" s="188">
        <f t="shared" ca="1" si="35"/>
        <v>0</v>
      </c>
      <c r="BN19" s="188">
        <f t="shared" ca="1" si="35"/>
        <v>0</v>
      </c>
      <c r="BO19" s="188">
        <f t="shared" ca="1" si="35"/>
        <v>0</v>
      </c>
      <c r="BP19" s="188">
        <f t="shared" ca="1" si="35"/>
        <v>0</v>
      </c>
      <c r="BQ19" s="188">
        <f t="shared" ca="1" si="35"/>
        <v>0</v>
      </c>
      <c r="BR19" s="188">
        <f t="shared" ca="1" si="35"/>
        <v>0</v>
      </c>
      <c r="BS19" s="283">
        <f ca="1">IF(ISNUMBER($A14),IF(INDEX(B16:G16,6)&lt;&gt;0,SIGN(INDEX(B16:G16,6))*INDIRECT(ADDRESS(1+ABS(INDEX(B16:G16,6)),COLUMN(Ksys!$B$1),1,TRUE,"Ksys")),0)+AB19,0)</f>
        <v>0</v>
      </c>
      <c r="BT19" s="62">
        <f ca="1"/>
        <v>0</v>
      </c>
      <c r="BU19" s="62">
        <f ca="1"/>
        <v>0</v>
      </c>
      <c r="BV19" s="62">
        <f ca="1"/>
        <v>0</v>
      </c>
      <c r="BW19" s="297" t="s">
        <v>103</v>
      </c>
      <c r="BX19" s="218">
        <f ca="1">IF(ISNUMBER($A14),$D15*(1-BX$1) + $E15*BX$1 + Knoten!$S$5*BX17,KnotenData!$H$3)</f>
        <v>0.47499999999999998</v>
      </c>
      <c r="BY19" s="295">
        <f ca="1">IF(ISNUMBER($A14),$D15*(1-BY$1) + $E15*BY$1 + Knoten!$S$5*BY17,KnotenData!$H$3)</f>
        <v>0.47499999999999998</v>
      </c>
      <c r="BZ19" s="295">
        <f ca="1">IF(ISNUMBER($A14),$D15*(1-BZ$1) + $E15*BZ$1 + Knoten!$S$5*BZ17,KnotenData!$H$3)</f>
        <v>0.47499999999999998</v>
      </c>
      <c r="CA19" s="295">
        <f ca="1">IF(ISNUMBER($A14),$D15*(1-CA$1) + $E15*CA$1 + Knoten!$S$5*CA17,KnotenData!$H$3)</f>
        <v>0.47499999999999998</v>
      </c>
      <c r="CB19" s="295">
        <f ca="1">IF(ISNUMBER($A14),$D15*(1-CB$1) + $E15*CB$1 + Knoten!$S$5*CB17,KnotenData!$H$3)</f>
        <v>0.47499999999999998</v>
      </c>
      <c r="CC19" s="295">
        <f ca="1">IF(ISNUMBER($A14),$D15*(1-CC$1) + $E15*CC$1 + Knoten!$S$5*CC17,KnotenData!$H$3)</f>
        <v>0.47499999999999998</v>
      </c>
      <c r="CD19" s="295">
        <f ca="1">IF(ISNUMBER($A14),$D15*(1-CD$1) + $E15*CD$1 + Knoten!$S$5*CD17,KnotenData!$H$3)</f>
        <v>0.47499999999999998</v>
      </c>
      <c r="CE19" s="295">
        <f ca="1">IF(ISNUMBER($A14),$D15*(1-CE$1) + $E15*CE$1 + Knoten!$S$5*CE17,KnotenData!$H$3)</f>
        <v>0.47499999999999998</v>
      </c>
      <c r="CF19" s="295">
        <f ca="1">IF(ISNUMBER($A14),$D15*(1-CF$1) + $E15*CF$1 + Knoten!$S$5*CF17,KnotenData!$H$3)</f>
        <v>0.47499999999999998</v>
      </c>
      <c r="CG19" s="295">
        <f ca="1">IF(ISNUMBER($A14),$D15*(1-CG$1) + $E15*CG$1 + Knoten!$S$5*CG17,KnotenData!$H$3)</f>
        <v>0.47499999999999998</v>
      </c>
      <c r="CH19" s="219">
        <f ca="1">IF(ISNUMBER($A14),$D15*(1-CH$1) + $E15*CH$1 + Knoten!$S$5*CH17,KnotenData!$H$3)</f>
        <v>0.47499999999999998</v>
      </c>
      <c r="CI19" s="449">
        <f ca="1">MAX(BX18:CH18)</f>
        <v>0.5</v>
      </c>
      <c r="CJ19" s="448">
        <f ca="1">MAX(BX19:CH19)</f>
        <v>0.47499999999999998</v>
      </c>
      <c r="CK19" s="446"/>
      <c r="CL19" s="12">
        <v>3</v>
      </c>
      <c r="CM19" s="294" t="s">
        <v>103</v>
      </c>
      <c r="CN19" s="218">
        <f ca="1">IF(ISNUMBER($A14),$D15*(1-CN$1) + $E15*CN$1 + Momente!$D$6*CN17,KnotenData!$H$3)</f>
        <v>0.47499999999999998</v>
      </c>
      <c r="CO19" s="295">
        <f ca="1">IF(ISNUMBER($A14),$D15*(1-CO$1) + $E15*CO$1 + Momente!$D$6*CO17,KnotenData!$H$3)</f>
        <v>0.47499999999999998</v>
      </c>
      <c r="CP19" s="295">
        <f ca="1">IF(ISNUMBER($A14),$D15*(1-CP$1) + $E15*CP$1 + Momente!$D$6*CP17,KnotenData!$H$3)</f>
        <v>0.47499999999999998</v>
      </c>
      <c r="CQ19" s="295">
        <f ca="1">IF(ISNUMBER($A14),$D15*(1-CQ$1) + $E15*CQ$1 + Momente!$D$6*CQ17,KnotenData!$H$3)</f>
        <v>0.47499999999999998</v>
      </c>
      <c r="CR19" s="295">
        <f ca="1">IF(ISNUMBER($A14),$D15*(1-CR$1) + $E15*CR$1 + Momente!$D$6*CR17,KnotenData!$H$3)</f>
        <v>0.47499999999999998</v>
      </c>
      <c r="CS19" s="295">
        <f ca="1">IF(ISNUMBER($A14),$D15*(1-CS$1) + $E15*CS$1 + Momente!$D$6*CS17,KnotenData!$H$3)</f>
        <v>0.47499999999999998</v>
      </c>
      <c r="CT19" s="295">
        <f ca="1">IF(ISNUMBER($A14),$D15*(1-CT$1) + $E15*CT$1 + Momente!$D$6*CT17,KnotenData!$H$3)</f>
        <v>0.47499999999999998</v>
      </c>
      <c r="CU19" s="295">
        <f ca="1">IF(ISNUMBER($A14),$D15*(1-CU$1) + $E15*CU$1 + Momente!$D$6*CU17,KnotenData!$H$3)</f>
        <v>0.47499999999999998</v>
      </c>
      <c r="CV19" s="295">
        <f ca="1">IF(ISNUMBER($A14),$D15*(1-CV$1) + $E15*CV$1 + Momente!$D$6*CV17,KnotenData!$H$3)</f>
        <v>0.47499999999999998</v>
      </c>
      <c r="CW19" s="295">
        <f ca="1">IF(ISNUMBER($A14),$D15*(1-CW$1) + $E15*CW$1 + Momente!$D$6*CW17,KnotenData!$H$3)</f>
        <v>0.47499999999999998</v>
      </c>
      <c r="CX19" s="295">
        <f ca="1">IF(ISNUMBER($A14),$D15*(1-CX$1) + $E15*CX$1 + Momente!$D$6*CX17,KnotenData!$H$3)</f>
        <v>0.47499999999999998</v>
      </c>
      <c r="CY19" s="295">
        <f ca="1">IF(ISNUMBER($A14),$E15,KnotenData!$H$3)</f>
        <v>0.47499999999999998</v>
      </c>
      <c r="CZ19" s="295">
        <f ca="1">IF(ISNUMBER($A14),$D15,KnotenData!$H$3)</f>
        <v>0.47499999999999998</v>
      </c>
      <c r="DA19" s="306">
        <f ca="1">IF(ISNUMBER($A14),CN19,KnotenData!$H$3)</f>
        <v>0.47499999999999998</v>
      </c>
      <c r="DB19" s="9">
        <f ca="1">MAX(CN18:DA18)</f>
        <v>0.5</v>
      </c>
      <c r="DC19" s="146">
        <f ca="1">MAX(CN19:DA19)</f>
        <v>0.47499999999999998</v>
      </c>
      <c r="DD19" s="346"/>
      <c r="DE19" s="12">
        <v>3</v>
      </c>
      <c r="DF19" s="294" t="s">
        <v>103</v>
      </c>
      <c r="DG19" s="218">
        <f ca="1">IF(ISNUMBER($A14),$D15*(1-DG$1) + $E15*DG$1 + Querkräfte!$D$6*DG17,KnotenData!$H$3)</f>
        <v>0.47499999999999998</v>
      </c>
      <c r="DH19" s="295">
        <f ca="1">IF(ISNUMBER($A14),$D15*(1-DH$1) + $E15*DH$1 + Querkräfte!$D$6*DH17,KnotenData!$H$3)</f>
        <v>0.47499999999999998</v>
      </c>
      <c r="DI19" s="295">
        <f ca="1">IF(ISNUMBER($A14),$D15*(1-DI$1) + $E15*DI$1 + Querkräfte!$D$6*DI17,KnotenData!$H$3)</f>
        <v>0.47499999999999998</v>
      </c>
      <c r="DJ19" s="295">
        <f ca="1">IF(ISNUMBER($A14),$D15*(1-DJ$1) + $E15*DJ$1 + Querkräfte!$D$6*DJ17,KnotenData!$H$3)</f>
        <v>0.47499999999999998</v>
      </c>
      <c r="DK19" s="295">
        <f ca="1">IF(ISNUMBER($A14),$D15*(1-DK$1) + $E15*DK$1 + Querkräfte!$D$6*DK17,KnotenData!$H$3)</f>
        <v>0.47499999999999998</v>
      </c>
      <c r="DL19" s="295">
        <f ca="1">IF(ISNUMBER($A14),$D15*(1-DL$1) + $E15*DL$1 + Querkräfte!$D$6*DL17,KnotenData!$H$3)</f>
        <v>0.47499999999999998</v>
      </c>
      <c r="DM19" s="295">
        <f ca="1">IF(ISNUMBER($A14),$D15*(1-DM$1) + $E15*DM$1 + Querkräfte!$D$6*DM17,KnotenData!$H$3)</f>
        <v>0.47499999999999998</v>
      </c>
      <c r="DN19" s="295">
        <f ca="1">IF(ISNUMBER($A14),$D15*(1-DN$1) + $E15*DN$1 + Querkräfte!$D$6*DN17,KnotenData!$H$3)</f>
        <v>0.47499999999999998</v>
      </c>
      <c r="DO19" s="295">
        <f ca="1">IF(ISNUMBER($A14),$D15*(1-DO$1) + $E15*DO$1 + Querkräfte!$D$6*DO17,KnotenData!$H$3)</f>
        <v>0.47499999999999998</v>
      </c>
      <c r="DP19" s="295">
        <f ca="1">IF(ISNUMBER($A14),$D15*(1-DP$1) + $E15*DP$1 + Querkräfte!$D$6*DP17,KnotenData!$H$3)</f>
        <v>0.47499999999999998</v>
      </c>
      <c r="DQ19" s="295">
        <f ca="1">IF(ISNUMBER($A14),$D15*(1-DQ$1) + $E15*DQ$1 + Querkräfte!$D$6*DQ17,KnotenData!$H$3)</f>
        <v>0.47499999999999998</v>
      </c>
      <c r="DR19" s="295">
        <f ca="1">IF(ISNUMBER($A14),$E15,KnotenData!$H$3)</f>
        <v>0.47499999999999998</v>
      </c>
      <c r="DS19" s="295">
        <f ca="1">IF(ISNUMBER($A14),$D15,KnotenData!$H$3)</f>
        <v>0.47499999999999998</v>
      </c>
      <c r="DT19" s="219">
        <f ca="1">IF(ISNUMBER($A14),DG19,KnotenData!$H$3)</f>
        <v>0.47499999999999998</v>
      </c>
      <c r="DU19" s="11">
        <f ca="1">MAX(DG18:DQ18)</f>
        <v>0.5</v>
      </c>
      <c r="DV19" s="146">
        <f ca="1">MAX(DG19:DQ19)</f>
        <v>0.47499999999999998</v>
      </c>
      <c r="DW19" s="346"/>
      <c r="DX19" s="12">
        <v>3</v>
      </c>
      <c r="DY19" s="294" t="s">
        <v>103</v>
      </c>
      <c r="DZ19" s="218">
        <f ca="1">IF(ISNUMBER($A14),$D15*(1-DZ$1) + $E15*DZ$1 + Normalkräfte!$D$6*DZ17,KnotenData!$H$3)</f>
        <v>0.47499999999999998</v>
      </c>
      <c r="EA19" s="295">
        <f ca="1">IF(ISNUMBER($A14),$D15*(1-EA$1) + $E15*EA$1 + Normalkräfte!$D$6*EA17,KnotenData!$H$3)</f>
        <v>0.47499999999999998</v>
      </c>
      <c r="EB19" s="295">
        <f ca="1">IF(ISNUMBER($A14),$D15*(1-EB$1) + $E15*EB$1 + Normalkräfte!$D$6*EB17,KnotenData!$H$3)</f>
        <v>0.47499999999999998</v>
      </c>
      <c r="EC19" s="295">
        <f ca="1">IF(ISNUMBER($A14),$D15*(1-EC$1) + $E15*EC$1 + Normalkräfte!$D$6*EC17,KnotenData!$H$3)</f>
        <v>0.47499999999999998</v>
      </c>
      <c r="ED19" s="295">
        <f ca="1">IF(ISNUMBER($A14),$D15*(1-ED$1) + $E15*ED$1 + Normalkräfte!$D$6*ED17,KnotenData!$H$3)</f>
        <v>0.47499999999999998</v>
      </c>
      <c r="EE19" s="295">
        <f ca="1">IF(ISNUMBER($A14),$D15*(1-EE$1) + $E15*EE$1 + Normalkräfte!$D$6*EE17,KnotenData!$H$3)</f>
        <v>0.47499999999999998</v>
      </c>
      <c r="EF19" s="295">
        <f ca="1">IF(ISNUMBER($A14),$D15*(1-EF$1) + $E15*EF$1 + Normalkräfte!$D$6*EF17,KnotenData!$H$3)</f>
        <v>0.47499999999999998</v>
      </c>
      <c r="EG19" s="295">
        <f ca="1">IF(ISNUMBER($A14),$D15*(1-EG$1) + $E15*EG$1 + Normalkräfte!$D$6*EG17,KnotenData!$H$3)</f>
        <v>0.47499999999999998</v>
      </c>
      <c r="EH19" s="295">
        <f ca="1">IF(ISNUMBER($A14),$D15*(1-EH$1) + $E15*EH$1 + Normalkräfte!$D$6*EH17,KnotenData!$H$3)</f>
        <v>0.47499999999999998</v>
      </c>
      <c r="EI19" s="295">
        <f ca="1">IF(ISNUMBER($A14),$D15*(1-EI$1) + $E15*EI$1 + Normalkräfte!$D$6*EI17,KnotenData!$H$3)</f>
        <v>0.47499999999999998</v>
      </c>
      <c r="EJ19" s="295">
        <f ca="1">IF(ISNUMBER($A14),$D15*(1-EJ$1) + $E15*EJ$1 + Normalkräfte!$D$6*EJ17,KnotenData!$H$3)</f>
        <v>0.47499999999999998</v>
      </c>
      <c r="EK19" s="295">
        <f ca="1">IF(ISNUMBER($A14),$E15,KnotenData!$H$3)</f>
        <v>0.47499999999999998</v>
      </c>
      <c r="EL19" s="295">
        <f ca="1">IF(ISNUMBER($A14),$D15,KnotenData!$H$3)</f>
        <v>0.47499999999999998</v>
      </c>
      <c r="EM19" s="219">
        <f ca="1">IF(ISNUMBER($A14),DZ19,KnotenData!$H$3)</f>
        <v>0.47499999999999998</v>
      </c>
      <c r="EN19" s="9">
        <f ca="1">MAX(DZ18:EJ18)</f>
        <v>0.5</v>
      </c>
      <c r="EO19" s="146">
        <f ca="1">MAX(DZ19:EJ19)</f>
        <v>0.47499999999999998</v>
      </c>
      <c r="EP19" s="346"/>
    </row>
    <row r="20" spans="1:146" x14ac:dyDescent="0.2">
      <c r="A20" s="205" t="str">
        <f ca="1">IF(ISNUMBER(INDIRECT("System!C" &amp;(ROW(A20)+4)/6+1)),INDIRECT("System!B"&amp;(ROW(A20)+4)/6+1),"")</f>
        <v/>
      </c>
      <c r="B20" s="206">
        <f ca="1">IF(ISNUMBER(A20),INDIRECT("System!" &amp; ADDRESS(A20 +1,COLUMN(System!E19))),0)</f>
        <v>0</v>
      </c>
      <c r="C20" s="206">
        <f ca="1">IF(ISNUMBER(A20),INDIRECT("System!" &amp; ADDRESS(A20 +1,COLUMN(System!F19))),0)</f>
        <v>0</v>
      </c>
      <c r="D20" s="209">
        <f ca="1">IF(ISNUMBER(A20),INDIRECT("System!" &amp; ADDRESS(A20 +1,COLUMN(System!O19))),0)</f>
        <v>0</v>
      </c>
      <c r="E20" s="208" t="str">
        <f ca="1">IF(ISNUMBER(A20),INDIRECT("System!" &amp; ADDRESS(A20 +1,COLUMN(System!G19))),"")</f>
        <v/>
      </c>
      <c r="F20" s="208" t="str">
        <f ca="1">IF(ISNUMBER(A20),INDIRECT("System!" &amp; ADDRESS(A20 +1,COLUMN(System!H19))),"")</f>
        <v/>
      </c>
      <c r="G20" s="261" t="str">
        <f ca="1">IF(ISNUMBER(A20),INDIRECT("System!" &amp; ADDRESS(A20 +1,COLUMN(System!I19))),"")</f>
        <v/>
      </c>
      <c r="H20" s="207">
        <f ca="1">IF(ISNUMBER($A20),INDIRECT("System!" &amp; ADDRESS($A20 +1,COLUMN(System!Q19))),0)</f>
        <v>0</v>
      </c>
      <c r="I20" s="207">
        <f ca="1">IF(ISNUMBER($A20),INDIRECT("System!" &amp; ADDRESS($A20 +1,COLUMN(System!R19))),0)</f>
        <v>0</v>
      </c>
      <c r="J20" s="179">
        <f ca="1">IF(ISNUMBER(A20),C20/D20,0)</f>
        <v>0</v>
      </c>
      <c r="K20" s="5">
        <v>0</v>
      </c>
      <c r="L20" s="6">
        <v>0</v>
      </c>
      <c r="M20" s="4">
        <f ca="1">-J20</f>
        <v>0</v>
      </c>
      <c r="N20" s="5">
        <v>0</v>
      </c>
      <c r="O20" s="6">
        <v>0</v>
      </c>
      <c r="P20" s="141">
        <f ca="1">I20</f>
        <v>0</v>
      </c>
      <c r="Q20" s="142">
        <f ca="1">-H20</f>
        <v>0</v>
      </c>
      <c r="R20" s="142">
        <v>0</v>
      </c>
      <c r="S20" s="182">
        <v>0</v>
      </c>
      <c r="T20" s="182">
        <v>0</v>
      </c>
      <c r="U20" s="183">
        <v>0</v>
      </c>
      <c r="V20" s="179">
        <f t="array" aca="1" ref="V20:AA25" ca="1">MMULT(TRANSPOSE(P20:U25),MMULT(J20:O25,P20:U25))</f>
        <v>0</v>
      </c>
      <c r="W20" s="5">
        <f ca="1"/>
        <v>0</v>
      </c>
      <c r="X20" s="6">
        <f ca="1"/>
        <v>0</v>
      </c>
      <c r="Y20" s="4">
        <f ca="1"/>
        <v>0</v>
      </c>
      <c r="Z20" s="5">
        <f ca="1"/>
        <v>0</v>
      </c>
      <c r="AA20" s="6">
        <f ca="1"/>
        <v>0</v>
      </c>
      <c r="AB20" s="60">
        <f ca="1">IF(ISNUMBER($A20),INDIRECT("System!" &amp; ADDRESS(A20+1,COLUMN(System!S19))),0)</f>
        <v>0</v>
      </c>
      <c r="AC20" s="299">
        <f ca="1">IF(ISNUMBER(E20),E20*D20/2,0)</f>
        <v>0</v>
      </c>
      <c r="AD20" s="60">
        <f t="array" aca="1" ref="AD20:AD25" ca="1">MMULT(TRANSPOSE(P20:U25),AC20:AC25) - MMULT(V20:AA25,AB20:AB25)</f>
        <v>0</v>
      </c>
      <c r="AE20" s="4">
        <f t="shared" ref="AE20:BR20" ca="1" si="36">IF(ABS($B22)=AE$1,SIGN($B22),0)</f>
        <v>0</v>
      </c>
      <c r="AF20" s="5">
        <f t="shared" ca="1" si="36"/>
        <v>0</v>
      </c>
      <c r="AG20" s="5">
        <f t="shared" ca="1" si="36"/>
        <v>0</v>
      </c>
      <c r="AH20" s="5">
        <f t="shared" ca="1" si="36"/>
        <v>0</v>
      </c>
      <c r="AI20" s="5">
        <f t="shared" ca="1" si="36"/>
        <v>0</v>
      </c>
      <c r="AJ20" s="189">
        <f t="shared" ca="1" si="36"/>
        <v>0</v>
      </c>
      <c r="AK20" s="189">
        <f t="shared" ca="1" si="36"/>
        <v>0</v>
      </c>
      <c r="AL20" s="189">
        <f t="shared" ca="1" si="36"/>
        <v>0</v>
      </c>
      <c r="AM20" s="189">
        <f t="shared" ca="1" si="36"/>
        <v>0</v>
      </c>
      <c r="AN20" s="189">
        <f t="shared" ca="1" si="36"/>
        <v>0</v>
      </c>
      <c r="AO20" s="189">
        <f t="shared" ca="1" si="36"/>
        <v>0</v>
      </c>
      <c r="AP20" s="189">
        <f t="shared" ca="1" si="36"/>
        <v>0</v>
      </c>
      <c r="AQ20" s="189">
        <f t="shared" ca="1" si="36"/>
        <v>0</v>
      </c>
      <c r="AR20" s="189">
        <f t="shared" ca="1" si="36"/>
        <v>0</v>
      </c>
      <c r="AS20" s="189">
        <f t="shared" ca="1" si="36"/>
        <v>0</v>
      </c>
      <c r="AT20" s="189">
        <f t="shared" ca="1" si="36"/>
        <v>0</v>
      </c>
      <c r="AU20" s="189">
        <f t="shared" ca="1" si="36"/>
        <v>0</v>
      </c>
      <c r="AV20" s="189">
        <f t="shared" ca="1" si="36"/>
        <v>0</v>
      </c>
      <c r="AW20" s="189">
        <f t="shared" ca="1" si="36"/>
        <v>0</v>
      </c>
      <c r="AX20" s="189">
        <f t="shared" ca="1" si="36"/>
        <v>0</v>
      </c>
      <c r="AY20" s="189">
        <f t="shared" ca="1" si="36"/>
        <v>0</v>
      </c>
      <c r="AZ20" s="189">
        <f t="shared" ca="1" si="36"/>
        <v>0</v>
      </c>
      <c r="BA20" s="189">
        <f t="shared" ca="1" si="36"/>
        <v>0</v>
      </c>
      <c r="BB20" s="189">
        <f t="shared" ca="1" si="36"/>
        <v>0</v>
      </c>
      <c r="BC20" s="189">
        <f t="shared" ca="1" si="36"/>
        <v>0</v>
      </c>
      <c r="BD20" s="189">
        <f t="shared" ca="1" si="36"/>
        <v>0</v>
      </c>
      <c r="BE20" s="189">
        <f t="shared" ca="1" si="36"/>
        <v>0</v>
      </c>
      <c r="BF20" s="189">
        <f t="shared" ca="1" si="36"/>
        <v>0</v>
      </c>
      <c r="BG20" s="189">
        <f t="shared" ca="1" si="36"/>
        <v>0</v>
      </c>
      <c r="BH20" s="189">
        <f t="shared" ca="1" si="36"/>
        <v>0</v>
      </c>
      <c r="BI20" s="189">
        <f t="shared" ca="1" si="36"/>
        <v>0</v>
      </c>
      <c r="BJ20" s="189">
        <f t="shared" ca="1" si="36"/>
        <v>0</v>
      </c>
      <c r="BK20" s="189">
        <f t="shared" ca="1" si="36"/>
        <v>0</v>
      </c>
      <c r="BL20" s="189">
        <f t="shared" ca="1" si="36"/>
        <v>0</v>
      </c>
      <c r="BM20" s="189">
        <f t="shared" ca="1" si="36"/>
        <v>0</v>
      </c>
      <c r="BN20" s="189">
        <f t="shared" ca="1" si="36"/>
        <v>0</v>
      </c>
      <c r="BO20" s="189">
        <f t="shared" ca="1" si="36"/>
        <v>0</v>
      </c>
      <c r="BP20" s="189">
        <f t="shared" ca="1" si="36"/>
        <v>0</v>
      </c>
      <c r="BQ20" s="189">
        <f t="shared" ca="1" si="36"/>
        <v>0</v>
      </c>
      <c r="BR20" s="189">
        <f t="shared" ca="1" si="36"/>
        <v>0</v>
      </c>
      <c r="BS20" s="281">
        <f ca="1">IF(ISNUMBER($A20),IF(INDEX(B22:G22,1)&lt;&gt;0,SIGN(INDEX(B22:G22,1))*INDIRECT(ADDRESS(1+ABS(INDEX(B22:G22,1)),COLUMN(Ksys!$B$1),1,TRUE,"Ksys")),0)+AB20,0)</f>
        <v>0</v>
      </c>
      <c r="BT20" s="27">
        <f t="array" aca="1" ref="BT20:BT25" ca="1">MMULT(P20:U25,BS20:BS25)</f>
        <v>0</v>
      </c>
      <c r="BU20" s="27">
        <f t="array" aca="1" ref="BU20:BU25" ca="1">MMULT(J20:O25,BT20:BT25)-AC20:AC25</f>
        <v>0</v>
      </c>
      <c r="BV20" s="27">
        <f t="array" aca="1" ref="BV20:BV22" ca="1">-(MMULT(J20:O22,BT20:BT25)-AC20:AC22)</f>
        <v>0</v>
      </c>
      <c r="BW20" s="286" t="s">
        <v>97</v>
      </c>
      <c r="BX20" s="4">
        <f t="shared" ref="BX20:CH20" ca="1" si="37">IF(ISNUMBER($A20),$BT20*(1-BX$1) + $BT23*BX$1,0)</f>
        <v>0</v>
      </c>
      <c r="BY20" s="5">
        <f t="shared" ca="1" si="37"/>
        <v>0</v>
      </c>
      <c r="BZ20" s="5">
        <f t="shared" ca="1" si="37"/>
        <v>0</v>
      </c>
      <c r="CA20" s="5">
        <f t="shared" ca="1" si="37"/>
        <v>0</v>
      </c>
      <c r="CB20" s="5">
        <f t="shared" ca="1" si="37"/>
        <v>0</v>
      </c>
      <c r="CC20" s="5">
        <f t="shared" ca="1" si="37"/>
        <v>0</v>
      </c>
      <c r="CD20" s="5">
        <f t="shared" ca="1" si="37"/>
        <v>0</v>
      </c>
      <c r="CE20" s="5">
        <f t="shared" ca="1" si="37"/>
        <v>0</v>
      </c>
      <c r="CF20" s="5">
        <f t="shared" ca="1" si="37"/>
        <v>0</v>
      </c>
      <c r="CG20" s="5">
        <f t="shared" ca="1" si="37"/>
        <v>0</v>
      </c>
      <c r="CH20" s="6">
        <f t="shared" ca="1" si="37"/>
        <v>0</v>
      </c>
      <c r="CI20" s="343"/>
      <c r="CJ20" s="343"/>
      <c r="CK20" s="308"/>
      <c r="CL20" s="12"/>
      <c r="CM20" s="290" t="s">
        <v>97</v>
      </c>
      <c r="CN20" s="4">
        <v>0</v>
      </c>
      <c r="CO20" s="5">
        <v>0</v>
      </c>
      <c r="CP20" s="5">
        <v>0</v>
      </c>
      <c r="CQ20" s="5">
        <v>0</v>
      </c>
      <c r="CR20" s="5">
        <v>0</v>
      </c>
      <c r="CS20" s="5">
        <v>0</v>
      </c>
      <c r="CT20" s="5">
        <v>0</v>
      </c>
      <c r="CU20" s="5">
        <v>0</v>
      </c>
      <c r="CV20" s="5">
        <v>0</v>
      </c>
      <c r="CW20" s="5">
        <v>0</v>
      </c>
      <c r="CX20" s="5">
        <v>0</v>
      </c>
      <c r="CY20" s="5"/>
      <c r="CZ20" s="5"/>
      <c r="DA20" s="189"/>
      <c r="DB20" s="307"/>
      <c r="DC20" s="308"/>
      <c r="DD20" s="343"/>
      <c r="DE20" s="12"/>
      <c r="DF20" s="290" t="s">
        <v>97</v>
      </c>
      <c r="DG20" s="4">
        <v>0</v>
      </c>
      <c r="DH20" s="5">
        <v>0</v>
      </c>
      <c r="DI20" s="5">
        <v>0</v>
      </c>
      <c r="DJ20" s="5">
        <v>0</v>
      </c>
      <c r="DK20" s="5">
        <v>0</v>
      </c>
      <c r="DL20" s="5">
        <v>0</v>
      </c>
      <c r="DM20" s="5">
        <v>0</v>
      </c>
      <c r="DN20" s="5">
        <v>0</v>
      </c>
      <c r="DO20" s="5">
        <v>0</v>
      </c>
      <c r="DP20" s="5">
        <v>0</v>
      </c>
      <c r="DQ20" s="5">
        <v>0</v>
      </c>
      <c r="DR20" s="5"/>
      <c r="DS20" s="5"/>
      <c r="DT20" s="6"/>
      <c r="DU20" s="325"/>
      <c r="DV20" s="308"/>
      <c r="DW20" s="343"/>
      <c r="DX20" s="12"/>
      <c r="DY20" s="290" t="s">
        <v>97</v>
      </c>
      <c r="DZ20" s="4">
        <v>0</v>
      </c>
      <c r="EA20" s="5">
        <v>0</v>
      </c>
      <c r="EB20" s="5">
        <v>0</v>
      </c>
      <c r="EC20" s="5">
        <v>0</v>
      </c>
      <c r="ED20" s="5">
        <v>0</v>
      </c>
      <c r="EE20" s="5">
        <v>0</v>
      </c>
      <c r="EF20" s="5">
        <v>0</v>
      </c>
      <c r="EG20" s="5">
        <v>0</v>
      </c>
      <c r="EH20" s="5">
        <v>0</v>
      </c>
      <c r="EI20" s="5">
        <v>0</v>
      </c>
      <c r="EJ20" s="5">
        <v>0</v>
      </c>
      <c r="EK20" s="5"/>
      <c r="EL20" s="5"/>
      <c r="EM20" s="6"/>
      <c r="EN20" s="307"/>
      <c r="EO20" s="308"/>
      <c r="EP20" s="343"/>
    </row>
    <row r="21" spans="1:146" x14ac:dyDescent="0.2">
      <c r="B21" s="1">
        <f ca="1">IF(ISNUMBER($A20),INDIRECT(ADDRESS($A20+1,COLUMN(System!K$2),1,TRUE,"System")),0)</f>
        <v>0</v>
      </c>
      <c r="C21" s="1">
        <f ca="1">IF(ISNUMBER($A20),INDIRECT(ADDRESS($A20+1,COLUMN(System!L$2),1,TRUE,"System")),0)</f>
        <v>0</v>
      </c>
      <c r="D21" s="1">
        <f ca="1">IF(ISNUMBER($A20),INDIRECT(ADDRESS($A20+1,COLUMN(System!M$2),1,TRUE,"System")),0)</f>
        <v>0</v>
      </c>
      <c r="E21" s="1">
        <f ca="1">IF(ISNUMBER($A20),INDIRECT(ADDRESS($A20+1,COLUMN(System!N$2),1,TRUE,"System")),0)</f>
        <v>0</v>
      </c>
      <c r="F21" s="12"/>
      <c r="J21" s="7">
        <v>0</v>
      </c>
      <c r="K21" s="180">
        <f ca="1">IF(G20=1,12*B20/D20^3,IF(G20="2a",3*B20/D20^3,IF(G20="2b",3*B20/D20^3,0)))</f>
        <v>0</v>
      </c>
      <c r="L21" s="8">
        <f ca="1">K22</f>
        <v>0</v>
      </c>
      <c r="M21" s="7">
        <v>0</v>
      </c>
      <c r="N21" s="1">
        <f ca="1">-K21</f>
        <v>0</v>
      </c>
      <c r="O21" s="8">
        <f ca="1">K25</f>
        <v>0</v>
      </c>
      <c r="P21" s="143">
        <f ca="1">H20</f>
        <v>0</v>
      </c>
      <c r="Q21" s="99">
        <f ca="1">I20</f>
        <v>0</v>
      </c>
      <c r="R21" s="99">
        <v>0</v>
      </c>
      <c r="S21" s="101">
        <v>0</v>
      </c>
      <c r="T21" s="101">
        <v>0</v>
      </c>
      <c r="U21" s="110">
        <v>0</v>
      </c>
      <c r="V21" s="7">
        <f ca="1"/>
        <v>0</v>
      </c>
      <c r="W21" s="180">
        <f ca="1"/>
        <v>0</v>
      </c>
      <c r="X21" s="8">
        <f ca="1"/>
        <v>0</v>
      </c>
      <c r="Y21" s="7">
        <f ca="1"/>
        <v>0</v>
      </c>
      <c r="Z21" s="1">
        <f ca="1"/>
        <v>0</v>
      </c>
      <c r="AA21" s="8">
        <f ca="1"/>
        <v>0</v>
      </c>
      <c r="AB21" s="61">
        <f ca="1">IF(ISNUMBER($A20),INDIRECT("System!" &amp; ADDRESS(A20+1,COLUMN(System!T19))),0)</f>
        <v>0</v>
      </c>
      <c r="AC21" s="301">
        <f ca="1">IF(G20=1,F20*D20/2,IF(G20="2a",F20*3/8*D20,IF(G20="2b",F20*5/8*D20,0)))</f>
        <v>0</v>
      </c>
      <c r="AD21" s="61">
        <f ca="1"/>
        <v>0</v>
      </c>
      <c r="AE21" s="7">
        <f t="shared" ref="AE21:BR21" ca="1" si="38">IF(ABS($C22)=AE$1,SIGN($C22),0)</f>
        <v>0</v>
      </c>
      <c r="AF21" s="1">
        <f t="shared" ca="1" si="38"/>
        <v>0</v>
      </c>
      <c r="AG21" s="1">
        <f t="shared" ca="1" si="38"/>
        <v>0</v>
      </c>
      <c r="AH21" s="1">
        <f t="shared" ca="1" si="38"/>
        <v>0</v>
      </c>
      <c r="AI21" s="1">
        <f t="shared" ca="1" si="38"/>
        <v>0</v>
      </c>
      <c r="AJ21" s="26">
        <f t="shared" ca="1" si="38"/>
        <v>0</v>
      </c>
      <c r="AK21" s="26">
        <f t="shared" ca="1" si="38"/>
        <v>0</v>
      </c>
      <c r="AL21" s="26">
        <f t="shared" ca="1" si="38"/>
        <v>0</v>
      </c>
      <c r="AM21" s="26">
        <f t="shared" ca="1" si="38"/>
        <v>0</v>
      </c>
      <c r="AN21" s="26">
        <f t="shared" ca="1" si="38"/>
        <v>0</v>
      </c>
      <c r="AO21" s="26">
        <f t="shared" ca="1" si="38"/>
        <v>0</v>
      </c>
      <c r="AP21" s="26">
        <f t="shared" ca="1" si="38"/>
        <v>0</v>
      </c>
      <c r="AQ21" s="26">
        <f t="shared" ca="1" si="38"/>
        <v>0</v>
      </c>
      <c r="AR21" s="26">
        <f t="shared" ca="1" si="38"/>
        <v>0</v>
      </c>
      <c r="AS21" s="26">
        <f t="shared" ca="1" si="38"/>
        <v>0</v>
      </c>
      <c r="AT21" s="26">
        <f t="shared" ca="1" si="38"/>
        <v>0</v>
      </c>
      <c r="AU21" s="26">
        <f t="shared" ca="1" si="38"/>
        <v>0</v>
      </c>
      <c r="AV21" s="26">
        <f t="shared" ca="1" si="38"/>
        <v>0</v>
      </c>
      <c r="AW21" s="26">
        <f t="shared" ca="1" si="38"/>
        <v>0</v>
      </c>
      <c r="AX21" s="26">
        <f t="shared" ca="1" si="38"/>
        <v>0</v>
      </c>
      <c r="AY21" s="26">
        <f t="shared" ca="1" si="38"/>
        <v>0</v>
      </c>
      <c r="AZ21" s="26">
        <f t="shared" ca="1" si="38"/>
        <v>0</v>
      </c>
      <c r="BA21" s="26">
        <f t="shared" ca="1" si="38"/>
        <v>0</v>
      </c>
      <c r="BB21" s="26">
        <f t="shared" ca="1" si="38"/>
        <v>0</v>
      </c>
      <c r="BC21" s="26">
        <f t="shared" ca="1" si="38"/>
        <v>0</v>
      </c>
      <c r="BD21" s="26">
        <f t="shared" ca="1" si="38"/>
        <v>0</v>
      </c>
      <c r="BE21" s="26">
        <f t="shared" ca="1" si="38"/>
        <v>0</v>
      </c>
      <c r="BF21" s="26">
        <f t="shared" ca="1" si="38"/>
        <v>0</v>
      </c>
      <c r="BG21" s="26">
        <f t="shared" ca="1" si="38"/>
        <v>0</v>
      </c>
      <c r="BH21" s="26">
        <f t="shared" ca="1" si="38"/>
        <v>0</v>
      </c>
      <c r="BI21" s="26">
        <f t="shared" ca="1" si="38"/>
        <v>0</v>
      </c>
      <c r="BJ21" s="26">
        <f t="shared" ca="1" si="38"/>
        <v>0</v>
      </c>
      <c r="BK21" s="26">
        <f t="shared" ca="1" si="38"/>
        <v>0</v>
      </c>
      <c r="BL21" s="26">
        <f t="shared" ca="1" si="38"/>
        <v>0</v>
      </c>
      <c r="BM21" s="26">
        <f t="shared" ca="1" si="38"/>
        <v>0</v>
      </c>
      <c r="BN21" s="26">
        <f t="shared" ca="1" si="38"/>
        <v>0</v>
      </c>
      <c r="BO21" s="26">
        <f t="shared" ca="1" si="38"/>
        <v>0</v>
      </c>
      <c r="BP21" s="26">
        <f t="shared" ca="1" si="38"/>
        <v>0</v>
      </c>
      <c r="BQ21" s="26">
        <f t="shared" ca="1" si="38"/>
        <v>0</v>
      </c>
      <c r="BR21" s="26">
        <f t="shared" ca="1" si="38"/>
        <v>0</v>
      </c>
      <c r="BS21" s="282">
        <f ca="1">IF(ISNUMBER($A20),IF(INDEX(B22:G22,2)&lt;&gt;0,SIGN(INDEX(B22:G22,2))*INDIRECT(ADDRESS(1+ABS(INDEX(B22:G22,2)),COLUMN(Ksys!$B$1),1,TRUE,"Ksys")),0)+AB21,0)</f>
        <v>0</v>
      </c>
      <c r="BT21" s="284">
        <f ca="1"/>
        <v>0</v>
      </c>
      <c r="BU21" s="284">
        <f ca="1"/>
        <v>0</v>
      </c>
      <c r="BV21" s="284">
        <f ca="1"/>
        <v>0</v>
      </c>
      <c r="BW21" s="287" t="s">
        <v>100</v>
      </c>
      <c r="BX21" s="272">
        <f t="shared" ref="BX21:CH21" ca="1" si="39" xml:space="preserve">  IF(ISNUMBER($A20),$BT21*(1-BX$1) + $BT24*BX$1 + ((1-BX$1)-(1-BX$1)^3)*$D20^2/6*$BV22/$B20 + (BX$1-(BX$1)^3)*$D20^2/6*$BV25/$B20 + (BX$1-2*(BX$1)^3+(BX$1)^4)*$D20^2/3*$F20*$D20^2/8/$B20,0)</f>
        <v>0</v>
      </c>
      <c r="BY21" s="173">
        <f t="shared" ca="1" si="39"/>
        <v>0</v>
      </c>
      <c r="BZ21" s="173">
        <f t="shared" ca="1" si="39"/>
        <v>0</v>
      </c>
      <c r="CA21" s="173">
        <f t="shared" ca="1" si="39"/>
        <v>0</v>
      </c>
      <c r="CB21" s="173">
        <f t="shared" ca="1" si="39"/>
        <v>0</v>
      </c>
      <c r="CC21" s="173">
        <f t="shared" ca="1" si="39"/>
        <v>0</v>
      </c>
      <c r="CD21" s="173">
        <f t="shared" ca="1" si="39"/>
        <v>0</v>
      </c>
      <c r="CE21" s="173">
        <f t="shared" ca="1" si="39"/>
        <v>0</v>
      </c>
      <c r="CF21" s="173">
        <f t="shared" ca="1" si="39"/>
        <v>0</v>
      </c>
      <c r="CG21" s="173">
        <f t="shared" ca="1" si="39"/>
        <v>0</v>
      </c>
      <c r="CH21" s="289">
        <f t="shared" ca="1" si="39"/>
        <v>0</v>
      </c>
      <c r="CI21" s="344"/>
      <c r="CJ21" s="344"/>
      <c r="CK21" s="312"/>
      <c r="CL21" s="12"/>
      <c r="CM21" s="291" t="s">
        <v>100</v>
      </c>
      <c r="CN21" s="7">
        <f t="shared" ref="CN21:CX21" ca="1" si="40" xml:space="preserve">  IF(ISNUMBER($A20),$BV22*(1-CN$1) + $BV25*CN$1  + CN$1*(1-CN$1)*$F20*$D20^2/2,0)</f>
        <v>0</v>
      </c>
      <c r="CO21" s="1">
        <f t="shared" ca="1" si="40"/>
        <v>0</v>
      </c>
      <c r="CP21" s="1">
        <f t="shared" ca="1" si="40"/>
        <v>0</v>
      </c>
      <c r="CQ21" s="1">
        <f t="shared" ca="1" si="40"/>
        <v>0</v>
      </c>
      <c r="CR21" s="1">
        <f t="shared" ca="1" si="40"/>
        <v>0</v>
      </c>
      <c r="CS21" s="1">
        <f t="shared" ca="1" si="40"/>
        <v>0</v>
      </c>
      <c r="CT21" s="1">
        <f t="shared" ca="1" si="40"/>
        <v>0</v>
      </c>
      <c r="CU21" s="1">
        <f t="shared" ca="1" si="40"/>
        <v>0</v>
      </c>
      <c r="CV21" s="1">
        <f t="shared" ca="1" si="40"/>
        <v>0</v>
      </c>
      <c r="CW21" s="1">
        <f t="shared" ca="1" si="40"/>
        <v>0</v>
      </c>
      <c r="CX21" s="1">
        <f t="shared" ca="1" si="40"/>
        <v>0</v>
      </c>
      <c r="CY21" s="1"/>
      <c r="CZ21" s="1"/>
      <c r="DA21" s="26"/>
      <c r="DB21" s="309"/>
      <c r="DC21" s="310"/>
      <c r="DD21" s="345"/>
      <c r="DE21" s="12"/>
      <c r="DF21" s="291" t="s">
        <v>100</v>
      </c>
      <c r="DG21" s="7">
        <f t="shared" ref="DG21:DQ21" ca="1" si="41" xml:space="preserve">  IF(ISNUMBER($A20),$BV21*(1-DG$1) + $BV24*DG$1,0)</f>
        <v>0</v>
      </c>
      <c r="DH21" s="1">
        <f t="shared" ca="1" si="41"/>
        <v>0</v>
      </c>
      <c r="DI21" s="1">
        <f t="shared" ca="1" si="41"/>
        <v>0</v>
      </c>
      <c r="DJ21" s="1">
        <f t="shared" ca="1" si="41"/>
        <v>0</v>
      </c>
      <c r="DK21" s="1">
        <f t="shared" ca="1" si="41"/>
        <v>0</v>
      </c>
      <c r="DL21" s="1">
        <f t="shared" ca="1" si="41"/>
        <v>0</v>
      </c>
      <c r="DM21" s="1">
        <f t="shared" ca="1" si="41"/>
        <v>0</v>
      </c>
      <c r="DN21" s="1">
        <f t="shared" ca="1" si="41"/>
        <v>0</v>
      </c>
      <c r="DO21" s="1">
        <f t="shared" ca="1" si="41"/>
        <v>0</v>
      </c>
      <c r="DP21" s="1">
        <f t="shared" ca="1" si="41"/>
        <v>0</v>
      </c>
      <c r="DQ21" s="1">
        <f t="shared" ca="1" si="41"/>
        <v>0</v>
      </c>
      <c r="DR21" s="1"/>
      <c r="DS21" s="1"/>
      <c r="DT21" s="8"/>
      <c r="DU21" s="12"/>
      <c r="DV21" s="310"/>
      <c r="DW21" s="345"/>
      <c r="DX21" s="12"/>
      <c r="DY21" s="291" t="s">
        <v>100</v>
      </c>
      <c r="DZ21" s="7">
        <f t="shared" ref="DZ21:EJ21" ca="1" si="42" xml:space="preserve">  IF(ISNUMBER($A20),$BV20*(1-DZ$1) + $BV23*DZ$1,0)</f>
        <v>0</v>
      </c>
      <c r="EA21" s="1">
        <f t="shared" ca="1" si="42"/>
        <v>0</v>
      </c>
      <c r="EB21" s="1">
        <f t="shared" ca="1" si="42"/>
        <v>0</v>
      </c>
      <c r="EC21" s="1">
        <f t="shared" ca="1" si="42"/>
        <v>0</v>
      </c>
      <c r="ED21" s="1">
        <f t="shared" ca="1" si="42"/>
        <v>0</v>
      </c>
      <c r="EE21" s="1">
        <f t="shared" ca="1" si="42"/>
        <v>0</v>
      </c>
      <c r="EF21" s="1">
        <f t="shared" ca="1" si="42"/>
        <v>0</v>
      </c>
      <c r="EG21" s="1">
        <f t="shared" ca="1" si="42"/>
        <v>0</v>
      </c>
      <c r="EH21" s="1">
        <f t="shared" ca="1" si="42"/>
        <v>0</v>
      </c>
      <c r="EI21" s="1">
        <f t="shared" ca="1" si="42"/>
        <v>0</v>
      </c>
      <c r="EJ21" s="1">
        <f t="shared" ca="1" si="42"/>
        <v>0</v>
      </c>
      <c r="EK21" s="1"/>
      <c r="EL21" s="1"/>
      <c r="EM21" s="8"/>
      <c r="EN21" s="309"/>
      <c r="EO21" s="310"/>
      <c r="EP21" s="345"/>
    </row>
    <row r="22" spans="1:146" ht="13.5" thickBot="1" x14ac:dyDescent="0.25">
      <c r="B22" s="1">
        <f ca="1">IF(ISNUMBER($A20),INDIRECT("System!" &amp; ADDRESS($A20 +1,COLUMN(System!Y19))),0)</f>
        <v>0</v>
      </c>
      <c r="C22" s="1">
        <f ca="1">IF(ISNUMBER($A20),INDIRECT("System!" &amp; ADDRESS($A20 +1,COLUMN(System!Z19))),0)</f>
        <v>0</v>
      </c>
      <c r="D22" s="1">
        <f ca="1">IF(ISNUMBER($A20),INDIRECT("System!" &amp; ADDRESS($A20 +1,COLUMN(System!AA19))),0)</f>
        <v>0</v>
      </c>
      <c r="E22" s="1">
        <f ca="1">IF(ISNUMBER($A20),INDIRECT("System!" &amp; ADDRESS($A20 +1,COLUMN(System!AB19))),0)</f>
        <v>0</v>
      </c>
      <c r="F22" s="1">
        <f ca="1">IF(ISNUMBER($A20),INDIRECT("System!" &amp; ADDRESS($A20 +1,COLUMN(System!AC19))),0)</f>
        <v>0</v>
      </c>
      <c r="G22" s="1">
        <f ca="1">IF(ISNUMBER($A20),INDIRECT("System!" &amp; ADDRESS($A20 +1,COLUMN(System!AD19))),0)</f>
        <v>0</v>
      </c>
      <c r="J22" s="9">
        <v>0</v>
      </c>
      <c r="K22" s="10">
        <f ca="1">IF(G20=1,-6*B20/D20^2,IF(G20="2a",0,IF(G20="2b",-3*B20/D20^2,0)))</f>
        <v>0</v>
      </c>
      <c r="L22" s="181">
        <f ca="1">IF(G20=1,4*B20/D20,IF(G20="2a",0,IF(G20="2b",3*B20/D20,0)))</f>
        <v>0</v>
      </c>
      <c r="M22" s="9">
        <v>0</v>
      </c>
      <c r="N22" s="10">
        <f ca="1">L24</f>
        <v>0</v>
      </c>
      <c r="O22" s="146">
        <f ca="1">L25</f>
        <v>0</v>
      </c>
      <c r="P22" s="143">
        <v>0</v>
      </c>
      <c r="Q22" s="99">
        <v>0</v>
      </c>
      <c r="R22" s="99">
        <v>1</v>
      </c>
      <c r="S22" s="101">
        <v>0</v>
      </c>
      <c r="T22" s="101">
        <v>0</v>
      </c>
      <c r="U22" s="110">
        <v>0</v>
      </c>
      <c r="V22" s="9">
        <f ca="1"/>
        <v>0</v>
      </c>
      <c r="W22" s="10">
        <f ca="1"/>
        <v>0</v>
      </c>
      <c r="X22" s="181">
        <f ca="1"/>
        <v>0</v>
      </c>
      <c r="Y22" s="9">
        <f ca="1"/>
        <v>0</v>
      </c>
      <c r="Z22" s="10">
        <f ca="1"/>
        <v>0</v>
      </c>
      <c r="AA22" s="146">
        <f ca="1"/>
        <v>0</v>
      </c>
      <c r="AB22" s="61">
        <f ca="1">IF(ISNUMBER($A20),INDIRECT("System!" &amp; ADDRESS(A20+1,COLUMN(System!U19))),0)</f>
        <v>0</v>
      </c>
      <c r="AC22" s="301">
        <f ca="1">IF(G20=1,-F20*D20^2/12,IF(G20="2a",0,IF(G20="2b",-F20*D20^2/8,0)))</f>
        <v>0</v>
      </c>
      <c r="AD22" s="61">
        <f ca="1"/>
        <v>0</v>
      </c>
      <c r="AE22" s="7">
        <f t="shared" ref="AE22:BR22" ca="1" si="43">IF(ABS($D22)=AE$1,SIGN($D22),0)</f>
        <v>0</v>
      </c>
      <c r="AF22" s="1">
        <f t="shared" ca="1" si="43"/>
        <v>0</v>
      </c>
      <c r="AG22" s="1">
        <f t="shared" ca="1" si="43"/>
        <v>0</v>
      </c>
      <c r="AH22" s="1">
        <f t="shared" ca="1" si="43"/>
        <v>0</v>
      </c>
      <c r="AI22" s="1">
        <f t="shared" ca="1" si="43"/>
        <v>0</v>
      </c>
      <c r="AJ22" s="26">
        <f t="shared" ca="1" si="43"/>
        <v>0</v>
      </c>
      <c r="AK22" s="26">
        <f t="shared" ca="1" si="43"/>
        <v>0</v>
      </c>
      <c r="AL22" s="26">
        <f t="shared" ca="1" si="43"/>
        <v>0</v>
      </c>
      <c r="AM22" s="26">
        <f t="shared" ca="1" si="43"/>
        <v>0</v>
      </c>
      <c r="AN22" s="26">
        <f t="shared" ca="1" si="43"/>
        <v>0</v>
      </c>
      <c r="AO22" s="26">
        <f t="shared" ca="1" si="43"/>
        <v>0</v>
      </c>
      <c r="AP22" s="26">
        <f t="shared" ca="1" si="43"/>
        <v>0</v>
      </c>
      <c r="AQ22" s="26">
        <f t="shared" ca="1" si="43"/>
        <v>0</v>
      </c>
      <c r="AR22" s="26">
        <f t="shared" ca="1" si="43"/>
        <v>0</v>
      </c>
      <c r="AS22" s="26">
        <f t="shared" ca="1" si="43"/>
        <v>0</v>
      </c>
      <c r="AT22" s="26">
        <f t="shared" ca="1" si="43"/>
        <v>0</v>
      </c>
      <c r="AU22" s="26">
        <f t="shared" ca="1" si="43"/>
        <v>0</v>
      </c>
      <c r="AV22" s="26">
        <f t="shared" ca="1" si="43"/>
        <v>0</v>
      </c>
      <c r="AW22" s="26">
        <f t="shared" ca="1" si="43"/>
        <v>0</v>
      </c>
      <c r="AX22" s="26">
        <f t="shared" ca="1" si="43"/>
        <v>0</v>
      </c>
      <c r="AY22" s="26">
        <f t="shared" ca="1" si="43"/>
        <v>0</v>
      </c>
      <c r="AZ22" s="26">
        <f t="shared" ca="1" si="43"/>
        <v>0</v>
      </c>
      <c r="BA22" s="26">
        <f t="shared" ca="1" si="43"/>
        <v>0</v>
      </c>
      <c r="BB22" s="26">
        <f t="shared" ca="1" si="43"/>
        <v>0</v>
      </c>
      <c r="BC22" s="26">
        <f t="shared" ca="1" si="43"/>
        <v>0</v>
      </c>
      <c r="BD22" s="26">
        <f t="shared" ca="1" si="43"/>
        <v>0</v>
      </c>
      <c r="BE22" s="26">
        <f t="shared" ca="1" si="43"/>
        <v>0</v>
      </c>
      <c r="BF22" s="26">
        <f t="shared" ca="1" si="43"/>
        <v>0</v>
      </c>
      <c r="BG22" s="26">
        <f t="shared" ca="1" si="43"/>
        <v>0</v>
      </c>
      <c r="BH22" s="26">
        <f t="shared" ca="1" si="43"/>
        <v>0</v>
      </c>
      <c r="BI22" s="26">
        <f t="shared" ca="1" si="43"/>
        <v>0</v>
      </c>
      <c r="BJ22" s="26">
        <f t="shared" ca="1" si="43"/>
        <v>0</v>
      </c>
      <c r="BK22" s="26">
        <f t="shared" ca="1" si="43"/>
        <v>0</v>
      </c>
      <c r="BL22" s="26">
        <f t="shared" ca="1" si="43"/>
        <v>0</v>
      </c>
      <c r="BM22" s="26">
        <f t="shared" ca="1" si="43"/>
        <v>0</v>
      </c>
      <c r="BN22" s="26">
        <f t="shared" ca="1" si="43"/>
        <v>0</v>
      </c>
      <c r="BO22" s="26">
        <f t="shared" ca="1" si="43"/>
        <v>0</v>
      </c>
      <c r="BP22" s="26">
        <f t="shared" ca="1" si="43"/>
        <v>0</v>
      </c>
      <c r="BQ22" s="26">
        <f t="shared" ca="1" si="43"/>
        <v>0</v>
      </c>
      <c r="BR22" s="26">
        <f t="shared" ca="1" si="43"/>
        <v>0</v>
      </c>
      <c r="BS22" s="282">
        <f ca="1">IF(ISNUMBER($A20),IF(INDEX(B22:G22,3)&lt;&gt;0,SIGN(INDEX(B22:G22,3))*INDIRECT(ADDRESS(1+ABS(INDEX(B22:G22,3)),COLUMN(Ksys!$B$1),1,TRUE,"Ksys")),0)+AB22,0)</f>
        <v>0</v>
      </c>
      <c r="BT22" s="284">
        <f ca="1"/>
        <v>0</v>
      </c>
      <c r="BU22" s="284">
        <f ca="1"/>
        <v>0</v>
      </c>
      <c r="BV22" s="284">
        <f ca="1"/>
        <v>0</v>
      </c>
      <c r="BW22" s="287" t="s">
        <v>96</v>
      </c>
      <c r="BX22" s="7">
        <f t="array" aca="1" ref="BX22:BX23" ca="1">IF(ISNUMBER($A20),MMULT(TRANSPOSE($P20:$Q21),BX20:BX21),0)</f>
        <v>0</v>
      </c>
      <c r="BY22" s="1">
        <f t="array" aca="1" ref="BY22:BY23" ca="1">IF(ISNUMBER($A20),MMULT(TRANSPOSE($P20:$Q21),BY20:BY21),0)</f>
        <v>0</v>
      </c>
      <c r="BZ22" s="1">
        <f t="array" aca="1" ref="BZ22:BZ23" ca="1">IF(ISNUMBER($A20),MMULT(TRANSPOSE($P20:$Q21),BZ20:BZ21),0)</f>
        <v>0</v>
      </c>
      <c r="CA22" s="1">
        <f t="array" aca="1" ref="CA22:CA23" ca="1">IF(ISNUMBER($A20),MMULT(TRANSPOSE($P20:$Q21),CA20:CA21),0)</f>
        <v>0</v>
      </c>
      <c r="CB22" s="1">
        <f t="array" aca="1" ref="CB22:CB23" ca="1">IF(ISNUMBER($A20),MMULT(TRANSPOSE($P20:$Q21),CB20:CB21),0)</f>
        <v>0</v>
      </c>
      <c r="CC22" s="1">
        <f t="array" aca="1" ref="CC22:CC23" ca="1">IF(ISNUMBER($A20),MMULT(TRANSPOSE($P20:$Q21),CC20:CC21),0)</f>
        <v>0</v>
      </c>
      <c r="CD22" s="1">
        <f t="array" aca="1" ref="CD22:CD23" ca="1">IF(ISNUMBER($A20),MMULT(TRANSPOSE($P20:$Q21),CD20:CD21),0)</f>
        <v>0</v>
      </c>
      <c r="CE22" s="1">
        <f t="array" aca="1" ref="CE22:CE23" ca="1">IF(ISNUMBER($A20),MMULT(TRANSPOSE($P20:$Q21),CE20:CE21),0)</f>
        <v>0</v>
      </c>
      <c r="CF22" s="1">
        <f t="array" aca="1" ref="CF22:CF23" ca="1">IF(ISNUMBER($A20),MMULT(TRANSPOSE($P20:$Q21),CF20:CF21),0)</f>
        <v>0</v>
      </c>
      <c r="CG22" s="1">
        <f t="array" aca="1" ref="CG22:CG23" ca="1">IF(ISNUMBER($A20),MMULT(TRANSPOSE($P20:$Q21),CG20:CG21),0)</f>
        <v>0</v>
      </c>
      <c r="CH22" s="8">
        <f t="array" aca="1" ref="CH22:CH23" ca="1">IF(ISNUMBER($A20),MMULT(TRANSPOSE($P20:$Q21),CH20:CH21),0)</f>
        <v>0</v>
      </c>
      <c r="CI22" s="345"/>
      <c r="CJ22" s="345"/>
      <c r="CK22" s="444">
        <f ca="1">MAX(MAX(BX22:CH23),ABS(MIN(BX22:CH23)))</f>
        <v>0</v>
      </c>
      <c r="CL22" s="12"/>
      <c r="CM22" s="291" t="s">
        <v>96</v>
      </c>
      <c r="CN22" s="7">
        <f t="array" aca="1" ref="CN22:CN23" ca="1">IF(ISNUMBER($A20),MMULT(TRANSPOSE($P20:$Q21),CN20:CN21),0)</f>
        <v>0</v>
      </c>
      <c r="CO22" s="1">
        <f t="array" aca="1" ref="CO22:CO23" ca="1">IF(ISNUMBER($A20),MMULT(TRANSPOSE($P20:$Q21),CO20:CO21),0)</f>
        <v>0</v>
      </c>
      <c r="CP22" s="1">
        <f t="array" aca="1" ref="CP22:CP23" ca="1">IF(ISNUMBER($A20),MMULT(TRANSPOSE($P20:$Q21),CP20:CP21),0)</f>
        <v>0</v>
      </c>
      <c r="CQ22" s="1">
        <f t="array" aca="1" ref="CQ22:CQ23" ca="1">IF(ISNUMBER($A20),MMULT(TRANSPOSE($P20:$Q21),CQ20:CQ21),0)</f>
        <v>0</v>
      </c>
      <c r="CR22" s="1">
        <f t="array" aca="1" ref="CR22:CR23" ca="1">IF(ISNUMBER($A20),MMULT(TRANSPOSE($P20:$Q21),CR20:CR21),0)</f>
        <v>0</v>
      </c>
      <c r="CS22" s="1">
        <f t="array" aca="1" ref="CS22:CS23" ca="1">IF(ISNUMBER($A20),MMULT(TRANSPOSE($P20:$Q21),CS20:CS21),0)</f>
        <v>0</v>
      </c>
      <c r="CT22" s="1">
        <f t="array" aca="1" ref="CT22:CT23" ca="1">IF(ISNUMBER($A20),MMULT(TRANSPOSE($P20:$Q21),CT20:CT21),0)</f>
        <v>0</v>
      </c>
      <c r="CU22" s="1">
        <f t="array" aca="1" ref="CU22:CU23" ca="1">IF(ISNUMBER($A20),MMULT(TRANSPOSE($P20:$Q21),CU20:CU21),0)</f>
        <v>0</v>
      </c>
      <c r="CV22" s="1">
        <f t="array" aca="1" ref="CV22:CV23" ca="1">IF(ISNUMBER($A20),MMULT(TRANSPOSE($P20:$Q21),CV20:CV21),0)</f>
        <v>0</v>
      </c>
      <c r="CW22" s="1">
        <f t="array" aca="1" ref="CW22:CW23" ca="1">IF(ISNUMBER($A20),MMULT(TRANSPOSE($P20:$Q21),CW20:CW21),0)</f>
        <v>0</v>
      </c>
      <c r="CX22" s="1">
        <f t="array" aca="1" ref="CX22:CX23" ca="1">IF(ISNUMBER($A20),MMULT(TRANSPOSE($P20:$Q21),CX20:CX21),0)</f>
        <v>0</v>
      </c>
      <c r="CY22" s="1"/>
      <c r="CZ22" s="1"/>
      <c r="DA22" s="26"/>
      <c r="DB22" s="309"/>
      <c r="DC22" s="310"/>
      <c r="DD22" s="345"/>
      <c r="DE22" s="12"/>
      <c r="DF22" s="291" t="s">
        <v>96</v>
      </c>
      <c r="DG22" s="7">
        <f t="array" aca="1" ref="DG22:DG23" ca="1">IF(ISNUMBER($A20),MMULT(TRANSPOSE($P20:$Q21),DG20:DG21),0)</f>
        <v>0</v>
      </c>
      <c r="DH22" s="1">
        <f t="array" aca="1" ref="DH22:DH23" ca="1">IF(ISNUMBER($A20),MMULT(TRANSPOSE($P20:$Q21),DH20:DH21),0)</f>
        <v>0</v>
      </c>
      <c r="DI22" s="1">
        <f t="array" aca="1" ref="DI22:DI23" ca="1">IF(ISNUMBER($A20),MMULT(TRANSPOSE($P20:$Q21),DI20:DI21),0)</f>
        <v>0</v>
      </c>
      <c r="DJ22" s="1">
        <f t="array" aca="1" ref="DJ22:DJ23" ca="1">IF(ISNUMBER($A20),MMULT(TRANSPOSE($P20:$Q21),DJ20:DJ21),0)</f>
        <v>0</v>
      </c>
      <c r="DK22" s="1">
        <f t="array" aca="1" ref="DK22:DK23" ca="1">IF(ISNUMBER($A20),MMULT(TRANSPOSE($P20:$Q21),DK20:DK21),0)</f>
        <v>0</v>
      </c>
      <c r="DL22" s="1">
        <f t="array" aca="1" ref="DL22:DL23" ca="1">IF(ISNUMBER($A20),MMULT(TRANSPOSE($P20:$Q21),DL20:DL21),0)</f>
        <v>0</v>
      </c>
      <c r="DM22" s="1">
        <f t="array" aca="1" ref="DM22:DM23" ca="1">IF(ISNUMBER($A20),MMULT(TRANSPOSE($P20:$Q21),DM20:DM21),0)</f>
        <v>0</v>
      </c>
      <c r="DN22" s="1">
        <f t="array" aca="1" ref="DN22:DN23" ca="1">IF(ISNUMBER($A20),MMULT(TRANSPOSE($P20:$Q21),DN20:DN21),0)</f>
        <v>0</v>
      </c>
      <c r="DO22" s="1">
        <f t="array" aca="1" ref="DO22:DO23" ca="1">IF(ISNUMBER($A20),MMULT(TRANSPOSE($P20:$Q21),DO20:DO21),0)</f>
        <v>0</v>
      </c>
      <c r="DP22" s="1">
        <f t="array" aca="1" ref="DP22:DP23" ca="1">IF(ISNUMBER($A20),MMULT(TRANSPOSE($P20:$Q21),DP20:DP21),0)</f>
        <v>0</v>
      </c>
      <c r="DQ22" s="1">
        <f t="array" aca="1" ref="DQ22:DQ23" ca="1">IF(ISNUMBER($A20),MMULT(TRANSPOSE($P20:$Q21),DQ20:DQ21),0)</f>
        <v>0</v>
      </c>
      <c r="DR22" s="1"/>
      <c r="DS22" s="1"/>
      <c r="DT22" s="8"/>
      <c r="DU22" s="12"/>
      <c r="DV22" s="310"/>
      <c r="DW22" s="345"/>
      <c r="DX22" s="12"/>
      <c r="DY22" s="291" t="s">
        <v>96</v>
      </c>
      <c r="DZ22" s="7">
        <f t="array" aca="1" ref="DZ22:DZ23" ca="1">IF(ISNUMBER($A20),MMULT(TRANSPOSE($P20:$Q21),DZ20:DZ21),0)</f>
        <v>0</v>
      </c>
      <c r="EA22" s="1">
        <f t="array" aca="1" ref="EA22:EA23" ca="1">IF(ISNUMBER($A20),MMULT(TRANSPOSE($P20:$Q21),EA20:EA21),0)</f>
        <v>0</v>
      </c>
      <c r="EB22" s="1">
        <f t="array" aca="1" ref="EB22:EB23" ca="1">IF(ISNUMBER($A20),MMULT(TRANSPOSE($P20:$Q21),EB20:EB21),0)</f>
        <v>0</v>
      </c>
      <c r="EC22" s="1">
        <f t="array" aca="1" ref="EC22:EC23" ca="1">IF(ISNUMBER($A20),MMULT(TRANSPOSE($P20:$Q21),EC20:EC21),0)</f>
        <v>0</v>
      </c>
      <c r="ED22" s="1">
        <f t="array" aca="1" ref="ED22:ED23" ca="1">IF(ISNUMBER($A20),MMULT(TRANSPOSE($P20:$Q21),ED20:ED21),0)</f>
        <v>0</v>
      </c>
      <c r="EE22" s="1">
        <f t="array" aca="1" ref="EE22:EE23" ca="1">IF(ISNUMBER($A20),MMULT(TRANSPOSE($P20:$Q21),EE20:EE21),0)</f>
        <v>0</v>
      </c>
      <c r="EF22" s="1">
        <f t="array" aca="1" ref="EF22:EF23" ca="1">IF(ISNUMBER($A20),MMULT(TRANSPOSE($P20:$Q21),EF20:EF21),0)</f>
        <v>0</v>
      </c>
      <c r="EG22" s="1">
        <f t="array" aca="1" ref="EG22:EG23" ca="1">IF(ISNUMBER($A20),MMULT(TRANSPOSE($P20:$Q21),EG20:EG21),0)</f>
        <v>0</v>
      </c>
      <c r="EH22" s="1">
        <f t="array" aca="1" ref="EH22:EH23" ca="1">IF(ISNUMBER($A20),MMULT(TRANSPOSE($P20:$Q21),EH20:EH21),0)</f>
        <v>0</v>
      </c>
      <c r="EI22" s="1">
        <f t="array" aca="1" ref="EI22:EI23" ca="1">IF(ISNUMBER($A20),MMULT(TRANSPOSE($P20:$Q21),EI20:EI21),0)</f>
        <v>0</v>
      </c>
      <c r="EJ22" s="1">
        <f t="array" aca="1" ref="EJ22:EJ23" ca="1">IF(ISNUMBER($A20),MMULT(TRANSPOSE($P20:$Q21),EJ20:EJ21),0)</f>
        <v>0</v>
      </c>
      <c r="EK22" s="1"/>
      <c r="EL22" s="1"/>
      <c r="EM22" s="8"/>
      <c r="EN22" s="309"/>
      <c r="EO22" s="310"/>
      <c r="EP22" s="345"/>
    </row>
    <row r="23" spans="1:146" x14ac:dyDescent="0.2">
      <c r="E23" s="12"/>
      <c r="F23" s="12"/>
      <c r="J23" s="4">
        <f ca="1">-J20</f>
        <v>0</v>
      </c>
      <c r="K23" s="5">
        <v>0</v>
      </c>
      <c r="L23" s="6">
        <v>0</v>
      </c>
      <c r="M23" s="179">
        <f ca="1">J20</f>
        <v>0</v>
      </c>
      <c r="N23" s="5">
        <v>0</v>
      </c>
      <c r="O23" s="6">
        <v>0</v>
      </c>
      <c r="P23" s="184">
        <v>0</v>
      </c>
      <c r="Q23" s="101">
        <v>0</v>
      </c>
      <c r="R23" s="101">
        <v>0</v>
      </c>
      <c r="S23" s="99">
        <f ca="1">I20</f>
        <v>0</v>
      </c>
      <c r="T23" s="99">
        <f ca="1">-H20</f>
        <v>0</v>
      </c>
      <c r="U23" s="100">
        <v>0</v>
      </c>
      <c r="V23" s="4">
        <f ca="1"/>
        <v>0</v>
      </c>
      <c r="W23" s="5">
        <f ca="1"/>
        <v>0</v>
      </c>
      <c r="X23" s="6">
        <f ca="1"/>
        <v>0</v>
      </c>
      <c r="Y23" s="179">
        <f ca="1"/>
        <v>0</v>
      </c>
      <c r="Z23" s="5">
        <f ca="1"/>
        <v>0</v>
      </c>
      <c r="AA23" s="6">
        <f ca="1"/>
        <v>0</v>
      </c>
      <c r="AB23" s="61">
        <f ca="1">IF(ISNUMBER($A20),INDIRECT("System!" &amp; ADDRESS(A20+1,COLUMN(System!V19))),0)</f>
        <v>0</v>
      </c>
      <c r="AC23" s="301">
        <f ca="1">IF(ISNUMBER(E20),E20*D20/2,0)</f>
        <v>0</v>
      </c>
      <c r="AD23" s="61">
        <f ca="1"/>
        <v>0</v>
      </c>
      <c r="AE23" s="7">
        <f t="shared" ref="AE23:BR23" ca="1" si="44">IF(ABS($E22)=AE$1,SIGN($E22),0)</f>
        <v>0</v>
      </c>
      <c r="AF23" s="1">
        <f t="shared" ca="1" si="44"/>
        <v>0</v>
      </c>
      <c r="AG23" s="1">
        <f t="shared" ca="1" si="44"/>
        <v>0</v>
      </c>
      <c r="AH23" s="1">
        <f t="shared" ca="1" si="44"/>
        <v>0</v>
      </c>
      <c r="AI23" s="1">
        <f t="shared" ca="1" si="44"/>
        <v>0</v>
      </c>
      <c r="AJ23" s="26">
        <f t="shared" ca="1" si="44"/>
        <v>0</v>
      </c>
      <c r="AK23" s="26">
        <f t="shared" ca="1" si="44"/>
        <v>0</v>
      </c>
      <c r="AL23" s="26">
        <f t="shared" ca="1" si="44"/>
        <v>0</v>
      </c>
      <c r="AM23" s="26">
        <f t="shared" ca="1" si="44"/>
        <v>0</v>
      </c>
      <c r="AN23" s="26">
        <f t="shared" ca="1" si="44"/>
        <v>0</v>
      </c>
      <c r="AO23" s="26">
        <f t="shared" ca="1" si="44"/>
        <v>0</v>
      </c>
      <c r="AP23" s="26">
        <f t="shared" ca="1" si="44"/>
        <v>0</v>
      </c>
      <c r="AQ23" s="26">
        <f t="shared" ca="1" si="44"/>
        <v>0</v>
      </c>
      <c r="AR23" s="26">
        <f t="shared" ca="1" si="44"/>
        <v>0</v>
      </c>
      <c r="AS23" s="26">
        <f t="shared" ca="1" si="44"/>
        <v>0</v>
      </c>
      <c r="AT23" s="26">
        <f t="shared" ca="1" si="44"/>
        <v>0</v>
      </c>
      <c r="AU23" s="26">
        <f t="shared" ca="1" si="44"/>
        <v>0</v>
      </c>
      <c r="AV23" s="26">
        <f t="shared" ca="1" si="44"/>
        <v>0</v>
      </c>
      <c r="AW23" s="26">
        <f t="shared" ca="1" si="44"/>
        <v>0</v>
      </c>
      <c r="AX23" s="26">
        <f t="shared" ca="1" si="44"/>
        <v>0</v>
      </c>
      <c r="AY23" s="26">
        <f t="shared" ca="1" si="44"/>
        <v>0</v>
      </c>
      <c r="AZ23" s="26">
        <f t="shared" ca="1" si="44"/>
        <v>0</v>
      </c>
      <c r="BA23" s="26">
        <f t="shared" ca="1" si="44"/>
        <v>0</v>
      </c>
      <c r="BB23" s="26">
        <f t="shared" ca="1" si="44"/>
        <v>0</v>
      </c>
      <c r="BC23" s="26">
        <f t="shared" ca="1" si="44"/>
        <v>0</v>
      </c>
      <c r="BD23" s="26">
        <f t="shared" ca="1" si="44"/>
        <v>0</v>
      </c>
      <c r="BE23" s="26">
        <f t="shared" ca="1" si="44"/>
        <v>0</v>
      </c>
      <c r="BF23" s="26">
        <f t="shared" ca="1" si="44"/>
        <v>0</v>
      </c>
      <c r="BG23" s="26">
        <f t="shared" ca="1" si="44"/>
        <v>0</v>
      </c>
      <c r="BH23" s="26">
        <f t="shared" ca="1" si="44"/>
        <v>0</v>
      </c>
      <c r="BI23" s="26">
        <f t="shared" ca="1" si="44"/>
        <v>0</v>
      </c>
      <c r="BJ23" s="26">
        <f t="shared" ca="1" si="44"/>
        <v>0</v>
      </c>
      <c r="BK23" s="26">
        <f t="shared" ca="1" si="44"/>
        <v>0</v>
      </c>
      <c r="BL23" s="26">
        <f t="shared" ca="1" si="44"/>
        <v>0</v>
      </c>
      <c r="BM23" s="26">
        <f t="shared" ca="1" si="44"/>
        <v>0</v>
      </c>
      <c r="BN23" s="26">
        <f t="shared" ca="1" si="44"/>
        <v>0</v>
      </c>
      <c r="BO23" s="26">
        <f t="shared" ca="1" si="44"/>
        <v>0</v>
      </c>
      <c r="BP23" s="26">
        <f t="shared" ca="1" si="44"/>
        <v>0</v>
      </c>
      <c r="BQ23" s="26">
        <f t="shared" ca="1" si="44"/>
        <v>0</v>
      </c>
      <c r="BR23" s="26">
        <f t="shared" ca="1" si="44"/>
        <v>0</v>
      </c>
      <c r="BS23" s="282">
        <f ca="1">IF(ISNUMBER($A20),IF(INDEX(B22:G22,4)&lt;&gt;0,SIGN(INDEX(B22:G22,4))*INDIRECT(ADDRESS(1+ABS(INDEX(B22:G22,4)),COLUMN(Ksys!$B$1),1,TRUE,"Ksys")),0)+AB23,0)</f>
        <v>0</v>
      </c>
      <c r="BT23" s="284">
        <f ca="1"/>
        <v>0</v>
      </c>
      <c r="BU23" s="284">
        <f ca="1"/>
        <v>0</v>
      </c>
      <c r="BV23" s="284">
        <f t="array" aca="1" ref="BV23:BV25" ca="1">MMULT(J23:O25,BT20:BT25)-AC23:AC25</f>
        <v>0</v>
      </c>
      <c r="BW23" s="288" t="s">
        <v>101</v>
      </c>
      <c r="BX23" s="7">
        <f ca="1"/>
        <v>0</v>
      </c>
      <c r="BY23" s="1">
        <f ca="1"/>
        <v>0</v>
      </c>
      <c r="BZ23" s="1">
        <f ca="1"/>
        <v>0</v>
      </c>
      <c r="CA23" s="1">
        <f ca="1"/>
        <v>0</v>
      </c>
      <c r="CB23" s="1">
        <f ca="1"/>
        <v>0</v>
      </c>
      <c r="CC23" s="1">
        <f ca="1"/>
        <v>0</v>
      </c>
      <c r="CD23" s="1">
        <f ca="1"/>
        <v>0</v>
      </c>
      <c r="CE23" s="1">
        <f ca="1"/>
        <v>0</v>
      </c>
      <c r="CF23" s="1">
        <f ca="1"/>
        <v>0</v>
      </c>
      <c r="CG23" s="1">
        <f ca="1"/>
        <v>0</v>
      </c>
      <c r="CH23" s="8">
        <f ca="1"/>
        <v>0</v>
      </c>
      <c r="CI23" s="344" t="s">
        <v>1</v>
      </c>
      <c r="CJ23" s="344" t="s">
        <v>111</v>
      </c>
      <c r="CK23" s="310"/>
      <c r="CL23" s="12"/>
      <c r="CM23" s="292" t="s">
        <v>101</v>
      </c>
      <c r="CN23" s="7">
        <f ca="1"/>
        <v>0</v>
      </c>
      <c r="CO23" s="1">
        <f ca="1"/>
        <v>0</v>
      </c>
      <c r="CP23" s="1">
        <f ca="1"/>
        <v>0</v>
      </c>
      <c r="CQ23" s="1">
        <f ca="1"/>
        <v>0</v>
      </c>
      <c r="CR23" s="1">
        <f ca="1"/>
        <v>0</v>
      </c>
      <c r="CS23" s="1">
        <f ca="1"/>
        <v>0</v>
      </c>
      <c r="CT23" s="1">
        <f ca="1"/>
        <v>0</v>
      </c>
      <c r="CU23" s="1">
        <f ca="1"/>
        <v>0</v>
      </c>
      <c r="CV23" s="1">
        <f ca="1"/>
        <v>0</v>
      </c>
      <c r="CW23" s="1">
        <f ca="1"/>
        <v>0</v>
      </c>
      <c r="CX23" s="1">
        <f ca="1"/>
        <v>0</v>
      </c>
      <c r="CY23" s="1"/>
      <c r="CZ23" s="1"/>
      <c r="DA23" s="26"/>
      <c r="DB23" s="311" t="s">
        <v>1</v>
      </c>
      <c r="DC23" s="312" t="s">
        <v>111</v>
      </c>
      <c r="DD23" s="61">
        <f ca="1">MAX(MAX(CN22:CX23),ABS(MIN(CN22:CX23)))</f>
        <v>0</v>
      </c>
      <c r="DE23" s="12"/>
      <c r="DF23" s="292" t="s">
        <v>101</v>
      </c>
      <c r="DG23" s="7">
        <f ca="1"/>
        <v>0</v>
      </c>
      <c r="DH23" s="1">
        <f ca="1"/>
        <v>0</v>
      </c>
      <c r="DI23" s="1">
        <f ca="1"/>
        <v>0</v>
      </c>
      <c r="DJ23" s="1">
        <f ca="1"/>
        <v>0</v>
      </c>
      <c r="DK23" s="1">
        <f ca="1"/>
        <v>0</v>
      </c>
      <c r="DL23" s="1">
        <f ca="1"/>
        <v>0</v>
      </c>
      <c r="DM23" s="1">
        <f ca="1"/>
        <v>0</v>
      </c>
      <c r="DN23" s="1">
        <f ca="1"/>
        <v>0</v>
      </c>
      <c r="DO23" s="1">
        <f ca="1"/>
        <v>0</v>
      </c>
      <c r="DP23" s="1">
        <f ca="1"/>
        <v>0</v>
      </c>
      <c r="DQ23" s="1">
        <f ca="1"/>
        <v>0</v>
      </c>
      <c r="DR23" s="1"/>
      <c r="DS23" s="1"/>
      <c r="DT23" s="8"/>
      <c r="DU23" s="314" t="s">
        <v>1</v>
      </c>
      <c r="DV23" s="312" t="s">
        <v>111</v>
      </c>
      <c r="DW23" s="349">
        <f ca="1">MAX(MAX(DG22:DQ23),ABS(MIN(DG22:DQ23)))</f>
        <v>0</v>
      </c>
      <c r="DX23" s="12"/>
      <c r="DY23" s="292" t="s">
        <v>101</v>
      </c>
      <c r="DZ23" s="7">
        <f ca="1"/>
        <v>0</v>
      </c>
      <c r="EA23" s="1">
        <f ca="1"/>
        <v>0</v>
      </c>
      <c r="EB23" s="1">
        <f ca="1"/>
        <v>0</v>
      </c>
      <c r="EC23" s="1">
        <f ca="1"/>
        <v>0</v>
      </c>
      <c r="ED23" s="1">
        <f ca="1"/>
        <v>0</v>
      </c>
      <c r="EE23" s="1">
        <f ca="1"/>
        <v>0</v>
      </c>
      <c r="EF23" s="1">
        <f ca="1"/>
        <v>0</v>
      </c>
      <c r="EG23" s="1">
        <f ca="1"/>
        <v>0</v>
      </c>
      <c r="EH23" s="1">
        <f ca="1"/>
        <v>0</v>
      </c>
      <c r="EI23" s="1">
        <f ca="1"/>
        <v>0</v>
      </c>
      <c r="EJ23" s="1">
        <f ca="1"/>
        <v>0</v>
      </c>
      <c r="EK23" s="1"/>
      <c r="EL23" s="1"/>
      <c r="EM23" s="8"/>
      <c r="EN23" s="311" t="s">
        <v>1</v>
      </c>
      <c r="EO23" s="312" t="s">
        <v>111</v>
      </c>
      <c r="EP23" s="61">
        <f ca="1">MAX(MAX(DZ22:EJ23),ABS(MIN(DZ22:EJ23)))</f>
        <v>0</v>
      </c>
    </row>
    <row r="24" spans="1:146" x14ac:dyDescent="0.2">
      <c r="E24" s="1" t="str">
        <f ca="1">IF(ISNUMBER(A20),"" &amp; ADDRESS(ROW(A20),COLUMN($AD$1)) &amp; ":" &amp; ADDRESS(ROW(A25),COLUMN($AD$1)) &amp; "","")</f>
        <v/>
      </c>
      <c r="F24" s="1" t="str">
        <f ca="1">IF(ISNUMBER(A20),"" &amp; ADDRESS(ROW(A20),COLUMN($V$1)) &amp; ":" &amp; ADDRESS(ROW(A25),COLUMN($AA$1)) &amp; "","")</f>
        <v/>
      </c>
      <c r="G24" s="1" t="str">
        <f ca="1">IF(ISNUMBER(A20),"" &amp; ADDRESS(ROW(A20),COLUMN($AE$1)) &amp; ":" &amp; ADDRESS(ROW(A25),COLUMN($AD$1)+$C$6) &amp; "","")</f>
        <v/>
      </c>
      <c r="J24" s="7">
        <v>0</v>
      </c>
      <c r="K24" s="1">
        <f ca="1">-K21</f>
        <v>0</v>
      </c>
      <c r="L24" s="8">
        <f ca="1">IF(G20=1,6*B20/D20^2,IF(G20="2a",0,IF(G20="2b",3*B20/D20^2,0)))</f>
        <v>0</v>
      </c>
      <c r="M24" s="7">
        <v>0</v>
      </c>
      <c r="N24" s="180">
        <f ca="1">K21</f>
        <v>0</v>
      </c>
      <c r="O24" s="8">
        <f ca="1">N25</f>
        <v>0</v>
      </c>
      <c r="P24" s="184">
        <v>0</v>
      </c>
      <c r="Q24" s="101">
        <v>0</v>
      </c>
      <c r="R24" s="101">
        <v>0</v>
      </c>
      <c r="S24" s="99">
        <f ca="1">H20</f>
        <v>0</v>
      </c>
      <c r="T24" s="99">
        <f ca="1">I20</f>
        <v>0</v>
      </c>
      <c r="U24" s="100">
        <v>0</v>
      </c>
      <c r="V24" s="7">
        <f ca="1"/>
        <v>0</v>
      </c>
      <c r="W24" s="1">
        <f ca="1"/>
        <v>0</v>
      </c>
      <c r="X24" s="8">
        <f ca="1"/>
        <v>0</v>
      </c>
      <c r="Y24" s="7">
        <f ca="1"/>
        <v>0</v>
      </c>
      <c r="Z24" s="180">
        <f ca="1"/>
        <v>0</v>
      </c>
      <c r="AA24" s="8">
        <f ca="1"/>
        <v>0</v>
      </c>
      <c r="AB24" s="61">
        <f ca="1">IF(ISNUMBER($A20),INDIRECT("System!" &amp; ADDRESS(A20+1,COLUMN(System!W19))),0)</f>
        <v>0</v>
      </c>
      <c r="AC24" s="301">
        <f ca="1">IF(G20=1,F20*D20/2,IF(G20="2a",F20*5/8*D20,IF(G20="2b",F20*3/8*D20,0)))</f>
        <v>0</v>
      </c>
      <c r="AD24" s="61">
        <f ca="1"/>
        <v>0</v>
      </c>
      <c r="AE24" s="7">
        <f t="shared" ref="AE24:BR24" ca="1" si="45">IF(ABS($F22)=AE$1,SIGN($F22),0)</f>
        <v>0</v>
      </c>
      <c r="AF24" s="1">
        <f t="shared" ca="1" si="45"/>
        <v>0</v>
      </c>
      <c r="AG24" s="1">
        <f t="shared" ca="1" si="45"/>
        <v>0</v>
      </c>
      <c r="AH24" s="1">
        <f t="shared" ca="1" si="45"/>
        <v>0</v>
      </c>
      <c r="AI24" s="1">
        <f t="shared" ca="1" si="45"/>
        <v>0</v>
      </c>
      <c r="AJ24" s="26">
        <f t="shared" ca="1" si="45"/>
        <v>0</v>
      </c>
      <c r="AK24" s="26">
        <f t="shared" ca="1" si="45"/>
        <v>0</v>
      </c>
      <c r="AL24" s="26">
        <f t="shared" ca="1" si="45"/>
        <v>0</v>
      </c>
      <c r="AM24" s="26">
        <f t="shared" ca="1" si="45"/>
        <v>0</v>
      </c>
      <c r="AN24" s="26">
        <f t="shared" ca="1" si="45"/>
        <v>0</v>
      </c>
      <c r="AO24" s="26">
        <f t="shared" ca="1" si="45"/>
        <v>0</v>
      </c>
      <c r="AP24" s="26">
        <f t="shared" ca="1" si="45"/>
        <v>0</v>
      </c>
      <c r="AQ24" s="26">
        <f t="shared" ca="1" si="45"/>
        <v>0</v>
      </c>
      <c r="AR24" s="26">
        <f t="shared" ca="1" si="45"/>
        <v>0</v>
      </c>
      <c r="AS24" s="26">
        <f t="shared" ca="1" si="45"/>
        <v>0</v>
      </c>
      <c r="AT24" s="26">
        <f t="shared" ca="1" si="45"/>
        <v>0</v>
      </c>
      <c r="AU24" s="26">
        <f t="shared" ca="1" si="45"/>
        <v>0</v>
      </c>
      <c r="AV24" s="26">
        <f t="shared" ca="1" si="45"/>
        <v>0</v>
      </c>
      <c r="AW24" s="26">
        <f t="shared" ca="1" si="45"/>
        <v>0</v>
      </c>
      <c r="AX24" s="26">
        <f t="shared" ca="1" si="45"/>
        <v>0</v>
      </c>
      <c r="AY24" s="26">
        <f t="shared" ca="1" si="45"/>
        <v>0</v>
      </c>
      <c r="AZ24" s="26">
        <f t="shared" ca="1" si="45"/>
        <v>0</v>
      </c>
      <c r="BA24" s="26">
        <f t="shared" ca="1" si="45"/>
        <v>0</v>
      </c>
      <c r="BB24" s="26">
        <f t="shared" ca="1" si="45"/>
        <v>0</v>
      </c>
      <c r="BC24" s="26">
        <f t="shared" ca="1" si="45"/>
        <v>0</v>
      </c>
      <c r="BD24" s="26">
        <f t="shared" ca="1" si="45"/>
        <v>0</v>
      </c>
      <c r="BE24" s="26">
        <f t="shared" ca="1" si="45"/>
        <v>0</v>
      </c>
      <c r="BF24" s="26">
        <f t="shared" ca="1" si="45"/>
        <v>0</v>
      </c>
      <c r="BG24" s="26">
        <f t="shared" ca="1" si="45"/>
        <v>0</v>
      </c>
      <c r="BH24" s="26">
        <f t="shared" ca="1" si="45"/>
        <v>0</v>
      </c>
      <c r="BI24" s="26">
        <f t="shared" ca="1" si="45"/>
        <v>0</v>
      </c>
      <c r="BJ24" s="26">
        <f t="shared" ca="1" si="45"/>
        <v>0</v>
      </c>
      <c r="BK24" s="26">
        <f t="shared" ca="1" si="45"/>
        <v>0</v>
      </c>
      <c r="BL24" s="26">
        <f t="shared" ca="1" si="45"/>
        <v>0</v>
      </c>
      <c r="BM24" s="26">
        <f t="shared" ca="1" si="45"/>
        <v>0</v>
      </c>
      <c r="BN24" s="26">
        <f t="shared" ca="1" si="45"/>
        <v>0</v>
      </c>
      <c r="BO24" s="26">
        <f t="shared" ca="1" si="45"/>
        <v>0</v>
      </c>
      <c r="BP24" s="26">
        <f t="shared" ca="1" si="45"/>
        <v>0</v>
      </c>
      <c r="BQ24" s="26">
        <f t="shared" ca="1" si="45"/>
        <v>0</v>
      </c>
      <c r="BR24" s="26">
        <f t="shared" ca="1" si="45"/>
        <v>0</v>
      </c>
      <c r="BS24" s="282">
        <f ca="1">IF(ISNUMBER($A20),IF(INDEX(B22:G22,5)&lt;&gt;0,SIGN(INDEX(B22:G22,5))*INDIRECT(ADDRESS(1+ABS(INDEX(B22:G22,5)),COLUMN(Ksys!$B$1),1,TRUE,"Ksys")),0)+AB24,0)</f>
        <v>0</v>
      </c>
      <c r="BT24" s="284">
        <f ca="1"/>
        <v>0</v>
      </c>
      <c r="BU24" s="284">
        <f ca="1"/>
        <v>0</v>
      </c>
      <c r="BV24" s="284">
        <f ca="1"/>
        <v>0</v>
      </c>
      <c r="BW24" s="296" t="s">
        <v>102</v>
      </c>
      <c r="BX24" s="216">
        <f ca="1">IF(ISNUMBER($A20),$B21*(1-BX$1) + $C21*BX$1 + Knoten!$S$5*BX22,KnotenData!$H$2)</f>
        <v>0.5</v>
      </c>
      <c r="BY24" s="206">
        <f ca="1">IF(ISNUMBER($A20),$B21*(1-BY$1) + $C21*BY$1 + Knoten!$S$5*BY22,KnotenData!$H$2)</f>
        <v>0.5</v>
      </c>
      <c r="BZ24" s="206">
        <f ca="1">IF(ISNUMBER($A20),$B21*(1-BZ$1) + $C21*BZ$1 + Knoten!$S$5*BZ22,KnotenData!$H$2)</f>
        <v>0.5</v>
      </c>
      <c r="CA24" s="206">
        <f ca="1">IF(ISNUMBER($A20),$B21*(1-CA$1) + $C21*CA$1 + Knoten!$S$5*CA22,KnotenData!$H$2)</f>
        <v>0.5</v>
      </c>
      <c r="CB24" s="206">
        <f ca="1">IF(ISNUMBER($A20),$B21*(1-CB$1) + $C21*CB$1 + Knoten!$S$5*CB22,KnotenData!$H$2)</f>
        <v>0.5</v>
      </c>
      <c r="CC24" s="206">
        <f ca="1">IF(ISNUMBER($A20),$B21*(1-CC$1) + $C21*CC$1 + Knoten!$S$5*CC22,KnotenData!$H$2)</f>
        <v>0.5</v>
      </c>
      <c r="CD24" s="206">
        <f ca="1">IF(ISNUMBER($A20),$B21*(1-CD$1) + $C21*CD$1 + Knoten!$S$5*CD22,KnotenData!$H$2)</f>
        <v>0.5</v>
      </c>
      <c r="CE24" s="206">
        <f ca="1">IF(ISNUMBER($A20),$B21*(1-CE$1) + $C21*CE$1 + Knoten!$S$5*CE22,KnotenData!$H$2)</f>
        <v>0.5</v>
      </c>
      <c r="CF24" s="206">
        <f ca="1">IF(ISNUMBER($A20),$B21*(1-CF$1) + $C21*CF$1 + Knoten!$S$5*CF22,KnotenData!$H$2)</f>
        <v>0.5</v>
      </c>
      <c r="CG24" s="206">
        <f ca="1">IF(ISNUMBER($A20),$B21*(1-CG$1) + $C21*CG$1 + Knoten!$S$5*CG22,KnotenData!$H$2)</f>
        <v>0.5</v>
      </c>
      <c r="CH24" s="217">
        <f ca="1">IF(ISNUMBER($A20),$B21*(1-CH$1) + $C21*CH$1 + Knoten!$S$5*CH22,KnotenData!$H$2)</f>
        <v>0.5</v>
      </c>
      <c r="CI24" s="447">
        <f ca="1">MIN(BX24:CH24)</f>
        <v>0.5</v>
      </c>
      <c r="CJ24" s="447">
        <f ca="1">MIN(BX25:CH25)</f>
        <v>0.47499999999999998</v>
      </c>
      <c r="CK24" s="445"/>
      <c r="CL24" s="12"/>
      <c r="CM24" s="293" t="s">
        <v>102</v>
      </c>
      <c r="CN24" s="216">
        <f ca="1">IF(ISNUMBER($A20),$B21*(1-CN$1) + $C21*CN$1 + Momente!$D$6*CN22,KnotenData!$H$2)</f>
        <v>0.5</v>
      </c>
      <c r="CO24" s="206">
        <f ca="1">IF(ISNUMBER($A20),$B21*(1-CO$1) + $C21*CO$1 + Momente!$D$6*CO22,KnotenData!$H$2)</f>
        <v>0.5</v>
      </c>
      <c r="CP24" s="206">
        <f ca="1">IF(ISNUMBER($A20),$B21*(1-CP$1) + $C21*CP$1 + Momente!$D$6*CP22,KnotenData!$H$2)</f>
        <v>0.5</v>
      </c>
      <c r="CQ24" s="206">
        <f ca="1">IF(ISNUMBER($A20),$B21*(1-CQ$1) + $C21*CQ$1 + Momente!$D$6*CQ22,KnotenData!$H$2)</f>
        <v>0.5</v>
      </c>
      <c r="CR24" s="206">
        <f ca="1">IF(ISNUMBER($A20),$B21*(1-CR$1) + $C21*CR$1 + Momente!$D$6*CR22,KnotenData!$H$2)</f>
        <v>0.5</v>
      </c>
      <c r="CS24" s="206">
        <f ca="1">IF(ISNUMBER($A20),$B21*(1-CS$1) + $C21*CS$1 + Momente!$D$6*CS22,KnotenData!$H$2)</f>
        <v>0.5</v>
      </c>
      <c r="CT24" s="206">
        <f ca="1">IF(ISNUMBER($A20),$B21*(1-CT$1) + $C21*CT$1 + Momente!$D$6*CT22,KnotenData!$H$2)</f>
        <v>0.5</v>
      </c>
      <c r="CU24" s="206">
        <f ca="1">IF(ISNUMBER($A20),$B21*(1-CU$1) + $C21*CU$1 + Momente!$D$6*CU22,KnotenData!$H$2)</f>
        <v>0.5</v>
      </c>
      <c r="CV24" s="206">
        <f ca="1">IF(ISNUMBER($A20),$B21*(1-CV$1) + $C21*CV$1 + Momente!$D$6*CV22,KnotenData!$H$2)</f>
        <v>0.5</v>
      </c>
      <c r="CW24" s="206">
        <f ca="1">IF(ISNUMBER($A20),$B21*(1-CW$1) + $C21*CW$1 + Momente!$D$6*CW22,KnotenData!$H$2)</f>
        <v>0.5</v>
      </c>
      <c r="CX24" s="206">
        <f ca="1">IF(ISNUMBER($A20),$B21*(1-CX$1) + $C21*CX$1 + Momente!$D$6*CX22,KnotenData!$H$2)</f>
        <v>0.5</v>
      </c>
      <c r="CY24" s="206">
        <f ca="1">IF(ISNUMBER($A20),$C21,KnotenData!$H$2)</f>
        <v>0.5</v>
      </c>
      <c r="CZ24" s="206">
        <f ca="1">IF(ISNUMBER($A20),$B21,KnotenData!$H$2)</f>
        <v>0.5</v>
      </c>
      <c r="DA24" s="305">
        <f ca="1">IF(ISNUMBER($A20),CN24,KnotenData!$H$2)</f>
        <v>0.5</v>
      </c>
      <c r="DB24" s="7">
        <f ca="1">MIN(CN24:DA24)</f>
        <v>0.5</v>
      </c>
      <c r="DC24" s="8">
        <f ca="1">MIN(CN25:DA25)</f>
        <v>0.47499999999999998</v>
      </c>
      <c r="DD24" s="345"/>
      <c r="DE24" s="12"/>
      <c r="DF24" s="293" t="s">
        <v>102</v>
      </c>
      <c r="DG24" s="216">
        <f ca="1">IF(ISNUMBER($A20),$B21*(1-DG$1) + $C21*DG$1 + Querkräfte!$D$6*DG22,KnotenData!$H$2)</f>
        <v>0.5</v>
      </c>
      <c r="DH24" s="206">
        <f ca="1">IF(ISNUMBER($A20),$B21*(1-DH$1) + $C21*DH$1 + Querkräfte!$D$6*DH22,KnotenData!$H$2)</f>
        <v>0.5</v>
      </c>
      <c r="DI24" s="206">
        <f ca="1">IF(ISNUMBER($A20),$B21*(1-DI$1) + $C21*DI$1 + Querkräfte!$D$6*DI22,KnotenData!$H$2)</f>
        <v>0.5</v>
      </c>
      <c r="DJ24" s="206">
        <f ca="1">IF(ISNUMBER($A20),$B21*(1-DJ$1) + $C21*DJ$1 + Querkräfte!$D$6*DJ22,KnotenData!$H$2)</f>
        <v>0.5</v>
      </c>
      <c r="DK24" s="206">
        <f ca="1">IF(ISNUMBER($A20),$B21*(1-DK$1) + $C21*DK$1 + Querkräfte!$D$6*DK22,KnotenData!$H$2)</f>
        <v>0.5</v>
      </c>
      <c r="DL24" s="206">
        <f ca="1">IF(ISNUMBER($A20),$B21*(1-DL$1) + $C21*DL$1 + Querkräfte!$D$6*DL22,KnotenData!$H$2)</f>
        <v>0.5</v>
      </c>
      <c r="DM24" s="206">
        <f ca="1">IF(ISNUMBER($A20),$B21*(1-DM$1) + $C21*DM$1 + Querkräfte!$D$6*DM22,KnotenData!$H$2)</f>
        <v>0.5</v>
      </c>
      <c r="DN24" s="206">
        <f ca="1">IF(ISNUMBER($A20),$B21*(1-DN$1) + $C21*DN$1 + Querkräfte!$D$6*DN22,KnotenData!$H$2)</f>
        <v>0.5</v>
      </c>
      <c r="DO24" s="206">
        <f ca="1">IF(ISNUMBER($A20),$B21*(1-DO$1) + $C21*DO$1 + Querkräfte!$D$6*DO22,KnotenData!$H$2)</f>
        <v>0.5</v>
      </c>
      <c r="DP24" s="206">
        <f ca="1">IF(ISNUMBER($A20),$B21*(1-DP$1) + $C21*DP$1 + Querkräfte!$D$6*DP22,KnotenData!$H$2)</f>
        <v>0.5</v>
      </c>
      <c r="DQ24" s="206">
        <f ca="1">IF(ISNUMBER($A20),$B21*(1-DQ$1) + $C21*DQ$1 + Querkräfte!$D$6*DQ22,KnotenData!$H$2)</f>
        <v>0.5</v>
      </c>
      <c r="DR24" s="206">
        <f ca="1">IF(ISNUMBER($A20),$C21,KnotenData!$H$2)</f>
        <v>0.5</v>
      </c>
      <c r="DS24" s="206">
        <f ca="1">IF(ISNUMBER($A20),$B21,KnotenData!$H$2)</f>
        <v>0.5</v>
      </c>
      <c r="DT24" s="217">
        <f ca="1">IF(ISNUMBER($A20),DG24,KnotenData!$H$2)</f>
        <v>0.5</v>
      </c>
      <c r="DU24" s="145">
        <f ca="1">MIN(DG24:DQ24)</f>
        <v>0.5</v>
      </c>
      <c r="DV24" s="8">
        <f ca="1">MIN(DG25:DQ25)</f>
        <v>0.47499999999999998</v>
      </c>
      <c r="DW24" s="345"/>
      <c r="DX24" s="12"/>
      <c r="DY24" s="293" t="s">
        <v>102</v>
      </c>
      <c r="DZ24" s="216">
        <f ca="1">IF(ISNUMBER($A20),$B21*(1-DZ$1) + $C21*DZ$1 + Normalkräfte!$D$6*DZ22,KnotenData!$H$2)</f>
        <v>0.5</v>
      </c>
      <c r="EA24" s="206">
        <f ca="1">IF(ISNUMBER($A20),$B21*(1-EA$1) + $C21*EA$1 + Normalkräfte!$D$6*EA22,KnotenData!$H$2)</f>
        <v>0.5</v>
      </c>
      <c r="EB24" s="206">
        <f ca="1">IF(ISNUMBER($A20),$B21*(1-EB$1) + $C21*EB$1 + Normalkräfte!$D$6*EB22,KnotenData!$H$2)</f>
        <v>0.5</v>
      </c>
      <c r="EC24" s="206">
        <f ca="1">IF(ISNUMBER($A20),$B21*(1-EC$1) + $C21*EC$1 + Normalkräfte!$D$6*EC22,KnotenData!$H$2)</f>
        <v>0.5</v>
      </c>
      <c r="ED24" s="206">
        <f ca="1">IF(ISNUMBER($A20),$B21*(1-ED$1) + $C21*ED$1 + Normalkräfte!$D$6*ED22,KnotenData!$H$2)</f>
        <v>0.5</v>
      </c>
      <c r="EE24" s="206">
        <f ca="1">IF(ISNUMBER($A20),$B21*(1-EE$1) + $C21*EE$1 + Normalkräfte!$D$6*EE22,KnotenData!$H$2)</f>
        <v>0.5</v>
      </c>
      <c r="EF24" s="206">
        <f ca="1">IF(ISNUMBER($A20),$B21*(1-EF$1) + $C21*EF$1 + Normalkräfte!$D$6*EF22,KnotenData!$H$2)</f>
        <v>0.5</v>
      </c>
      <c r="EG24" s="206">
        <f ca="1">IF(ISNUMBER($A20),$B21*(1-EG$1) + $C21*EG$1 + Normalkräfte!$D$6*EG22,KnotenData!$H$2)</f>
        <v>0.5</v>
      </c>
      <c r="EH24" s="206">
        <f ca="1">IF(ISNUMBER($A20),$B21*(1-EH$1) + $C21*EH$1 + Normalkräfte!$D$6*EH22,KnotenData!$H$2)</f>
        <v>0.5</v>
      </c>
      <c r="EI24" s="206">
        <f ca="1">IF(ISNUMBER($A20),$B21*(1-EI$1) + $C21*EI$1 + Normalkräfte!$D$6*EI22,KnotenData!$H$2)</f>
        <v>0.5</v>
      </c>
      <c r="EJ24" s="206">
        <f ca="1">IF(ISNUMBER($A20),$B21*(1-EJ$1) + $C21*EJ$1 + Normalkräfte!$D$6*EJ22,KnotenData!$H$2)</f>
        <v>0.5</v>
      </c>
      <c r="EK24" s="256">
        <f ca="1">IF(ISNUMBER($A20),$C21,KnotenData!$H$2)</f>
        <v>0.5</v>
      </c>
      <c r="EL24" s="206">
        <f ca="1">IF(ISNUMBER($A20),$B21,KnotenData!$H$2)</f>
        <v>0.5</v>
      </c>
      <c r="EM24" s="217">
        <f ca="1">IF(ISNUMBER($A20),DZ24,KnotenData!$H$2)</f>
        <v>0.5</v>
      </c>
      <c r="EN24" s="7">
        <f ca="1">MIN(DZ24:EJ24)</f>
        <v>0.5</v>
      </c>
      <c r="EO24" s="8">
        <f ca="1">MIN(DZ25:EJ25)</f>
        <v>0.47499999999999998</v>
      </c>
      <c r="EP24" s="345"/>
    </row>
    <row r="25" spans="1:146" ht="13.5" thickBot="1" x14ac:dyDescent="0.25">
      <c r="E25" s="12"/>
      <c r="F25" s="12"/>
      <c r="J25" s="9">
        <v>0</v>
      </c>
      <c r="K25" s="10">
        <f ca="1">IF(G20=1,-6*B20/D20^2,IF(G20="2a",-3*B20/D20^2,IF(G20="2b",0,0)))</f>
        <v>0</v>
      </c>
      <c r="L25" s="146">
        <f ca="1">IF(G20=1,2*B20/D20,IF(G20="2a",0,IF(G20="2b",0,0)))</f>
        <v>0</v>
      </c>
      <c r="M25" s="9">
        <v>0</v>
      </c>
      <c r="N25" s="10">
        <f ca="1">-K25</f>
        <v>0</v>
      </c>
      <c r="O25" s="181">
        <f ca="1">IF(G20=1,4*B20/D20,IF(G20="2a",3*B20/D20,IF(G20="2b",0,0)))</f>
        <v>0</v>
      </c>
      <c r="P25" s="185">
        <v>0</v>
      </c>
      <c r="Q25" s="103">
        <v>0</v>
      </c>
      <c r="R25" s="103">
        <v>0</v>
      </c>
      <c r="S25" s="111">
        <v>0</v>
      </c>
      <c r="T25" s="111">
        <v>0</v>
      </c>
      <c r="U25" s="112">
        <v>1</v>
      </c>
      <c r="V25" s="9">
        <f ca="1"/>
        <v>0</v>
      </c>
      <c r="W25" s="10">
        <f ca="1"/>
        <v>0</v>
      </c>
      <c r="X25" s="146">
        <f ca="1"/>
        <v>0</v>
      </c>
      <c r="Y25" s="9">
        <f ca="1"/>
        <v>0</v>
      </c>
      <c r="Z25" s="10">
        <f ca="1"/>
        <v>0</v>
      </c>
      <c r="AA25" s="181">
        <f ca="1"/>
        <v>0</v>
      </c>
      <c r="AB25" s="62">
        <f ca="1">IF(ISNUMBER($A20),INDIRECT("System!" &amp; ADDRESS(A20+1,COLUMN(System!X19))),0)</f>
        <v>0</v>
      </c>
      <c r="AC25" s="302">
        <f ca="1">IF(G20=1,F20*D20^2/12,IF(G20="2a",F20*D20^2/8,IF(G20="2b",0,0)))</f>
        <v>0</v>
      </c>
      <c r="AD25" s="62">
        <f ca="1"/>
        <v>0</v>
      </c>
      <c r="AE25" s="9">
        <f t="shared" ref="AE25:BR25" ca="1" si="46">IF(ABS($G22)=AE$1,SIGN($G22),0)</f>
        <v>0</v>
      </c>
      <c r="AF25" s="10">
        <f t="shared" ca="1" si="46"/>
        <v>0</v>
      </c>
      <c r="AG25" s="10">
        <f t="shared" ca="1" si="46"/>
        <v>0</v>
      </c>
      <c r="AH25" s="10">
        <f t="shared" ca="1" si="46"/>
        <v>0</v>
      </c>
      <c r="AI25" s="10">
        <f t="shared" ca="1" si="46"/>
        <v>0</v>
      </c>
      <c r="AJ25" s="188">
        <f t="shared" ca="1" si="46"/>
        <v>0</v>
      </c>
      <c r="AK25" s="188">
        <f t="shared" ca="1" si="46"/>
        <v>0</v>
      </c>
      <c r="AL25" s="188">
        <f t="shared" ca="1" si="46"/>
        <v>0</v>
      </c>
      <c r="AM25" s="188">
        <f t="shared" ca="1" si="46"/>
        <v>0</v>
      </c>
      <c r="AN25" s="188">
        <f t="shared" ca="1" si="46"/>
        <v>0</v>
      </c>
      <c r="AO25" s="188">
        <f t="shared" ca="1" si="46"/>
        <v>0</v>
      </c>
      <c r="AP25" s="188">
        <f t="shared" ca="1" si="46"/>
        <v>0</v>
      </c>
      <c r="AQ25" s="188">
        <f t="shared" ca="1" si="46"/>
        <v>0</v>
      </c>
      <c r="AR25" s="188">
        <f t="shared" ca="1" si="46"/>
        <v>0</v>
      </c>
      <c r="AS25" s="188">
        <f t="shared" ca="1" si="46"/>
        <v>0</v>
      </c>
      <c r="AT25" s="188">
        <f t="shared" ca="1" si="46"/>
        <v>0</v>
      </c>
      <c r="AU25" s="188">
        <f t="shared" ca="1" si="46"/>
        <v>0</v>
      </c>
      <c r="AV25" s="188">
        <f t="shared" ca="1" si="46"/>
        <v>0</v>
      </c>
      <c r="AW25" s="188">
        <f t="shared" ca="1" si="46"/>
        <v>0</v>
      </c>
      <c r="AX25" s="188">
        <f t="shared" ca="1" si="46"/>
        <v>0</v>
      </c>
      <c r="AY25" s="188">
        <f t="shared" ca="1" si="46"/>
        <v>0</v>
      </c>
      <c r="AZ25" s="188">
        <f t="shared" ca="1" si="46"/>
        <v>0</v>
      </c>
      <c r="BA25" s="188">
        <f t="shared" ca="1" si="46"/>
        <v>0</v>
      </c>
      <c r="BB25" s="188">
        <f t="shared" ca="1" si="46"/>
        <v>0</v>
      </c>
      <c r="BC25" s="188">
        <f t="shared" ca="1" si="46"/>
        <v>0</v>
      </c>
      <c r="BD25" s="188">
        <f t="shared" ca="1" si="46"/>
        <v>0</v>
      </c>
      <c r="BE25" s="188">
        <f t="shared" ca="1" si="46"/>
        <v>0</v>
      </c>
      <c r="BF25" s="188">
        <f t="shared" ca="1" si="46"/>
        <v>0</v>
      </c>
      <c r="BG25" s="188">
        <f t="shared" ca="1" si="46"/>
        <v>0</v>
      </c>
      <c r="BH25" s="188">
        <f t="shared" ca="1" si="46"/>
        <v>0</v>
      </c>
      <c r="BI25" s="188">
        <f t="shared" ca="1" si="46"/>
        <v>0</v>
      </c>
      <c r="BJ25" s="188">
        <f t="shared" ca="1" si="46"/>
        <v>0</v>
      </c>
      <c r="BK25" s="188">
        <f t="shared" ca="1" si="46"/>
        <v>0</v>
      </c>
      <c r="BL25" s="188">
        <f t="shared" ca="1" si="46"/>
        <v>0</v>
      </c>
      <c r="BM25" s="188">
        <f t="shared" ca="1" si="46"/>
        <v>0</v>
      </c>
      <c r="BN25" s="188">
        <f t="shared" ca="1" si="46"/>
        <v>0</v>
      </c>
      <c r="BO25" s="188">
        <f t="shared" ca="1" si="46"/>
        <v>0</v>
      </c>
      <c r="BP25" s="188">
        <f t="shared" ca="1" si="46"/>
        <v>0</v>
      </c>
      <c r="BQ25" s="188">
        <f t="shared" ca="1" si="46"/>
        <v>0</v>
      </c>
      <c r="BR25" s="188">
        <f t="shared" ca="1" si="46"/>
        <v>0</v>
      </c>
      <c r="BS25" s="283">
        <f ca="1">IF(ISNUMBER($A20),IF(INDEX(B22:G22,6)&lt;&gt;0,SIGN(INDEX(B22:G22,6))*INDIRECT(ADDRESS(1+ABS(INDEX(B22:G22,6)),COLUMN(Ksys!$B$1),1,TRUE,"Ksys")),0)+AB25,0)</f>
        <v>0</v>
      </c>
      <c r="BT25" s="178">
        <f ca="1"/>
        <v>0</v>
      </c>
      <c r="BU25" s="178">
        <f ca="1"/>
        <v>0</v>
      </c>
      <c r="BV25" s="178">
        <f ca="1"/>
        <v>0</v>
      </c>
      <c r="BW25" s="297" t="s">
        <v>103</v>
      </c>
      <c r="BX25" s="218">
        <f ca="1">IF(ISNUMBER($A20),$D21*(1-BX$1) + $E21*BX$1 + Knoten!$S$5*BX23,KnotenData!$H$3)</f>
        <v>0.47499999999999998</v>
      </c>
      <c r="BY25" s="295">
        <f ca="1">IF(ISNUMBER($A20),$D21*(1-BY$1) + $E21*BY$1 + Knoten!$S$5*BY23,KnotenData!$H$3)</f>
        <v>0.47499999999999998</v>
      </c>
      <c r="BZ25" s="295">
        <f ca="1">IF(ISNUMBER($A20),$D21*(1-BZ$1) + $E21*BZ$1 + Knoten!$S$5*BZ23,KnotenData!$H$3)</f>
        <v>0.47499999999999998</v>
      </c>
      <c r="CA25" s="295">
        <f ca="1">IF(ISNUMBER($A20),$D21*(1-CA$1) + $E21*CA$1 + Knoten!$S$5*CA23,KnotenData!$H$3)</f>
        <v>0.47499999999999998</v>
      </c>
      <c r="CB25" s="295">
        <f ca="1">IF(ISNUMBER($A20),$D21*(1-CB$1) + $E21*CB$1 + Knoten!$S$5*CB23,KnotenData!$H$3)</f>
        <v>0.47499999999999998</v>
      </c>
      <c r="CC25" s="295">
        <f ca="1">IF(ISNUMBER($A20),$D21*(1-CC$1) + $E21*CC$1 + Knoten!$S$5*CC23,KnotenData!$H$3)</f>
        <v>0.47499999999999998</v>
      </c>
      <c r="CD25" s="295">
        <f ca="1">IF(ISNUMBER($A20),$D21*(1-CD$1) + $E21*CD$1 + Knoten!$S$5*CD23,KnotenData!$H$3)</f>
        <v>0.47499999999999998</v>
      </c>
      <c r="CE25" s="295">
        <f ca="1">IF(ISNUMBER($A20),$D21*(1-CE$1) + $E21*CE$1 + Knoten!$S$5*CE23,KnotenData!$H$3)</f>
        <v>0.47499999999999998</v>
      </c>
      <c r="CF25" s="295">
        <f ca="1">IF(ISNUMBER($A20),$D21*(1-CF$1) + $E21*CF$1 + Knoten!$S$5*CF23,KnotenData!$H$3)</f>
        <v>0.47499999999999998</v>
      </c>
      <c r="CG25" s="295">
        <f ca="1">IF(ISNUMBER($A20),$D21*(1-CG$1) + $E21*CG$1 + Knoten!$S$5*CG23,KnotenData!$H$3)</f>
        <v>0.47499999999999998</v>
      </c>
      <c r="CH25" s="219">
        <f ca="1">IF(ISNUMBER($A20),$D21*(1-CH$1) + $E21*CH$1 + Knoten!$S$5*CH23,KnotenData!$H$3)</f>
        <v>0.47499999999999998</v>
      </c>
      <c r="CI25" s="449">
        <f ca="1">MAX(BX24:CH24)</f>
        <v>0.5</v>
      </c>
      <c r="CJ25" s="448">
        <f ca="1">MAX(BX25:CH25)</f>
        <v>0.47499999999999998</v>
      </c>
      <c r="CK25" s="446"/>
      <c r="CL25" s="12">
        <v>4</v>
      </c>
      <c r="CM25" s="294" t="s">
        <v>103</v>
      </c>
      <c r="CN25" s="218">
        <f ca="1">IF(ISNUMBER($A20),$D21*(1-CN$1) + $E21*CN$1 + Momente!$D$6*CN23,KnotenData!$H$3)</f>
        <v>0.47499999999999998</v>
      </c>
      <c r="CO25" s="295">
        <f ca="1">IF(ISNUMBER($A20),$D21*(1-CO$1) + $E21*CO$1 + Momente!$D$6*CO23,KnotenData!$H$3)</f>
        <v>0.47499999999999998</v>
      </c>
      <c r="CP25" s="295">
        <f ca="1">IF(ISNUMBER($A20),$D21*(1-CP$1) + $E21*CP$1 + Momente!$D$6*CP23,KnotenData!$H$3)</f>
        <v>0.47499999999999998</v>
      </c>
      <c r="CQ25" s="295">
        <f ca="1">IF(ISNUMBER($A20),$D21*(1-CQ$1) + $E21*CQ$1 + Momente!$D$6*CQ23,KnotenData!$H$3)</f>
        <v>0.47499999999999998</v>
      </c>
      <c r="CR25" s="295">
        <f ca="1">IF(ISNUMBER($A20),$D21*(1-CR$1) + $E21*CR$1 + Momente!$D$6*CR23,KnotenData!$H$3)</f>
        <v>0.47499999999999998</v>
      </c>
      <c r="CS25" s="295">
        <f ca="1">IF(ISNUMBER($A20),$D21*(1-CS$1) + $E21*CS$1 + Momente!$D$6*CS23,KnotenData!$H$3)</f>
        <v>0.47499999999999998</v>
      </c>
      <c r="CT25" s="295">
        <f ca="1">IF(ISNUMBER($A20),$D21*(1-CT$1) + $E21*CT$1 + Momente!$D$6*CT23,KnotenData!$H$3)</f>
        <v>0.47499999999999998</v>
      </c>
      <c r="CU25" s="295">
        <f ca="1">IF(ISNUMBER($A20),$D21*(1-CU$1) + $E21*CU$1 + Momente!$D$6*CU23,KnotenData!$H$3)</f>
        <v>0.47499999999999998</v>
      </c>
      <c r="CV25" s="295">
        <f ca="1">IF(ISNUMBER($A20),$D21*(1-CV$1) + $E21*CV$1 + Momente!$D$6*CV23,KnotenData!$H$3)</f>
        <v>0.47499999999999998</v>
      </c>
      <c r="CW25" s="295">
        <f ca="1">IF(ISNUMBER($A20),$D21*(1-CW$1) + $E21*CW$1 + Momente!$D$6*CW23,KnotenData!$H$3)</f>
        <v>0.47499999999999998</v>
      </c>
      <c r="CX25" s="295">
        <f ca="1">IF(ISNUMBER($A20),$D21*(1-CX$1) + $E21*CX$1 + Momente!$D$6*CX23,KnotenData!$H$3)</f>
        <v>0.47499999999999998</v>
      </c>
      <c r="CY25" s="295">
        <f ca="1">IF(ISNUMBER($A20),$E21,KnotenData!$H$3)</f>
        <v>0.47499999999999998</v>
      </c>
      <c r="CZ25" s="295">
        <f ca="1">IF(ISNUMBER($A20),$D21,KnotenData!$H$3)</f>
        <v>0.47499999999999998</v>
      </c>
      <c r="DA25" s="306">
        <f ca="1">IF(ISNUMBER($A20),CN25,KnotenData!$H$3)</f>
        <v>0.47499999999999998</v>
      </c>
      <c r="DB25" s="9">
        <f ca="1">MAX(CN24:DA24)</f>
        <v>0.5</v>
      </c>
      <c r="DC25" s="146">
        <f ca="1">MAX(CN25:DA25)</f>
        <v>0.47499999999999998</v>
      </c>
      <c r="DD25" s="346"/>
      <c r="DE25" s="12">
        <v>4</v>
      </c>
      <c r="DF25" s="294" t="s">
        <v>103</v>
      </c>
      <c r="DG25" s="218">
        <f ca="1">IF(ISNUMBER($A20),$D21*(1-DG$1) + $E21*DG$1 + Querkräfte!$D$6*DG23,KnotenData!$H$3)</f>
        <v>0.47499999999999998</v>
      </c>
      <c r="DH25" s="295">
        <f ca="1">IF(ISNUMBER($A20),$D21*(1-DH$1) + $E21*DH$1 + Querkräfte!$D$6*DH23,KnotenData!$H$3)</f>
        <v>0.47499999999999998</v>
      </c>
      <c r="DI25" s="295">
        <f ca="1">IF(ISNUMBER($A20),$D21*(1-DI$1) + $E21*DI$1 + Querkräfte!$D$6*DI23,KnotenData!$H$3)</f>
        <v>0.47499999999999998</v>
      </c>
      <c r="DJ25" s="295">
        <f ca="1">IF(ISNUMBER($A20),$D21*(1-DJ$1) + $E21*DJ$1 + Querkräfte!$D$6*DJ23,KnotenData!$H$3)</f>
        <v>0.47499999999999998</v>
      </c>
      <c r="DK25" s="295">
        <f ca="1">IF(ISNUMBER($A20),$D21*(1-DK$1) + $E21*DK$1 + Querkräfte!$D$6*DK23,KnotenData!$H$3)</f>
        <v>0.47499999999999998</v>
      </c>
      <c r="DL25" s="295">
        <f ca="1">IF(ISNUMBER($A20),$D21*(1-DL$1) + $E21*DL$1 + Querkräfte!$D$6*DL23,KnotenData!$H$3)</f>
        <v>0.47499999999999998</v>
      </c>
      <c r="DM25" s="295">
        <f ca="1">IF(ISNUMBER($A20),$D21*(1-DM$1) + $E21*DM$1 + Querkräfte!$D$6*DM23,KnotenData!$H$3)</f>
        <v>0.47499999999999998</v>
      </c>
      <c r="DN25" s="295">
        <f ca="1">IF(ISNUMBER($A20),$D21*(1-DN$1) + $E21*DN$1 + Querkräfte!$D$6*DN23,KnotenData!$H$3)</f>
        <v>0.47499999999999998</v>
      </c>
      <c r="DO25" s="295">
        <f ca="1">IF(ISNUMBER($A20),$D21*(1-DO$1) + $E21*DO$1 + Querkräfte!$D$6*DO23,KnotenData!$H$3)</f>
        <v>0.47499999999999998</v>
      </c>
      <c r="DP25" s="295">
        <f ca="1">IF(ISNUMBER($A20),$D21*(1-DP$1) + $E21*DP$1 + Querkräfte!$D$6*DP23,KnotenData!$H$3)</f>
        <v>0.47499999999999998</v>
      </c>
      <c r="DQ25" s="295">
        <f ca="1">IF(ISNUMBER($A20),$D21*(1-DQ$1) + $E21*DQ$1 + Querkräfte!$D$6*DQ23,KnotenData!$H$3)</f>
        <v>0.47499999999999998</v>
      </c>
      <c r="DR25" s="295">
        <f ca="1">IF(ISNUMBER($A20),$E21,KnotenData!$H$3)</f>
        <v>0.47499999999999998</v>
      </c>
      <c r="DS25" s="295">
        <f ca="1">IF(ISNUMBER($A20),$D21,KnotenData!$H$3)</f>
        <v>0.47499999999999998</v>
      </c>
      <c r="DT25" s="219">
        <f ca="1">IF(ISNUMBER($A20),DG25,KnotenData!$H$3)</f>
        <v>0.47499999999999998</v>
      </c>
      <c r="DU25" s="11">
        <f ca="1">MAX(DG24:DQ24)</f>
        <v>0.5</v>
      </c>
      <c r="DV25" s="146">
        <f ca="1">MAX(DG25:DQ25)</f>
        <v>0.47499999999999998</v>
      </c>
      <c r="DW25" s="346"/>
      <c r="DX25" s="12">
        <v>4</v>
      </c>
      <c r="DY25" s="294" t="s">
        <v>103</v>
      </c>
      <c r="DZ25" s="218">
        <f ca="1">IF(ISNUMBER($A20),$D21*(1-DZ$1) + $E21*DZ$1 + Normalkräfte!$D$6*DZ23,KnotenData!$H$3)</f>
        <v>0.47499999999999998</v>
      </c>
      <c r="EA25" s="295">
        <f ca="1">IF(ISNUMBER($A20),$D21*(1-EA$1) + $E21*EA$1 + Normalkräfte!$D$6*EA23,KnotenData!$H$3)</f>
        <v>0.47499999999999998</v>
      </c>
      <c r="EB25" s="295">
        <f ca="1">IF(ISNUMBER($A20),$D21*(1-EB$1) + $E21*EB$1 + Normalkräfte!$D$6*EB23,KnotenData!$H$3)</f>
        <v>0.47499999999999998</v>
      </c>
      <c r="EC25" s="295">
        <f ca="1">IF(ISNUMBER($A20),$D21*(1-EC$1) + $E21*EC$1 + Normalkräfte!$D$6*EC23,KnotenData!$H$3)</f>
        <v>0.47499999999999998</v>
      </c>
      <c r="ED25" s="295">
        <f ca="1">IF(ISNUMBER($A20),$D21*(1-ED$1) + $E21*ED$1 + Normalkräfte!$D$6*ED23,KnotenData!$H$3)</f>
        <v>0.47499999999999998</v>
      </c>
      <c r="EE25" s="295">
        <f ca="1">IF(ISNUMBER($A20),$D21*(1-EE$1) + $E21*EE$1 + Normalkräfte!$D$6*EE23,KnotenData!$H$3)</f>
        <v>0.47499999999999998</v>
      </c>
      <c r="EF25" s="295">
        <f ca="1">IF(ISNUMBER($A20),$D21*(1-EF$1) + $E21*EF$1 + Normalkräfte!$D$6*EF23,KnotenData!$H$3)</f>
        <v>0.47499999999999998</v>
      </c>
      <c r="EG25" s="295">
        <f ca="1">IF(ISNUMBER($A20),$D21*(1-EG$1) + $E21*EG$1 + Normalkräfte!$D$6*EG23,KnotenData!$H$3)</f>
        <v>0.47499999999999998</v>
      </c>
      <c r="EH25" s="295">
        <f ca="1">IF(ISNUMBER($A20),$D21*(1-EH$1) + $E21*EH$1 + Normalkräfte!$D$6*EH23,KnotenData!$H$3)</f>
        <v>0.47499999999999998</v>
      </c>
      <c r="EI25" s="295">
        <f ca="1">IF(ISNUMBER($A20),$D21*(1-EI$1) + $E21*EI$1 + Normalkräfte!$D$6*EI23,KnotenData!$H$3)</f>
        <v>0.47499999999999998</v>
      </c>
      <c r="EJ25" s="295">
        <f ca="1">IF(ISNUMBER($A20),$D21*(1-EJ$1) + $E21*EJ$1 + Normalkräfte!$D$6*EJ23,KnotenData!$H$3)</f>
        <v>0.47499999999999998</v>
      </c>
      <c r="EK25" s="295">
        <f ca="1">IF(ISNUMBER($A20),$E21,KnotenData!$H$3)</f>
        <v>0.47499999999999998</v>
      </c>
      <c r="EL25" s="295">
        <f ca="1">IF(ISNUMBER($A20),$D21,KnotenData!$H$3)</f>
        <v>0.47499999999999998</v>
      </c>
      <c r="EM25" s="219">
        <f ca="1">IF(ISNUMBER($A20),DZ25,KnotenData!$H$3)</f>
        <v>0.47499999999999998</v>
      </c>
      <c r="EN25" s="9">
        <f ca="1">MAX(DZ24:EJ24)</f>
        <v>0.5</v>
      </c>
      <c r="EO25" s="146">
        <f ca="1">MAX(DZ25:EJ25)</f>
        <v>0.47499999999999998</v>
      </c>
      <c r="EP25" s="346"/>
    </row>
    <row r="26" spans="1:146" x14ac:dyDescent="0.2">
      <c r="A26" s="205" t="str">
        <f ca="1">IF(ISNUMBER(INDIRECT("System!C" &amp;(ROW(A26)+4)/6+1)),INDIRECT("System!B"&amp;(ROW(A26)+4)/6+1),"")</f>
        <v/>
      </c>
      <c r="B26" s="206">
        <f ca="1">IF(ISNUMBER(A26),INDIRECT("System!" &amp; ADDRESS(A26 +1,COLUMN(System!E25))),0)</f>
        <v>0</v>
      </c>
      <c r="C26" s="206">
        <f ca="1">IF(ISNUMBER(A26),INDIRECT("System!" &amp; ADDRESS(A26 +1,COLUMN(System!F25))),0)</f>
        <v>0</v>
      </c>
      <c r="D26" s="209">
        <f ca="1">IF(ISNUMBER(A26),INDIRECT("System!" &amp; ADDRESS(A26 +1,COLUMN(System!O25))),0)</f>
        <v>0</v>
      </c>
      <c r="E26" s="208" t="str">
        <f ca="1">IF(ISNUMBER(A26),INDIRECT("System!" &amp; ADDRESS(A26 +1,COLUMN(System!G25))),"")</f>
        <v/>
      </c>
      <c r="F26" s="208" t="str">
        <f ca="1">IF(ISNUMBER(A26),INDIRECT("System!" &amp; ADDRESS(A26 +1,COLUMN(System!H25))),"")</f>
        <v/>
      </c>
      <c r="G26" s="261" t="str">
        <f ca="1">IF(ISNUMBER(A26),INDIRECT("System!" &amp; ADDRESS(A26 +1,COLUMN(System!I25))),"")</f>
        <v/>
      </c>
      <c r="H26" s="207">
        <f ca="1">IF(ISNUMBER($A26),INDIRECT("System!" &amp; ADDRESS($A26 +1,COLUMN(System!Q25))),0)</f>
        <v>0</v>
      </c>
      <c r="I26" s="209">
        <f ca="1">IF(ISNUMBER($A26),INDIRECT("System!" &amp; ADDRESS($A26 +1,COLUMN(System!R25))),0)</f>
        <v>0</v>
      </c>
      <c r="J26" s="179">
        <f ca="1">IF(ISNUMBER(A26),C26/D26,0)</f>
        <v>0</v>
      </c>
      <c r="K26" s="5">
        <v>0</v>
      </c>
      <c r="L26" s="6">
        <v>0</v>
      </c>
      <c r="M26" s="4">
        <f ca="1">-J26</f>
        <v>0</v>
      </c>
      <c r="N26" s="5">
        <v>0</v>
      </c>
      <c r="O26" s="6">
        <v>0</v>
      </c>
      <c r="P26" s="141">
        <f ca="1">I26</f>
        <v>0</v>
      </c>
      <c r="Q26" s="142">
        <f ca="1">-H26</f>
        <v>0</v>
      </c>
      <c r="R26" s="142">
        <v>0</v>
      </c>
      <c r="S26" s="182">
        <v>0</v>
      </c>
      <c r="T26" s="182">
        <v>0</v>
      </c>
      <c r="U26" s="183">
        <v>0</v>
      </c>
      <c r="V26" s="179">
        <f t="array" aca="1" ref="V26:AA31" ca="1">MMULT(TRANSPOSE(P26:U31),MMULT(J26:O31,P26:U31))</f>
        <v>0</v>
      </c>
      <c r="W26" s="5">
        <f ca="1"/>
        <v>0</v>
      </c>
      <c r="X26" s="6">
        <f ca="1"/>
        <v>0</v>
      </c>
      <c r="Y26" s="4">
        <f ca="1"/>
        <v>0</v>
      </c>
      <c r="Z26" s="5">
        <f ca="1"/>
        <v>0</v>
      </c>
      <c r="AA26" s="6">
        <f ca="1"/>
        <v>0</v>
      </c>
      <c r="AB26" s="60">
        <f ca="1">IF(ISNUMBER($A26),INDIRECT("System!" &amp; ADDRESS(A26+1,COLUMN(System!S25))),0)</f>
        <v>0</v>
      </c>
      <c r="AC26" s="299">
        <f ca="1">IF(ISNUMBER(E26),E26*D26/2,0)</f>
        <v>0</v>
      </c>
      <c r="AD26" s="60">
        <f t="array" aca="1" ref="AD26:AD31" ca="1">MMULT(TRANSPOSE(P26:U31),AC26:AC31) - MMULT(V26:AA31,AB26:AB31)</f>
        <v>0</v>
      </c>
      <c r="AE26" s="4">
        <f t="shared" ref="AE26:BR26" ca="1" si="47">IF(ABS($B28)=AE$1,SIGN($B28),0)</f>
        <v>0</v>
      </c>
      <c r="AF26" s="5">
        <f t="shared" ca="1" si="47"/>
        <v>0</v>
      </c>
      <c r="AG26" s="5">
        <f t="shared" ca="1" si="47"/>
        <v>0</v>
      </c>
      <c r="AH26" s="5">
        <f t="shared" ca="1" si="47"/>
        <v>0</v>
      </c>
      <c r="AI26" s="5">
        <f t="shared" ca="1" si="47"/>
        <v>0</v>
      </c>
      <c r="AJ26" s="189">
        <f t="shared" ca="1" si="47"/>
        <v>0</v>
      </c>
      <c r="AK26" s="189">
        <f t="shared" ca="1" si="47"/>
        <v>0</v>
      </c>
      <c r="AL26" s="189">
        <f t="shared" ca="1" si="47"/>
        <v>0</v>
      </c>
      <c r="AM26" s="189">
        <f t="shared" ca="1" si="47"/>
        <v>0</v>
      </c>
      <c r="AN26" s="189">
        <f t="shared" ca="1" si="47"/>
        <v>0</v>
      </c>
      <c r="AO26" s="189">
        <f t="shared" ca="1" si="47"/>
        <v>0</v>
      </c>
      <c r="AP26" s="189">
        <f t="shared" ca="1" si="47"/>
        <v>0</v>
      </c>
      <c r="AQ26" s="189">
        <f t="shared" ca="1" si="47"/>
        <v>0</v>
      </c>
      <c r="AR26" s="189">
        <f t="shared" ca="1" si="47"/>
        <v>0</v>
      </c>
      <c r="AS26" s="189">
        <f t="shared" ca="1" si="47"/>
        <v>0</v>
      </c>
      <c r="AT26" s="189">
        <f t="shared" ca="1" si="47"/>
        <v>0</v>
      </c>
      <c r="AU26" s="189">
        <f t="shared" ca="1" si="47"/>
        <v>0</v>
      </c>
      <c r="AV26" s="189">
        <f t="shared" ca="1" si="47"/>
        <v>0</v>
      </c>
      <c r="AW26" s="189">
        <f t="shared" ca="1" si="47"/>
        <v>0</v>
      </c>
      <c r="AX26" s="189">
        <f t="shared" ca="1" si="47"/>
        <v>0</v>
      </c>
      <c r="AY26" s="189">
        <f t="shared" ca="1" si="47"/>
        <v>0</v>
      </c>
      <c r="AZ26" s="189">
        <f t="shared" ca="1" si="47"/>
        <v>0</v>
      </c>
      <c r="BA26" s="189">
        <f t="shared" ca="1" si="47"/>
        <v>0</v>
      </c>
      <c r="BB26" s="189">
        <f t="shared" ca="1" si="47"/>
        <v>0</v>
      </c>
      <c r="BC26" s="189">
        <f t="shared" ca="1" si="47"/>
        <v>0</v>
      </c>
      <c r="BD26" s="189">
        <f t="shared" ca="1" si="47"/>
        <v>0</v>
      </c>
      <c r="BE26" s="189">
        <f t="shared" ca="1" si="47"/>
        <v>0</v>
      </c>
      <c r="BF26" s="189">
        <f t="shared" ca="1" si="47"/>
        <v>0</v>
      </c>
      <c r="BG26" s="189">
        <f t="shared" ca="1" si="47"/>
        <v>0</v>
      </c>
      <c r="BH26" s="189">
        <f t="shared" ca="1" si="47"/>
        <v>0</v>
      </c>
      <c r="BI26" s="189">
        <f t="shared" ca="1" si="47"/>
        <v>0</v>
      </c>
      <c r="BJ26" s="189">
        <f t="shared" ca="1" si="47"/>
        <v>0</v>
      </c>
      <c r="BK26" s="189">
        <f t="shared" ca="1" si="47"/>
        <v>0</v>
      </c>
      <c r="BL26" s="189">
        <f t="shared" ca="1" si="47"/>
        <v>0</v>
      </c>
      <c r="BM26" s="189">
        <f t="shared" ca="1" si="47"/>
        <v>0</v>
      </c>
      <c r="BN26" s="189">
        <f t="shared" ca="1" si="47"/>
        <v>0</v>
      </c>
      <c r="BO26" s="189">
        <f t="shared" ca="1" si="47"/>
        <v>0</v>
      </c>
      <c r="BP26" s="189">
        <f t="shared" ca="1" si="47"/>
        <v>0</v>
      </c>
      <c r="BQ26" s="189">
        <f t="shared" ca="1" si="47"/>
        <v>0</v>
      </c>
      <c r="BR26" s="189">
        <f t="shared" ca="1" si="47"/>
        <v>0</v>
      </c>
      <c r="BS26" s="281">
        <f ca="1">IF(ISNUMBER($A26),IF(INDEX(B28:G28,1)&lt;&gt;0,SIGN(INDEX(B28:G28,1))*INDIRECT(ADDRESS(1+ABS(INDEX(B28:G28,1)),COLUMN(Ksys!$B$1),1,TRUE,"Ksys")),0)+AB26,0)</f>
        <v>0</v>
      </c>
      <c r="BT26" s="60">
        <f t="array" aca="1" ref="BT26:BT31" ca="1">MMULT(P26:U31,BS26:BS31)</f>
        <v>0</v>
      </c>
      <c r="BU26" s="60">
        <f t="array" aca="1" ref="BU26:BU31" ca="1">MMULT(J26:O31,BT26:BT31)-AC26:AC31</f>
        <v>0</v>
      </c>
      <c r="BV26" s="60">
        <f t="array" aca="1" ref="BV26:BV28" ca="1">-(MMULT(J26:O28,BT26:BT31)-AC26:AC28)</f>
        <v>0</v>
      </c>
      <c r="BW26" s="286" t="s">
        <v>97</v>
      </c>
      <c r="BX26" s="4">
        <f t="shared" ref="BX26:CH26" ca="1" si="48">IF(ISNUMBER($A26),$BT26*(1-BX$1) + $BT29*BX$1,0)</f>
        <v>0</v>
      </c>
      <c r="BY26" s="5">
        <f t="shared" ca="1" si="48"/>
        <v>0</v>
      </c>
      <c r="BZ26" s="5">
        <f t="shared" ca="1" si="48"/>
        <v>0</v>
      </c>
      <c r="CA26" s="5">
        <f t="shared" ca="1" si="48"/>
        <v>0</v>
      </c>
      <c r="CB26" s="5">
        <f t="shared" ca="1" si="48"/>
        <v>0</v>
      </c>
      <c r="CC26" s="5">
        <f t="shared" ca="1" si="48"/>
        <v>0</v>
      </c>
      <c r="CD26" s="5">
        <f t="shared" ca="1" si="48"/>
        <v>0</v>
      </c>
      <c r="CE26" s="5">
        <f t="shared" ca="1" si="48"/>
        <v>0</v>
      </c>
      <c r="CF26" s="5">
        <f t="shared" ca="1" si="48"/>
        <v>0</v>
      </c>
      <c r="CG26" s="5">
        <f t="shared" ca="1" si="48"/>
        <v>0</v>
      </c>
      <c r="CH26" s="6">
        <f t="shared" ca="1" si="48"/>
        <v>0</v>
      </c>
      <c r="CI26" s="343"/>
      <c r="CJ26" s="343"/>
      <c r="CK26" s="308"/>
      <c r="CL26" s="12"/>
      <c r="CM26" s="290" t="s">
        <v>97</v>
      </c>
      <c r="CN26" s="4">
        <v>0</v>
      </c>
      <c r="CO26" s="5">
        <v>0</v>
      </c>
      <c r="CP26" s="5">
        <v>0</v>
      </c>
      <c r="CQ26" s="5">
        <v>0</v>
      </c>
      <c r="CR26" s="5">
        <v>0</v>
      </c>
      <c r="CS26" s="5">
        <v>0</v>
      </c>
      <c r="CT26" s="5">
        <v>0</v>
      </c>
      <c r="CU26" s="5">
        <v>0</v>
      </c>
      <c r="CV26" s="5">
        <v>0</v>
      </c>
      <c r="CW26" s="5">
        <v>0</v>
      </c>
      <c r="CX26" s="5">
        <v>0</v>
      </c>
      <c r="CY26" s="5"/>
      <c r="CZ26" s="5"/>
      <c r="DA26" s="189"/>
      <c r="DB26" s="307"/>
      <c r="DC26" s="308"/>
      <c r="DD26" s="343"/>
      <c r="DE26" s="12"/>
      <c r="DF26" s="290" t="s">
        <v>97</v>
      </c>
      <c r="DG26" s="4">
        <v>0</v>
      </c>
      <c r="DH26" s="5">
        <v>0</v>
      </c>
      <c r="DI26" s="5">
        <v>0</v>
      </c>
      <c r="DJ26" s="5">
        <v>0</v>
      </c>
      <c r="DK26" s="5">
        <v>0</v>
      </c>
      <c r="DL26" s="5">
        <v>0</v>
      </c>
      <c r="DM26" s="5">
        <v>0</v>
      </c>
      <c r="DN26" s="5">
        <v>0</v>
      </c>
      <c r="DO26" s="5">
        <v>0</v>
      </c>
      <c r="DP26" s="5">
        <v>0</v>
      </c>
      <c r="DQ26" s="5">
        <v>0</v>
      </c>
      <c r="DR26" s="5"/>
      <c r="DS26" s="5"/>
      <c r="DT26" s="6"/>
      <c r="DU26" s="325"/>
      <c r="DV26" s="308"/>
      <c r="DW26" s="343"/>
      <c r="DX26" s="12"/>
      <c r="DY26" s="290" t="s">
        <v>97</v>
      </c>
      <c r="DZ26" s="4">
        <v>0</v>
      </c>
      <c r="EA26" s="5">
        <v>0</v>
      </c>
      <c r="EB26" s="5">
        <v>0</v>
      </c>
      <c r="EC26" s="5">
        <v>0</v>
      </c>
      <c r="ED26" s="5">
        <v>0</v>
      </c>
      <c r="EE26" s="5">
        <v>0</v>
      </c>
      <c r="EF26" s="5">
        <v>0</v>
      </c>
      <c r="EG26" s="5">
        <v>0</v>
      </c>
      <c r="EH26" s="5">
        <v>0</v>
      </c>
      <c r="EI26" s="5">
        <v>0</v>
      </c>
      <c r="EJ26" s="5">
        <v>0</v>
      </c>
      <c r="EK26" s="5"/>
      <c r="EL26" s="5"/>
      <c r="EM26" s="6"/>
      <c r="EN26" s="307"/>
      <c r="EO26" s="308"/>
      <c r="EP26" s="343"/>
    </row>
    <row r="27" spans="1:146" x14ac:dyDescent="0.2">
      <c r="B27" s="1">
        <f ca="1">IF(ISNUMBER($A26),INDIRECT(ADDRESS($A26+1,COLUMN(System!K$2),1,TRUE,"System")),0)</f>
        <v>0</v>
      </c>
      <c r="C27" s="1">
        <f ca="1">IF(ISNUMBER($A26),INDIRECT(ADDRESS($A26+1,COLUMN(System!L$2),1,TRUE,"System")),0)</f>
        <v>0</v>
      </c>
      <c r="D27" s="1">
        <f ca="1">IF(ISNUMBER($A26),INDIRECT(ADDRESS($A26+1,COLUMN(System!M$2),1,TRUE,"System")),0)</f>
        <v>0</v>
      </c>
      <c r="E27" s="1">
        <f ca="1">IF(ISNUMBER($A26),INDIRECT(ADDRESS($A26+1,COLUMN(System!N$2),1,TRUE,"System")),0)</f>
        <v>0</v>
      </c>
      <c r="F27" s="12"/>
      <c r="J27" s="7">
        <v>0</v>
      </c>
      <c r="K27" s="180">
        <f ca="1">IF(G26=1,12*B26/D26^3,IF(G26="2a",3*B26/D26^3,IF(G26="2b",3*B26/D26^3,0)))</f>
        <v>0</v>
      </c>
      <c r="L27" s="8">
        <f ca="1">K28</f>
        <v>0</v>
      </c>
      <c r="M27" s="7">
        <v>0</v>
      </c>
      <c r="N27" s="1">
        <f ca="1">-K27</f>
        <v>0</v>
      </c>
      <c r="O27" s="8">
        <f ca="1">K31</f>
        <v>0</v>
      </c>
      <c r="P27" s="143">
        <f ca="1">H26</f>
        <v>0</v>
      </c>
      <c r="Q27" s="99">
        <f ca="1">I26</f>
        <v>0</v>
      </c>
      <c r="R27" s="99">
        <v>0</v>
      </c>
      <c r="S27" s="101">
        <v>0</v>
      </c>
      <c r="T27" s="101">
        <v>0</v>
      </c>
      <c r="U27" s="110">
        <v>0</v>
      </c>
      <c r="V27" s="7">
        <f ca="1"/>
        <v>0</v>
      </c>
      <c r="W27" s="180">
        <f ca="1"/>
        <v>0</v>
      </c>
      <c r="X27" s="8">
        <f ca="1"/>
        <v>0</v>
      </c>
      <c r="Y27" s="7">
        <f ca="1"/>
        <v>0</v>
      </c>
      <c r="Z27" s="1">
        <f ca="1"/>
        <v>0</v>
      </c>
      <c r="AA27" s="8">
        <f ca="1"/>
        <v>0</v>
      </c>
      <c r="AB27" s="61">
        <f ca="1">IF(ISNUMBER($A26),INDIRECT("System!" &amp; ADDRESS(A26+1,COLUMN(System!T25))),0)</f>
        <v>0</v>
      </c>
      <c r="AC27" s="301">
        <f ca="1">IF(G26=1,F26*D26/2,IF(G26="2a",F26*3/8*D26,IF(G26="2b",F26*5/8*D26,0)))</f>
        <v>0</v>
      </c>
      <c r="AD27" s="61">
        <f ca="1"/>
        <v>0</v>
      </c>
      <c r="AE27" s="7">
        <f t="shared" ref="AE27:BR27" ca="1" si="49">IF(ABS($C28)=AE$1,SIGN($C28),0)</f>
        <v>0</v>
      </c>
      <c r="AF27" s="1">
        <f t="shared" ca="1" si="49"/>
        <v>0</v>
      </c>
      <c r="AG27" s="1">
        <f t="shared" ca="1" si="49"/>
        <v>0</v>
      </c>
      <c r="AH27" s="1">
        <f t="shared" ca="1" si="49"/>
        <v>0</v>
      </c>
      <c r="AI27" s="1">
        <f t="shared" ca="1" si="49"/>
        <v>0</v>
      </c>
      <c r="AJ27" s="26">
        <f t="shared" ca="1" si="49"/>
        <v>0</v>
      </c>
      <c r="AK27" s="26">
        <f t="shared" ca="1" si="49"/>
        <v>0</v>
      </c>
      <c r="AL27" s="26">
        <f t="shared" ca="1" si="49"/>
        <v>0</v>
      </c>
      <c r="AM27" s="26">
        <f t="shared" ca="1" si="49"/>
        <v>0</v>
      </c>
      <c r="AN27" s="26">
        <f t="shared" ca="1" si="49"/>
        <v>0</v>
      </c>
      <c r="AO27" s="26">
        <f t="shared" ca="1" si="49"/>
        <v>0</v>
      </c>
      <c r="AP27" s="26">
        <f t="shared" ca="1" si="49"/>
        <v>0</v>
      </c>
      <c r="AQ27" s="26">
        <f t="shared" ca="1" si="49"/>
        <v>0</v>
      </c>
      <c r="AR27" s="26">
        <f t="shared" ca="1" si="49"/>
        <v>0</v>
      </c>
      <c r="AS27" s="26">
        <f t="shared" ca="1" si="49"/>
        <v>0</v>
      </c>
      <c r="AT27" s="26">
        <f t="shared" ca="1" si="49"/>
        <v>0</v>
      </c>
      <c r="AU27" s="26">
        <f t="shared" ca="1" si="49"/>
        <v>0</v>
      </c>
      <c r="AV27" s="26">
        <f t="shared" ca="1" si="49"/>
        <v>0</v>
      </c>
      <c r="AW27" s="26">
        <f t="shared" ca="1" si="49"/>
        <v>0</v>
      </c>
      <c r="AX27" s="26">
        <f t="shared" ca="1" si="49"/>
        <v>0</v>
      </c>
      <c r="AY27" s="26">
        <f t="shared" ca="1" si="49"/>
        <v>0</v>
      </c>
      <c r="AZ27" s="26">
        <f t="shared" ca="1" si="49"/>
        <v>0</v>
      </c>
      <c r="BA27" s="26">
        <f t="shared" ca="1" si="49"/>
        <v>0</v>
      </c>
      <c r="BB27" s="26">
        <f t="shared" ca="1" si="49"/>
        <v>0</v>
      </c>
      <c r="BC27" s="26">
        <f t="shared" ca="1" si="49"/>
        <v>0</v>
      </c>
      <c r="BD27" s="26">
        <f t="shared" ca="1" si="49"/>
        <v>0</v>
      </c>
      <c r="BE27" s="26">
        <f t="shared" ca="1" si="49"/>
        <v>0</v>
      </c>
      <c r="BF27" s="26">
        <f t="shared" ca="1" si="49"/>
        <v>0</v>
      </c>
      <c r="BG27" s="26">
        <f t="shared" ca="1" si="49"/>
        <v>0</v>
      </c>
      <c r="BH27" s="26">
        <f t="shared" ca="1" si="49"/>
        <v>0</v>
      </c>
      <c r="BI27" s="26">
        <f t="shared" ca="1" si="49"/>
        <v>0</v>
      </c>
      <c r="BJ27" s="26">
        <f t="shared" ca="1" si="49"/>
        <v>0</v>
      </c>
      <c r="BK27" s="26">
        <f t="shared" ca="1" si="49"/>
        <v>0</v>
      </c>
      <c r="BL27" s="26">
        <f t="shared" ca="1" si="49"/>
        <v>0</v>
      </c>
      <c r="BM27" s="26">
        <f t="shared" ca="1" si="49"/>
        <v>0</v>
      </c>
      <c r="BN27" s="26">
        <f t="shared" ca="1" si="49"/>
        <v>0</v>
      </c>
      <c r="BO27" s="26">
        <f t="shared" ca="1" si="49"/>
        <v>0</v>
      </c>
      <c r="BP27" s="26">
        <f t="shared" ca="1" si="49"/>
        <v>0</v>
      </c>
      <c r="BQ27" s="26">
        <f t="shared" ca="1" si="49"/>
        <v>0</v>
      </c>
      <c r="BR27" s="26">
        <f t="shared" ca="1" si="49"/>
        <v>0</v>
      </c>
      <c r="BS27" s="282">
        <f ca="1">IF(ISNUMBER($A26),IF(INDEX(B28:G28,2)&lt;&gt;0,SIGN(INDEX(B28:G28,2))*INDIRECT(ADDRESS(1+ABS(INDEX(B28:G28,2)),COLUMN(Ksys!$B$1),1,TRUE,"Ksys")),0)+AB27,0)</f>
        <v>0</v>
      </c>
      <c r="BT27" s="61">
        <f ca="1"/>
        <v>0</v>
      </c>
      <c r="BU27" s="61">
        <f ca="1"/>
        <v>0</v>
      </c>
      <c r="BV27" s="61">
        <f ca="1"/>
        <v>0</v>
      </c>
      <c r="BW27" s="287" t="s">
        <v>100</v>
      </c>
      <c r="BX27" s="272">
        <f t="shared" ref="BX27:CH27" ca="1" si="50" xml:space="preserve">  IF(ISNUMBER($A26),$BT27*(1-BX$1) + $BT30*BX$1 + ((1-BX$1)-(1-BX$1)^3)*$D26^2/6*$BV28/$B26 + (BX$1-(BX$1)^3)*$D26^2/6*$BV31/$B26 + (BX$1-2*(BX$1)^3+(BX$1)^4)*$D26^2/3*$F26*$D26^2/8/$B26,0)</f>
        <v>0</v>
      </c>
      <c r="BY27" s="173">
        <f t="shared" ca="1" si="50"/>
        <v>0</v>
      </c>
      <c r="BZ27" s="173">
        <f t="shared" ca="1" si="50"/>
        <v>0</v>
      </c>
      <c r="CA27" s="173">
        <f t="shared" ca="1" si="50"/>
        <v>0</v>
      </c>
      <c r="CB27" s="173">
        <f t="shared" ca="1" si="50"/>
        <v>0</v>
      </c>
      <c r="CC27" s="173">
        <f t="shared" ca="1" si="50"/>
        <v>0</v>
      </c>
      <c r="CD27" s="173">
        <f t="shared" ca="1" si="50"/>
        <v>0</v>
      </c>
      <c r="CE27" s="173">
        <f t="shared" ca="1" si="50"/>
        <v>0</v>
      </c>
      <c r="CF27" s="173">
        <f t="shared" ca="1" si="50"/>
        <v>0</v>
      </c>
      <c r="CG27" s="173">
        <f t="shared" ca="1" si="50"/>
        <v>0</v>
      </c>
      <c r="CH27" s="289">
        <f t="shared" ca="1" si="50"/>
        <v>0</v>
      </c>
      <c r="CI27" s="344"/>
      <c r="CJ27" s="344"/>
      <c r="CK27" s="312"/>
      <c r="CL27" s="12"/>
      <c r="CM27" s="291" t="s">
        <v>100</v>
      </c>
      <c r="CN27" s="7">
        <f t="shared" ref="CN27:CX27" ca="1" si="51" xml:space="preserve">  IF(ISNUMBER($A26),$BV28*(1-CN$1) + $BV31*CN$1  + CN$1*(1-CN$1)*$F26*$D26^2/2,0)</f>
        <v>0</v>
      </c>
      <c r="CO27" s="1">
        <f t="shared" ca="1" si="51"/>
        <v>0</v>
      </c>
      <c r="CP27" s="1">
        <f t="shared" ca="1" si="51"/>
        <v>0</v>
      </c>
      <c r="CQ27" s="1">
        <f t="shared" ca="1" si="51"/>
        <v>0</v>
      </c>
      <c r="CR27" s="1">
        <f t="shared" ca="1" si="51"/>
        <v>0</v>
      </c>
      <c r="CS27" s="1">
        <f t="shared" ca="1" si="51"/>
        <v>0</v>
      </c>
      <c r="CT27" s="1">
        <f t="shared" ca="1" si="51"/>
        <v>0</v>
      </c>
      <c r="CU27" s="1">
        <f t="shared" ca="1" si="51"/>
        <v>0</v>
      </c>
      <c r="CV27" s="1">
        <f t="shared" ca="1" si="51"/>
        <v>0</v>
      </c>
      <c r="CW27" s="1">
        <f t="shared" ca="1" si="51"/>
        <v>0</v>
      </c>
      <c r="CX27" s="1">
        <f t="shared" ca="1" si="51"/>
        <v>0</v>
      </c>
      <c r="CY27" s="1"/>
      <c r="CZ27" s="1"/>
      <c r="DA27" s="26"/>
      <c r="DB27" s="309"/>
      <c r="DC27" s="310"/>
      <c r="DD27" s="345"/>
      <c r="DE27" s="12"/>
      <c r="DF27" s="291" t="s">
        <v>100</v>
      </c>
      <c r="DG27" s="7">
        <f t="shared" ref="DG27:DQ27" ca="1" si="52" xml:space="preserve">  IF(ISNUMBER($A26),$BV27*(1-DG$1) + $BV30*DG$1,0)</f>
        <v>0</v>
      </c>
      <c r="DH27" s="1">
        <f t="shared" ca="1" si="52"/>
        <v>0</v>
      </c>
      <c r="DI27" s="1">
        <f t="shared" ca="1" si="52"/>
        <v>0</v>
      </c>
      <c r="DJ27" s="1">
        <f t="shared" ca="1" si="52"/>
        <v>0</v>
      </c>
      <c r="DK27" s="1">
        <f t="shared" ca="1" si="52"/>
        <v>0</v>
      </c>
      <c r="DL27" s="1">
        <f t="shared" ca="1" si="52"/>
        <v>0</v>
      </c>
      <c r="DM27" s="1">
        <f t="shared" ca="1" si="52"/>
        <v>0</v>
      </c>
      <c r="DN27" s="1">
        <f t="shared" ca="1" si="52"/>
        <v>0</v>
      </c>
      <c r="DO27" s="1">
        <f t="shared" ca="1" si="52"/>
        <v>0</v>
      </c>
      <c r="DP27" s="1">
        <f t="shared" ca="1" si="52"/>
        <v>0</v>
      </c>
      <c r="DQ27" s="1">
        <f t="shared" ca="1" si="52"/>
        <v>0</v>
      </c>
      <c r="DR27" s="1"/>
      <c r="DS27" s="1"/>
      <c r="DT27" s="8"/>
      <c r="DU27" s="12"/>
      <c r="DV27" s="310"/>
      <c r="DW27" s="345"/>
      <c r="DX27" s="12"/>
      <c r="DY27" s="291" t="s">
        <v>100</v>
      </c>
      <c r="DZ27" s="7">
        <f t="shared" ref="DZ27:EJ27" ca="1" si="53" xml:space="preserve">  IF(ISNUMBER($A26),$BV26*(1-DZ$1) + $BV29*DZ$1,0)</f>
        <v>0</v>
      </c>
      <c r="EA27" s="1">
        <f t="shared" ca="1" si="53"/>
        <v>0</v>
      </c>
      <c r="EB27" s="1">
        <f t="shared" ca="1" si="53"/>
        <v>0</v>
      </c>
      <c r="EC27" s="1">
        <f t="shared" ca="1" si="53"/>
        <v>0</v>
      </c>
      <c r="ED27" s="1">
        <f t="shared" ca="1" si="53"/>
        <v>0</v>
      </c>
      <c r="EE27" s="1">
        <f t="shared" ca="1" si="53"/>
        <v>0</v>
      </c>
      <c r="EF27" s="1">
        <f t="shared" ca="1" si="53"/>
        <v>0</v>
      </c>
      <c r="EG27" s="1">
        <f t="shared" ca="1" si="53"/>
        <v>0</v>
      </c>
      <c r="EH27" s="1">
        <f t="shared" ca="1" si="53"/>
        <v>0</v>
      </c>
      <c r="EI27" s="1">
        <f t="shared" ca="1" si="53"/>
        <v>0</v>
      </c>
      <c r="EJ27" s="1">
        <f t="shared" ca="1" si="53"/>
        <v>0</v>
      </c>
      <c r="EK27" s="1"/>
      <c r="EL27" s="1"/>
      <c r="EM27" s="8"/>
      <c r="EN27" s="309"/>
      <c r="EO27" s="310"/>
      <c r="EP27" s="345"/>
    </row>
    <row r="28" spans="1:146" ht="13.5" thickBot="1" x14ac:dyDescent="0.25">
      <c r="B28" s="1">
        <f ca="1">IF(ISNUMBER($A26),INDIRECT("System!" &amp; ADDRESS($A26 +1,COLUMN(System!Y25))),0)</f>
        <v>0</v>
      </c>
      <c r="C28" s="1">
        <f ca="1">IF(ISNUMBER($A26),INDIRECT("System!" &amp; ADDRESS($A26 +1,COLUMN(System!Z25))),0)</f>
        <v>0</v>
      </c>
      <c r="D28" s="1">
        <f ca="1">IF(ISNUMBER($A26),INDIRECT("System!" &amp; ADDRESS($A26 +1,COLUMN(System!AA25))),0)</f>
        <v>0</v>
      </c>
      <c r="E28" s="1">
        <f ca="1">IF(ISNUMBER($A26),INDIRECT("System!" &amp; ADDRESS($A26 +1,COLUMN(System!AB25))),0)</f>
        <v>0</v>
      </c>
      <c r="F28" s="1">
        <f ca="1">IF(ISNUMBER($A26),INDIRECT("System!" &amp; ADDRESS($A26 +1,COLUMN(System!AC25))),0)</f>
        <v>0</v>
      </c>
      <c r="G28" s="1">
        <f ca="1">IF(ISNUMBER($A26),INDIRECT("System!" &amp; ADDRESS($A26 +1,COLUMN(System!AD25))),0)</f>
        <v>0</v>
      </c>
      <c r="J28" s="9">
        <v>0</v>
      </c>
      <c r="K28" s="10">
        <f ca="1">IF(G26=1,-6*B26/D26^2,IF(G26="2a",0,IF(G26="2b",-3*B26/D26^2,0)))</f>
        <v>0</v>
      </c>
      <c r="L28" s="181">
        <f ca="1">IF(G26=1,4*B26/D26,IF(G26="2a",0,IF(G26="2b",3*B26/D26,0)))</f>
        <v>0</v>
      </c>
      <c r="M28" s="9">
        <v>0</v>
      </c>
      <c r="N28" s="10">
        <f ca="1">L30</f>
        <v>0</v>
      </c>
      <c r="O28" s="146">
        <f ca="1">L31</f>
        <v>0</v>
      </c>
      <c r="P28" s="143">
        <v>0</v>
      </c>
      <c r="Q28" s="99">
        <v>0</v>
      </c>
      <c r="R28" s="99">
        <v>1</v>
      </c>
      <c r="S28" s="101">
        <v>0</v>
      </c>
      <c r="T28" s="101">
        <v>0</v>
      </c>
      <c r="U28" s="110">
        <v>0</v>
      </c>
      <c r="V28" s="9">
        <f ca="1"/>
        <v>0</v>
      </c>
      <c r="W28" s="10">
        <f ca="1"/>
        <v>0</v>
      </c>
      <c r="X28" s="181">
        <f ca="1"/>
        <v>0</v>
      </c>
      <c r="Y28" s="9">
        <f ca="1"/>
        <v>0</v>
      </c>
      <c r="Z28" s="10">
        <f ca="1"/>
        <v>0</v>
      </c>
      <c r="AA28" s="146">
        <f ca="1"/>
        <v>0</v>
      </c>
      <c r="AB28" s="61">
        <f ca="1">IF(ISNUMBER($A26),INDIRECT("System!" &amp; ADDRESS(A26+1,COLUMN(System!U25))),0)</f>
        <v>0</v>
      </c>
      <c r="AC28" s="301">
        <f ca="1">IF(G26=1,-F26*D26^2/12,IF(G26="2a",0,IF(G26="2b",-F26*D26^2/8,0)))</f>
        <v>0</v>
      </c>
      <c r="AD28" s="61">
        <f ca="1"/>
        <v>0</v>
      </c>
      <c r="AE28" s="7">
        <f t="shared" ref="AE28:BR28" ca="1" si="54">IF(ABS($D28)=AE$1,SIGN($D28),0)</f>
        <v>0</v>
      </c>
      <c r="AF28" s="1">
        <f t="shared" ca="1" si="54"/>
        <v>0</v>
      </c>
      <c r="AG28" s="1">
        <f t="shared" ca="1" si="54"/>
        <v>0</v>
      </c>
      <c r="AH28" s="1">
        <f t="shared" ca="1" si="54"/>
        <v>0</v>
      </c>
      <c r="AI28" s="1">
        <f t="shared" ca="1" si="54"/>
        <v>0</v>
      </c>
      <c r="AJ28" s="26">
        <f t="shared" ca="1" si="54"/>
        <v>0</v>
      </c>
      <c r="AK28" s="26">
        <f t="shared" ca="1" si="54"/>
        <v>0</v>
      </c>
      <c r="AL28" s="26">
        <f t="shared" ca="1" si="54"/>
        <v>0</v>
      </c>
      <c r="AM28" s="26">
        <f t="shared" ca="1" si="54"/>
        <v>0</v>
      </c>
      <c r="AN28" s="26">
        <f t="shared" ca="1" si="54"/>
        <v>0</v>
      </c>
      <c r="AO28" s="26">
        <f t="shared" ca="1" si="54"/>
        <v>0</v>
      </c>
      <c r="AP28" s="26">
        <f t="shared" ca="1" si="54"/>
        <v>0</v>
      </c>
      <c r="AQ28" s="26">
        <f t="shared" ca="1" si="54"/>
        <v>0</v>
      </c>
      <c r="AR28" s="26">
        <f t="shared" ca="1" si="54"/>
        <v>0</v>
      </c>
      <c r="AS28" s="26">
        <f t="shared" ca="1" si="54"/>
        <v>0</v>
      </c>
      <c r="AT28" s="26">
        <f t="shared" ca="1" si="54"/>
        <v>0</v>
      </c>
      <c r="AU28" s="26">
        <f t="shared" ca="1" si="54"/>
        <v>0</v>
      </c>
      <c r="AV28" s="26">
        <f t="shared" ca="1" si="54"/>
        <v>0</v>
      </c>
      <c r="AW28" s="26">
        <f t="shared" ca="1" si="54"/>
        <v>0</v>
      </c>
      <c r="AX28" s="26">
        <f t="shared" ca="1" si="54"/>
        <v>0</v>
      </c>
      <c r="AY28" s="26">
        <f t="shared" ca="1" si="54"/>
        <v>0</v>
      </c>
      <c r="AZ28" s="26">
        <f t="shared" ca="1" si="54"/>
        <v>0</v>
      </c>
      <c r="BA28" s="26">
        <f t="shared" ca="1" si="54"/>
        <v>0</v>
      </c>
      <c r="BB28" s="26">
        <f t="shared" ca="1" si="54"/>
        <v>0</v>
      </c>
      <c r="BC28" s="26">
        <f t="shared" ca="1" si="54"/>
        <v>0</v>
      </c>
      <c r="BD28" s="26">
        <f t="shared" ca="1" si="54"/>
        <v>0</v>
      </c>
      <c r="BE28" s="26">
        <f t="shared" ca="1" si="54"/>
        <v>0</v>
      </c>
      <c r="BF28" s="26">
        <f t="shared" ca="1" si="54"/>
        <v>0</v>
      </c>
      <c r="BG28" s="26">
        <f t="shared" ca="1" si="54"/>
        <v>0</v>
      </c>
      <c r="BH28" s="26">
        <f t="shared" ca="1" si="54"/>
        <v>0</v>
      </c>
      <c r="BI28" s="26">
        <f t="shared" ca="1" si="54"/>
        <v>0</v>
      </c>
      <c r="BJ28" s="26">
        <f t="shared" ca="1" si="54"/>
        <v>0</v>
      </c>
      <c r="BK28" s="26">
        <f t="shared" ca="1" si="54"/>
        <v>0</v>
      </c>
      <c r="BL28" s="26">
        <f t="shared" ca="1" si="54"/>
        <v>0</v>
      </c>
      <c r="BM28" s="26">
        <f t="shared" ca="1" si="54"/>
        <v>0</v>
      </c>
      <c r="BN28" s="26">
        <f t="shared" ca="1" si="54"/>
        <v>0</v>
      </c>
      <c r="BO28" s="26">
        <f t="shared" ca="1" si="54"/>
        <v>0</v>
      </c>
      <c r="BP28" s="26">
        <f t="shared" ca="1" si="54"/>
        <v>0</v>
      </c>
      <c r="BQ28" s="26">
        <f t="shared" ca="1" si="54"/>
        <v>0</v>
      </c>
      <c r="BR28" s="26">
        <f t="shared" ca="1" si="54"/>
        <v>0</v>
      </c>
      <c r="BS28" s="282">
        <f ca="1">IF(ISNUMBER($A26),IF(INDEX(B28:G28,3)&lt;&gt;0,SIGN(INDEX(B28:G28,3))*INDIRECT(ADDRESS(1+ABS(INDEX(B28:G28,3)),COLUMN(Ksys!$B$1),1,TRUE,"Ksys")),0)+AB28,0)</f>
        <v>0</v>
      </c>
      <c r="BT28" s="61">
        <f ca="1"/>
        <v>0</v>
      </c>
      <c r="BU28" s="61">
        <f ca="1"/>
        <v>0</v>
      </c>
      <c r="BV28" s="61">
        <f ca="1"/>
        <v>0</v>
      </c>
      <c r="BW28" s="287" t="s">
        <v>96</v>
      </c>
      <c r="BX28" s="7">
        <f t="array" aca="1" ref="BX28:BX29" ca="1">IF(ISNUMBER($A26),MMULT(TRANSPOSE($P26:$Q27),BX26:BX27),0)</f>
        <v>0</v>
      </c>
      <c r="BY28" s="1">
        <f t="array" aca="1" ref="BY28:BY29" ca="1">IF(ISNUMBER($A26),MMULT(TRANSPOSE($P26:$Q27),BY26:BY27),0)</f>
        <v>0</v>
      </c>
      <c r="BZ28" s="1">
        <f t="array" aca="1" ref="BZ28:BZ29" ca="1">IF(ISNUMBER($A26),MMULT(TRANSPOSE($P26:$Q27),BZ26:BZ27),0)</f>
        <v>0</v>
      </c>
      <c r="CA28" s="1">
        <f t="array" aca="1" ref="CA28:CA29" ca="1">IF(ISNUMBER($A26),MMULT(TRANSPOSE($P26:$Q27),CA26:CA27),0)</f>
        <v>0</v>
      </c>
      <c r="CB28" s="1">
        <f t="array" aca="1" ref="CB28:CB29" ca="1">IF(ISNUMBER($A26),MMULT(TRANSPOSE($P26:$Q27),CB26:CB27),0)</f>
        <v>0</v>
      </c>
      <c r="CC28" s="1">
        <f t="array" aca="1" ref="CC28:CC29" ca="1">IF(ISNUMBER($A26),MMULT(TRANSPOSE($P26:$Q27),CC26:CC27),0)</f>
        <v>0</v>
      </c>
      <c r="CD28" s="1">
        <f t="array" aca="1" ref="CD28:CD29" ca="1">IF(ISNUMBER($A26),MMULT(TRANSPOSE($P26:$Q27),CD26:CD27),0)</f>
        <v>0</v>
      </c>
      <c r="CE28" s="1">
        <f t="array" aca="1" ref="CE28:CE29" ca="1">IF(ISNUMBER($A26),MMULT(TRANSPOSE($P26:$Q27),CE26:CE27),0)</f>
        <v>0</v>
      </c>
      <c r="CF28" s="1">
        <f t="array" aca="1" ref="CF28:CF29" ca="1">IF(ISNUMBER($A26),MMULT(TRANSPOSE($P26:$Q27),CF26:CF27),0)</f>
        <v>0</v>
      </c>
      <c r="CG28" s="1">
        <f t="array" aca="1" ref="CG28:CG29" ca="1">IF(ISNUMBER($A26),MMULT(TRANSPOSE($P26:$Q27),CG26:CG27),0)</f>
        <v>0</v>
      </c>
      <c r="CH28" s="8">
        <f t="array" aca="1" ref="CH28:CH29" ca="1">IF(ISNUMBER($A26),MMULT(TRANSPOSE($P26:$Q27),CH26:CH27),0)</f>
        <v>0</v>
      </c>
      <c r="CI28" s="345"/>
      <c r="CJ28" s="345"/>
      <c r="CK28" s="444">
        <f ca="1">MAX(MAX(BX28:CH29),ABS(MIN(BX28:CH29)))</f>
        <v>0</v>
      </c>
      <c r="CL28" s="12"/>
      <c r="CM28" s="291" t="s">
        <v>96</v>
      </c>
      <c r="CN28" s="7">
        <f t="array" aca="1" ref="CN28:CN29" ca="1">IF(ISNUMBER($A26),MMULT(TRANSPOSE($P26:$Q27),CN26:CN27),0)</f>
        <v>0</v>
      </c>
      <c r="CO28" s="1">
        <f t="array" aca="1" ref="CO28:CO29" ca="1">IF(ISNUMBER($A26),MMULT(TRANSPOSE($P26:$Q27),CO26:CO27),0)</f>
        <v>0</v>
      </c>
      <c r="CP28" s="1">
        <f t="array" aca="1" ref="CP28:CP29" ca="1">IF(ISNUMBER($A26),MMULT(TRANSPOSE($P26:$Q27),CP26:CP27),0)</f>
        <v>0</v>
      </c>
      <c r="CQ28" s="1">
        <f t="array" aca="1" ref="CQ28:CQ29" ca="1">IF(ISNUMBER($A26),MMULT(TRANSPOSE($P26:$Q27),CQ26:CQ27),0)</f>
        <v>0</v>
      </c>
      <c r="CR28" s="1">
        <f t="array" aca="1" ref="CR28:CR29" ca="1">IF(ISNUMBER($A26),MMULT(TRANSPOSE($P26:$Q27),CR26:CR27),0)</f>
        <v>0</v>
      </c>
      <c r="CS28" s="1">
        <f t="array" aca="1" ref="CS28:CS29" ca="1">IF(ISNUMBER($A26),MMULT(TRANSPOSE($P26:$Q27),CS26:CS27),0)</f>
        <v>0</v>
      </c>
      <c r="CT28" s="1">
        <f t="array" aca="1" ref="CT28:CT29" ca="1">IF(ISNUMBER($A26),MMULT(TRANSPOSE($P26:$Q27),CT26:CT27),0)</f>
        <v>0</v>
      </c>
      <c r="CU28" s="1">
        <f t="array" aca="1" ref="CU28:CU29" ca="1">IF(ISNUMBER($A26),MMULT(TRANSPOSE($P26:$Q27),CU26:CU27),0)</f>
        <v>0</v>
      </c>
      <c r="CV28" s="1">
        <f t="array" aca="1" ref="CV28:CV29" ca="1">IF(ISNUMBER($A26),MMULT(TRANSPOSE($P26:$Q27),CV26:CV27),0)</f>
        <v>0</v>
      </c>
      <c r="CW28" s="1">
        <f t="array" aca="1" ref="CW28:CW29" ca="1">IF(ISNUMBER($A26),MMULT(TRANSPOSE($P26:$Q27),CW26:CW27),0)</f>
        <v>0</v>
      </c>
      <c r="CX28" s="1">
        <f t="array" aca="1" ref="CX28:CX29" ca="1">IF(ISNUMBER($A26),MMULT(TRANSPOSE($P26:$Q27),CX26:CX27),0)</f>
        <v>0</v>
      </c>
      <c r="CY28" s="1"/>
      <c r="CZ28" s="1"/>
      <c r="DA28" s="26"/>
      <c r="DB28" s="309"/>
      <c r="DC28" s="310"/>
      <c r="DD28" s="345"/>
      <c r="DE28" s="12"/>
      <c r="DF28" s="291" t="s">
        <v>96</v>
      </c>
      <c r="DG28" s="7">
        <f t="array" aca="1" ref="DG28:DG29" ca="1">IF(ISNUMBER($A26),MMULT(TRANSPOSE($P26:$Q27),DG26:DG27),0)</f>
        <v>0</v>
      </c>
      <c r="DH28" s="1">
        <f t="array" aca="1" ref="DH28:DH29" ca="1">IF(ISNUMBER($A26),MMULT(TRANSPOSE($P26:$Q27),DH26:DH27),0)</f>
        <v>0</v>
      </c>
      <c r="DI28" s="1">
        <f t="array" aca="1" ref="DI28:DI29" ca="1">IF(ISNUMBER($A26),MMULT(TRANSPOSE($P26:$Q27),DI26:DI27),0)</f>
        <v>0</v>
      </c>
      <c r="DJ28" s="1">
        <f t="array" aca="1" ref="DJ28:DJ29" ca="1">IF(ISNUMBER($A26),MMULT(TRANSPOSE($P26:$Q27),DJ26:DJ27),0)</f>
        <v>0</v>
      </c>
      <c r="DK28" s="1">
        <f t="array" aca="1" ref="DK28:DK29" ca="1">IF(ISNUMBER($A26),MMULT(TRANSPOSE($P26:$Q27),DK26:DK27),0)</f>
        <v>0</v>
      </c>
      <c r="DL28" s="1">
        <f t="array" aca="1" ref="DL28:DL29" ca="1">IF(ISNUMBER($A26),MMULT(TRANSPOSE($P26:$Q27),DL26:DL27),0)</f>
        <v>0</v>
      </c>
      <c r="DM28" s="1">
        <f t="array" aca="1" ref="DM28:DM29" ca="1">IF(ISNUMBER($A26),MMULT(TRANSPOSE($P26:$Q27),DM26:DM27),0)</f>
        <v>0</v>
      </c>
      <c r="DN28" s="1">
        <f t="array" aca="1" ref="DN28:DN29" ca="1">IF(ISNUMBER($A26),MMULT(TRANSPOSE($P26:$Q27),DN26:DN27),0)</f>
        <v>0</v>
      </c>
      <c r="DO28" s="1">
        <f t="array" aca="1" ref="DO28:DO29" ca="1">IF(ISNUMBER($A26),MMULT(TRANSPOSE($P26:$Q27),DO26:DO27),0)</f>
        <v>0</v>
      </c>
      <c r="DP28" s="1">
        <f t="array" aca="1" ref="DP28:DP29" ca="1">IF(ISNUMBER($A26),MMULT(TRANSPOSE($P26:$Q27),DP26:DP27),0)</f>
        <v>0</v>
      </c>
      <c r="DQ28" s="1">
        <f t="array" aca="1" ref="DQ28:DQ29" ca="1">IF(ISNUMBER($A26),MMULT(TRANSPOSE($P26:$Q27),DQ26:DQ27),0)</f>
        <v>0</v>
      </c>
      <c r="DR28" s="1"/>
      <c r="DS28" s="1"/>
      <c r="DT28" s="8"/>
      <c r="DU28" s="12"/>
      <c r="DV28" s="310"/>
      <c r="DW28" s="345"/>
      <c r="DX28" s="12"/>
      <c r="DY28" s="291" t="s">
        <v>96</v>
      </c>
      <c r="DZ28" s="7">
        <f t="array" aca="1" ref="DZ28:DZ29" ca="1">IF(ISNUMBER($A26),MMULT(TRANSPOSE($P26:$Q27),DZ26:DZ27),0)</f>
        <v>0</v>
      </c>
      <c r="EA28" s="1">
        <f t="array" aca="1" ref="EA28:EA29" ca="1">IF(ISNUMBER($A26),MMULT(TRANSPOSE($P26:$Q27),EA26:EA27),0)</f>
        <v>0</v>
      </c>
      <c r="EB28" s="1">
        <f t="array" aca="1" ref="EB28:EB29" ca="1">IF(ISNUMBER($A26),MMULT(TRANSPOSE($P26:$Q27),EB26:EB27),0)</f>
        <v>0</v>
      </c>
      <c r="EC28" s="1">
        <f t="array" aca="1" ref="EC28:EC29" ca="1">IF(ISNUMBER($A26),MMULT(TRANSPOSE($P26:$Q27),EC26:EC27),0)</f>
        <v>0</v>
      </c>
      <c r="ED28" s="1">
        <f t="array" aca="1" ref="ED28:ED29" ca="1">IF(ISNUMBER($A26),MMULT(TRANSPOSE($P26:$Q27),ED26:ED27),0)</f>
        <v>0</v>
      </c>
      <c r="EE28" s="1">
        <f t="array" aca="1" ref="EE28:EE29" ca="1">IF(ISNUMBER($A26),MMULT(TRANSPOSE($P26:$Q27),EE26:EE27),0)</f>
        <v>0</v>
      </c>
      <c r="EF28" s="1">
        <f t="array" aca="1" ref="EF28:EF29" ca="1">IF(ISNUMBER($A26),MMULT(TRANSPOSE($P26:$Q27),EF26:EF27),0)</f>
        <v>0</v>
      </c>
      <c r="EG28" s="1">
        <f t="array" aca="1" ref="EG28:EG29" ca="1">IF(ISNUMBER($A26),MMULT(TRANSPOSE($P26:$Q27),EG26:EG27),0)</f>
        <v>0</v>
      </c>
      <c r="EH28" s="1">
        <f t="array" aca="1" ref="EH28:EH29" ca="1">IF(ISNUMBER($A26),MMULT(TRANSPOSE($P26:$Q27),EH26:EH27),0)</f>
        <v>0</v>
      </c>
      <c r="EI28" s="1">
        <f t="array" aca="1" ref="EI28:EI29" ca="1">IF(ISNUMBER($A26),MMULT(TRANSPOSE($P26:$Q27),EI26:EI27),0)</f>
        <v>0</v>
      </c>
      <c r="EJ28" s="1">
        <f t="array" aca="1" ref="EJ28:EJ29" ca="1">IF(ISNUMBER($A26),MMULT(TRANSPOSE($P26:$Q27),EJ26:EJ27),0)</f>
        <v>0</v>
      </c>
      <c r="EK28" s="1"/>
      <c r="EL28" s="1"/>
      <c r="EM28" s="8"/>
      <c r="EN28" s="309"/>
      <c r="EO28" s="310"/>
      <c r="EP28" s="345"/>
    </row>
    <row r="29" spans="1:146" x14ac:dyDescent="0.2">
      <c r="E29" s="12"/>
      <c r="F29" s="12"/>
      <c r="J29" s="4">
        <f ca="1">-J26</f>
        <v>0</v>
      </c>
      <c r="K29" s="5">
        <v>0</v>
      </c>
      <c r="L29" s="6">
        <v>0</v>
      </c>
      <c r="M29" s="179">
        <f ca="1">J26</f>
        <v>0</v>
      </c>
      <c r="N29" s="5">
        <v>0</v>
      </c>
      <c r="O29" s="6">
        <v>0</v>
      </c>
      <c r="P29" s="184">
        <v>0</v>
      </c>
      <c r="Q29" s="101">
        <v>0</v>
      </c>
      <c r="R29" s="101">
        <v>0</v>
      </c>
      <c r="S29" s="99">
        <f ca="1">I26</f>
        <v>0</v>
      </c>
      <c r="T29" s="99">
        <f ca="1">-H26</f>
        <v>0</v>
      </c>
      <c r="U29" s="100">
        <v>0</v>
      </c>
      <c r="V29" s="4">
        <f ca="1"/>
        <v>0</v>
      </c>
      <c r="W29" s="5">
        <f ca="1"/>
        <v>0</v>
      </c>
      <c r="X29" s="6">
        <f ca="1"/>
        <v>0</v>
      </c>
      <c r="Y29" s="179">
        <f ca="1"/>
        <v>0</v>
      </c>
      <c r="Z29" s="5">
        <f ca="1"/>
        <v>0</v>
      </c>
      <c r="AA29" s="6">
        <f ca="1"/>
        <v>0</v>
      </c>
      <c r="AB29" s="61">
        <f ca="1">IF(ISNUMBER($A26),INDIRECT("System!" &amp; ADDRESS(A26+1,COLUMN(System!V25))),0)</f>
        <v>0</v>
      </c>
      <c r="AC29" s="301">
        <f ca="1">IF(ISNUMBER(E26),E26*D26/2,0)</f>
        <v>0</v>
      </c>
      <c r="AD29" s="61">
        <f ca="1"/>
        <v>0</v>
      </c>
      <c r="AE29" s="7">
        <f t="shared" ref="AE29:BR29" ca="1" si="55">IF(ABS($E28)=AE$1,SIGN($E28),0)</f>
        <v>0</v>
      </c>
      <c r="AF29" s="1">
        <f t="shared" ca="1" si="55"/>
        <v>0</v>
      </c>
      <c r="AG29" s="1">
        <f t="shared" ca="1" si="55"/>
        <v>0</v>
      </c>
      <c r="AH29" s="1">
        <f t="shared" ca="1" si="55"/>
        <v>0</v>
      </c>
      <c r="AI29" s="1">
        <f t="shared" ca="1" si="55"/>
        <v>0</v>
      </c>
      <c r="AJ29" s="26">
        <f t="shared" ca="1" si="55"/>
        <v>0</v>
      </c>
      <c r="AK29" s="26">
        <f t="shared" ca="1" si="55"/>
        <v>0</v>
      </c>
      <c r="AL29" s="26">
        <f t="shared" ca="1" si="55"/>
        <v>0</v>
      </c>
      <c r="AM29" s="26">
        <f t="shared" ca="1" si="55"/>
        <v>0</v>
      </c>
      <c r="AN29" s="26">
        <f t="shared" ca="1" si="55"/>
        <v>0</v>
      </c>
      <c r="AO29" s="26">
        <f t="shared" ca="1" si="55"/>
        <v>0</v>
      </c>
      <c r="AP29" s="26">
        <f t="shared" ca="1" si="55"/>
        <v>0</v>
      </c>
      <c r="AQ29" s="26">
        <f t="shared" ca="1" si="55"/>
        <v>0</v>
      </c>
      <c r="AR29" s="26">
        <f t="shared" ca="1" si="55"/>
        <v>0</v>
      </c>
      <c r="AS29" s="26">
        <f t="shared" ca="1" si="55"/>
        <v>0</v>
      </c>
      <c r="AT29" s="26">
        <f t="shared" ca="1" si="55"/>
        <v>0</v>
      </c>
      <c r="AU29" s="26">
        <f t="shared" ca="1" si="55"/>
        <v>0</v>
      </c>
      <c r="AV29" s="26">
        <f t="shared" ca="1" si="55"/>
        <v>0</v>
      </c>
      <c r="AW29" s="26">
        <f t="shared" ca="1" si="55"/>
        <v>0</v>
      </c>
      <c r="AX29" s="26">
        <f t="shared" ca="1" si="55"/>
        <v>0</v>
      </c>
      <c r="AY29" s="26">
        <f t="shared" ca="1" si="55"/>
        <v>0</v>
      </c>
      <c r="AZ29" s="26">
        <f t="shared" ca="1" si="55"/>
        <v>0</v>
      </c>
      <c r="BA29" s="26">
        <f t="shared" ca="1" si="55"/>
        <v>0</v>
      </c>
      <c r="BB29" s="26">
        <f t="shared" ca="1" si="55"/>
        <v>0</v>
      </c>
      <c r="BC29" s="26">
        <f t="shared" ca="1" si="55"/>
        <v>0</v>
      </c>
      <c r="BD29" s="26">
        <f t="shared" ca="1" si="55"/>
        <v>0</v>
      </c>
      <c r="BE29" s="26">
        <f t="shared" ca="1" si="55"/>
        <v>0</v>
      </c>
      <c r="BF29" s="26">
        <f t="shared" ca="1" si="55"/>
        <v>0</v>
      </c>
      <c r="BG29" s="26">
        <f t="shared" ca="1" si="55"/>
        <v>0</v>
      </c>
      <c r="BH29" s="26">
        <f t="shared" ca="1" si="55"/>
        <v>0</v>
      </c>
      <c r="BI29" s="26">
        <f t="shared" ca="1" si="55"/>
        <v>0</v>
      </c>
      <c r="BJ29" s="26">
        <f t="shared" ca="1" si="55"/>
        <v>0</v>
      </c>
      <c r="BK29" s="26">
        <f t="shared" ca="1" si="55"/>
        <v>0</v>
      </c>
      <c r="BL29" s="26">
        <f t="shared" ca="1" si="55"/>
        <v>0</v>
      </c>
      <c r="BM29" s="26">
        <f t="shared" ca="1" si="55"/>
        <v>0</v>
      </c>
      <c r="BN29" s="26">
        <f t="shared" ca="1" si="55"/>
        <v>0</v>
      </c>
      <c r="BO29" s="26">
        <f t="shared" ca="1" si="55"/>
        <v>0</v>
      </c>
      <c r="BP29" s="26">
        <f t="shared" ca="1" si="55"/>
        <v>0</v>
      </c>
      <c r="BQ29" s="26">
        <f t="shared" ca="1" si="55"/>
        <v>0</v>
      </c>
      <c r="BR29" s="26">
        <f t="shared" ca="1" si="55"/>
        <v>0</v>
      </c>
      <c r="BS29" s="282">
        <f ca="1">IF(ISNUMBER($A26),IF(INDEX(B28:G28,4)&lt;&gt;0,SIGN(INDEX(B28:G28,4))*INDIRECT(ADDRESS(1+ABS(INDEX(B28:G28,4)),COLUMN(Ksys!$B$1),1,TRUE,"Ksys")),0)+AB29,0)</f>
        <v>0</v>
      </c>
      <c r="BT29" s="61">
        <f ca="1"/>
        <v>0</v>
      </c>
      <c r="BU29" s="61">
        <f ca="1"/>
        <v>0</v>
      </c>
      <c r="BV29" s="61">
        <f t="array" aca="1" ref="BV29:BV31" ca="1">MMULT(J29:O31,BT26:BT31)-AC29:AC31</f>
        <v>0</v>
      </c>
      <c r="BW29" s="288" t="s">
        <v>101</v>
      </c>
      <c r="BX29" s="7">
        <f ca="1"/>
        <v>0</v>
      </c>
      <c r="BY29" s="1">
        <f ca="1"/>
        <v>0</v>
      </c>
      <c r="BZ29" s="1">
        <f ca="1"/>
        <v>0</v>
      </c>
      <c r="CA29" s="1">
        <f ca="1"/>
        <v>0</v>
      </c>
      <c r="CB29" s="1">
        <f ca="1"/>
        <v>0</v>
      </c>
      <c r="CC29" s="1">
        <f ca="1"/>
        <v>0</v>
      </c>
      <c r="CD29" s="1">
        <f ca="1"/>
        <v>0</v>
      </c>
      <c r="CE29" s="1">
        <f ca="1"/>
        <v>0</v>
      </c>
      <c r="CF29" s="1">
        <f ca="1"/>
        <v>0</v>
      </c>
      <c r="CG29" s="1">
        <f ca="1"/>
        <v>0</v>
      </c>
      <c r="CH29" s="8">
        <f ca="1"/>
        <v>0</v>
      </c>
      <c r="CI29" s="344" t="s">
        <v>1</v>
      </c>
      <c r="CJ29" s="344" t="s">
        <v>111</v>
      </c>
      <c r="CK29" s="310"/>
      <c r="CL29" s="12"/>
      <c r="CM29" s="292" t="s">
        <v>101</v>
      </c>
      <c r="CN29" s="7">
        <f ca="1"/>
        <v>0</v>
      </c>
      <c r="CO29" s="1">
        <f ca="1"/>
        <v>0</v>
      </c>
      <c r="CP29" s="1">
        <f ca="1"/>
        <v>0</v>
      </c>
      <c r="CQ29" s="1">
        <f ca="1"/>
        <v>0</v>
      </c>
      <c r="CR29" s="1">
        <f ca="1"/>
        <v>0</v>
      </c>
      <c r="CS29" s="1">
        <f ca="1"/>
        <v>0</v>
      </c>
      <c r="CT29" s="1">
        <f ca="1"/>
        <v>0</v>
      </c>
      <c r="CU29" s="1">
        <f ca="1"/>
        <v>0</v>
      </c>
      <c r="CV29" s="1">
        <f ca="1"/>
        <v>0</v>
      </c>
      <c r="CW29" s="1">
        <f ca="1"/>
        <v>0</v>
      </c>
      <c r="CX29" s="1">
        <f ca="1"/>
        <v>0</v>
      </c>
      <c r="CY29" s="1"/>
      <c r="CZ29" s="1"/>
      <c r="DA29" s="26"/>
      <c r="DB29" s="311" t="s">
        <v>1</v>
      </c>
      <c r="DC29" s="312" t="s">
        <v>111</v>
      </c>
      <c r="DD29" s="61">
        <f ca="1">MAX(MAX(CN28:CX29),ABS(MIN(CN28:CX29)))</f>
        <v>0</v>
      </c>
      <c r="DE29" s="12"/>
      <c r="DF29" s="292" t="s">
        <v>101</v>
      </c>
      <c r="DG29" s="7">
        <f ca="1"/>
        <v>0</v>
      </c>
      <c r="DH29" s="1">
        <f ca="1"/>
        <v>0</v>
      </c>
      <c r="DI29" s="1">
        <f ca="1"/>
        <v>0</v>
      </c>
      <c r="DJ29" s="1">
        <f ca="1"/>
        <v>0</v>
      </c>
      <c r="DK29" s="1">
        <f ca="1"/>
        <v>0</v>
      </c>
      <c r="DL29" s="1">
        <f ca="1"/>
        <v>0</v>
      </c>
      <c r="DM29" s="1">
        <f ca="1"/>
        <v>0</v>
      </c>
      <c r="DN29" s="1">
        <f ca="1"/>
        <v>0</v>
      </c>
      <c r="DO29" s="1">
        <f ca="1"/>
        <v>0</v>
      </c>
      <c r="DP29" s="1">
        <f ca="1"/>
        <v>0</v>
      </c>
      <c r="DQ29" s="1">
        <f ca="1"/>
        <v>0</v>
      </c>
      <c r="DR29" s="1"/>
      <c r="DS29" s="1"/>
      <c r="DT29" s="8"/>
      <c r="DU29" s="314" t="s">
        <v>1</v>
      </c>
      <c r="DV29" s="312" t="s">
        <v>111</v>
      </c>
      <c r="DW29" s="349">
        <f ca="1">MAX(MAX(DG28:DQ29),ABS(MIN(DG28:DQ29)))</f>
        <v>0</v>
      </c>
      <c r="DX29" s="12"/>
      <c r="DY29" s="292" t="s">
        <v>101</v>
      </c>
      <c r="DZ29" s="7">
        <f ca="1"/>
        <v>0</v>
      </c>
      <c r="EA29" s="1">
        <f ca="1"/>
        <v>0</v>
      </c>
      <c r="EB29" s="1">
        <f ca="1"/>
        <v>0</v>
      </c>
      <c r="EC29" s="1">
        <f ca="1"/>
        <v>0</v>
      </c>
      <c r="ED29" s="1">
        <f ca="1"/>
        <v>0</v>
      </c>
      <c r="EE29" s="1">
        <f ca="1"/>
        <v>0</v>
      </c>
      <c r="EF29" s="1">
        <f ca="1"/>
        <v>0</v>
      </c>
      <c r="EG29" s="1">
        <f ca="1"/>
        <v>0</v>
      </c>
      <c r="EH29" s="1">
        <f ca="1"/>
        <v>0</v>
      </c>
      <c r="EI29" s="1">
        <f ca="1"/>
        <v>0</v>
      </c>
      <c r="EJ29" s="1">
        <f ca="1"/>
        <v>0</v>
      </c>
      <c r="EK29" s="1"/>
      <c r="EL29" s="1"/>
      <c r="EM29" s="8"/>
      <c r="EN29" s="311" t="s">
        <v>1</v>
      </c>
      <c r="EO29" s="312" t="s">
        <v>111</v>
      </c>
      <c r="EP29" s="61">
        <f ca="1">MAX(MAX(DZ28:EJ29),ABS(MIN(DZ28:EJ29)))</f>
        <v>0</v>
      </c>
    </row>
    <row r="30" spans="1:146" x14ac:dyDescent="0.2">
      <c r="E30" s="1" t="str">
        <f ca="1">IF(ISNUMBER(A26),"" &amp; ADDRESS(ROW(A26),COLUMN($AD$1)) &amp; ":" &amp; ADDRESS(ROW(A31),COLUMN($AD$1)) &amp; "","")</f>
        <v/>
      </c>
      <c r="F30" s="1" t="str">
        <f ca="1">IF(ISNUMBER(A26),"" &amp; ADDRESS(ROW(A26),COLUMN($V$1)) &amp; ":" &amp; ADDRESS(ROW(A31),COLUMN($AA$1)) &amp; "","")</f>
        <v/>
      </c>
      <c r="G30" s="1" t="str">
        <f ca="1">IF(ISNUMBER(A26),"" &amp; ADDRESS(ROW(A26),COLUMN($AE$1)) &amp; ":" &amp; ADDRESS(ROW(A31),COLUMN($AD$1)+$C$6) &amp; "","")</f>
        <v/>
      </c>
      <c r="J30" s="7">
        <v>0</v>
      </c>
      <c r="K30" s="1">
        <f ca="1">-K27</f>
        <v>0</v>
      </c>
      <c r="L30" s="8">
        <f ca="1">IF(G26=1,6*B26/D26^2,IF(G26="2a",0,IF(G26="2b",3*B26/D26^2,0)))</f>
        <v>0</v>
      </c>
      <c r="M30" s="7">
        <v>0</v>
      </c>
      <c r="N30" s="180">
        <f ca="1">K27</f>
        <v>0</v>
      </c>
      <c r="O30" s="8">
        <f ca="1">N31</f>
        <v>0</v>
      </c>
      <c r="P30" s="184">
        <v>0</v>
      </c>
      <c r="Q30" s="101">
        <v>0</v>
      </c>
      <c r="R30" s="101">
        <v>0</v>
      </c>
      <c r="S30" s="99">
        <f ca="1">H26</f>
        <v>0</v>
      </c>
      <c r="T30" s="99">
        <f ca="1">I26</f>
        <v>0</v>
      </c>
      <c r="U30" s="100">
        <v>0</v>
      </c>
      <c r="V30" s="7">
        <f ca="1"/>
        <v>0</v>
      </c>
      <c r="W30" s="1">
        <f ca="1"/>
        <v>0</v>
      </c>
      <c r="X30" s="8">
        <f ca="1"/>
        <v>0</v>
      </c>
      <c r="Y30" s="7">
        <f ca="1"/>
        <v>0</v>
      </c>
      <c r="Z30" s="180">
        <f ca="1"/>
        <v>0</v>
      </c>
      <c r="AA30" s="8">
        <f ca="1"/>
        <v>0</v>
      </c>
      <c r="AB30" s="61">
        <f ca="1">IF(ISNUMBER($A26),INDIRECT("System!" &amp; ADDRESS(A26+1,COLUMN(System!W25))),0)</f>
        <v>0</v>
      </c>
      <c r="AC30" s="301">
        <f ca="1">IF(G26=1,F26*D26/2,IF(G26="2a",F26*5/8*D26,IF(G26="2b",F26*3/8*D26,0)))</f>
        <v>0</v>
      </c>
      <c r="AD30" s="61">
        <f ca="1"/>
        <v>0</v>
      </c>
      <c r="AE30" s="7">
        <f t="shared" ref="AE30:BR30" ca="1" si="56">IF(ABS($F28)=AE$1,SIGN($F28),0)</f>
        <v>0</v>
      </c>
      <c r="AF30" s="1">
        <f t="shared" ca="1" si="56"/>
        <v>0</v>
      </c>
      <c r="AG30" s="1">
        <f t="shared" ca="1" si="56"/>
        <v>0</v>
      </c>
      <c r="AH30" s="1">
        <f t="shared" ca="1" si="56"/>
        <v>0</v>
      </c>
      <c r="AI30" s="1">
        <f t="shared" ca="1" si="56"/>
        <v>0</v>
      </c>
      <c r="AJ30" s="26">
        <f t="shared" ca="1" si="56"/>
        <v>0</v>
      </c>
      <c r="AK30" s="26">
        <f t="shared" ca="1" si="56"/>
        <v>0</v>
      </c>
      <c r="AL30" s="26">
        <f t="shared" ca="1" si="56"/>
        <v>0</v>
      </c>
      <c r="AM30" s="26">
        <f t="shared" ca="1" si="56"/>
        <v>0</v>
      </c>
      <c r="AN30" s="26">
        <f t="shared" ca="1" si="56"/>
        <v>0</v>
      </c>
      <c r="AO30" s="26">
        <f t="shared" ca="1" si="56"/>
        <v>0</v>
      </c>
      <c r="AP30" s="26">
        <f t="shared" ca="1" si="56"/>
        <v>0</v>
      </c>
      <c r="AQ30" s="26">
        <f t="shared" ca="1" si="56"/>
        <v>0</v>
      </c>
      <c r="AR30" s="26">
        <f t="shared" ca="1" si="56"/>
        <v>0</v>
      </c>
      <c r="AS30" s="26">
        <f t="shared" ca="1" si="56"/>
        <v>0</v>
      </c>
      <c r="AT30" s="26">
        <f t="shared" ca="1" si="56"/>
        <v>0</v>
      </c>
      <c r="AU30" s="26">
        <f t="shared" ca="1" si="56"/>
        <v>0</v>
      </c>
      <c r="AV30" s="26">
        <f t="shared" ca="1" si="56"/>
        <v>0</v>
      </c>
      <c r="AW30" s="26">
        <f t="shared" ca="1" si="56"/>
        <v>0</v>
      </c>
      <c r="AX30" s="26">
        <f t="shared" ca="1" si="56"/>
        <v>0</v>
      </c>
      <c r="AY30" s="26">
        <f t="shared" ca="1" si="56"/>
        <v>0</v>
      </c>
      <c r="AZ30" s="26">
        <f t="shared" ca="1" si="56"/>
        <v>0</v>
      </c>
      <c r="BA30" s="26">
        <f t="shared" ca="1" si="56"/>
        <v>0</v>
      </c>
      <c r="BB30" s="26">
        <f t="shared" ca="1" si="56"/>
        <v>0</v>
      </c>
      <c r="BC30" s="26">
        <f t="shared" ca="1" si="56"/>
        <v>0</v>
      </c>
      <c r="BD30" s="26">
        <f t="shared" ca="1" si="56"/>
        <v>0</v>
      </c>
      <c r="BE30" s="26">
        <f t="shared" ca="1" si="56"/>
        <v>0</v>
      </c>
      <c r="BF30" s="26">
        <f t="shared" ca="1" si="56"/>
        <v>0</v>
      </c>
      <c r="BG30" s="26">
        <f t="shared" ca="1" si="56"/>
        <v>0</v>
      </c>
      <c r="BH30" s="26">
        <f t="shared" ca="1" si="56"/>
        <v>0</v>
      </c>
      <c r="BI30" s="26">
        <f t="shared" ca="1" si="56"/>
        <v>0</v>
      </c>
      <c r="BJ30" s="26">
        <f t="shared" ca="1" si="56"/>
        <v>0</v>
      </c>
      <c r="BK30" s="26">
        <f t="shared" ca="1" si="56"/>
        <v>0</v>
      </c>
      <c r="BL30" s="26">
        <f t="shared" ca="1" si="56"/>
        <v>0</v>
      </c>
      <c r="BM30" s="26">
        <f t="shared" ca="1" si="56"/>
        <v>0</v>
      </c>
      <c r="BN30" s="26">
        <f t="shared" ca="1" si="56"/>
        <v>0</v>
      </c>
      <c r="BO30" s="26">
        <f t="shared" ca="1" si="56"/>
        <v>0</v>
      </c>
      <c r="BP30" s="26">
        <f t="shared" ca="1" si="56"/>
        <v>0</v>
      </c>
      <c r="BQ30" s="26">
        <f t="shared" ca="1" si="56"/>
        <v>0</v>
      </c>
      <c r="BR30" s="26">
        <f t="shared" ca="1" si="56"/>
        <v>0</v>
      </c>
      <c r="BS30" s="282">
        <f ca="1">IF(ISNUMBER($A26),IF(INDEX(B28:G28,5)&lt;&gt;0,SIGN(INDEX(B28:G28,5))*INDIRECT(ADDRESS(1+ABS(INDEX(B28:G28,5)),COLUMN(Ksys!$B$1),1,TRUE,"Ksys")),0)+AB30,0)</f>
        <v>0</v>
      </c>
      <c r="BT30" s="61">
        <f ca="1"/>
        <v>0</v>
      </c>
      <c r="BU30" s="61">
        <f ca="1"/>
        <v>0</v>
      </c>
      <c r="BV30" s="61">
        <f ca="1"/>
        <v>0</v>
      </c>
      <c r="BW30" s="296" t="s">
        <v>102</v>
      </c>
      <c r="BX30" s="216">
        <f ca="1">IF(ISNUMBER($A26),$B27*(1-BX$1) + $C27*BX$1 + Knoten!$S$5*BX28,KnotenData!$H$2)</f>
        <v>0.5</v>
      </c>
      <c r="BY30" s="206">
        <f ca="1">IF(ISNUMBER($A26),$B27*(1-BY$1) + $C27*BY$1 + Knoten!$S$5*BY28,KnotenData!$H$2)</f>
        <v>0.5</v>
      </c>
      <c r="BZ30" s="206">
        <f ca="1">IF(ISNUMBER($A26),$B27*(1-BZ$1) + $C27*BZ$1 + Knoten!$S$5*BZ28,KnotenData!$H$2)</f>
        <v>0.5</v>
      </c>
      <c r="CA30" s="206">
        <f ca="1">IF(ISNUMBER($A26),$B27*(1-CA$1) + $C27*CA$1 + Knoten!$S$5*CA28,KnotenData!$H$2)</f>
        <v>0.5</v>
      </c>
      <c r="CB30" s="206">
        <f ca="1">IF(ISNUMBER($A26),$B27*(1-CB$1) + $C27*CB$1 + Knoten!$S$5*CB28,KnotenData!$H$2)</f>
        <v>0.5</v>
      </c>
      <c r="CC30" s="206">
        <f ca="1">IF(ISNUMBER($A26),$B27*(1-CC$1) + $C27*CC$1 + Knoten!$S$5*CC28,KnotenData!$H$2)</f>
        <v>0.5</v>
      </c>
      <c r="CD30" s="206">
        <f ca="1">IF(ISNUMBER($A26),$B27*(1-CD$1) + $C27*CD$1 + Knoten!$S$5*CD28,KnotenData!$H$2)</f>
        <v>0.5</v>
      </c>
      <c r="CE30" s="206">
        <f ca="1">IF(ISNUMBER($A26),$B27*(1-CE$1) + $C27*CE$1 + Knoten!$S$5*CE28,KnotenData!$H$2)</f>
        <v>0.5</v>
      </c>
      <c r="CF30" s="206">
        <f ca="1">IF(ISNUMBER($A26),$B27*(1-CF$1) + $C27*CF$1 + Knoten!$S$5*CF28,KnotenData!$H$2)</f>
        <v>0.5</v>
      </c>
      <c r="CG30" s="206">
        <f ca="1">IF(ISNUMBER($A26),$B27*(1-CG$1) + $C27*CG$1 + Knoten!$S$5*CG28,KnotenData!$H$2)</f>
        <v>0.5</v>
      </c>
      <c r="CH30" s="217">
        <f ca="1">IF(ISNUMBER($A26),$B27*(1-CH$1) + $C27*CH$1 + Knoten!$S$5*CH28,KnotenData!$H$2)</f>
        <v>0.5</v>
      </c>
      <c r="CI30" s="447">
        <f ca="1">MIN(BX30:CH30)</f>
        <v>0.5</v>
      </c>
      <c r="CJ30" s="447">
        <f ca="1">MIN(BX31:CH31)</f>
        <v>0.47499999999999998</v>
      </c>
      <c r="CK30" s="445"/>
      <c r="CL30" s="12"/>
      <c r="CM30" s="293" t="s">
        <v>102</v>
      </c>
      <c r="CN30" s="216">
        <f ca="1">IF(ISNUMBER($A26),$B27*(1-CN$1) + $C27*CN$1 + Momente!$D$6*CN28,KnotenData!$H$2)</f>
        <v>0.5</v>
      </c>
      <c r="CO30" s="206">
        <f ca="1">IF(ISNUMBER($A26),$B27*(1-CO$1) + $C27*CO$1 + Momente!$D$6*CO28,KnotenData!$H$2)</f>
        <v>0.5</v>
      </c>
      <c r="CP30" s="206">
        <f ca="1">IF(ISNUMBER($A26),$B27*(1-CP$1) + $C27*CP$1 + Momente!$D$6*CP28,KnotenData!$H$2)</f>
        <v>0.5</v>
      </c>
      <c r="CQ30" s="206">
        <f ca="1">IF(ISNUMBER($A26),$B27*(1-CQ$1) + $C27*CQ$1 + Momente!$D$6*CQ28,KnotenData!$H$2)</f>
        <v>0.5</v>
      </c>
      <c r="CR30" s="206">
        <f ca="1">IF(ISNUMBER($A26),$B27*(1-CR$1) + $C27*CR$1 + Momente!$D$6*CR28,KnotenData!$H$2)</f>
        <v>0.5</v>
      </c>
      <c r="CS30" s="206">
        <f ca="1">IF(ISNUMBER($A26),$B27*(1-CS$1) + $C27*CS$1 + Momente!$D$6*CS28,KnotenData!$H$2)</f>
        <v>0.5</v>
      </c>
      <c r="CT30" s="206">
        <f ca="1">IF(ISNUMBER($A26),$B27*(1-CT$1) + $C27*CT$1 + Momente!$D$6*CT28,KnotenData!$H$2)</f>
        <v>0.5</v>
      </c>
      <c r="CU30" s="206">
        <f ca="1">IF(ISNUMBER($A26),$B27*(1-CU$1) + $C27*CU$1 + Momente!$D$6*CU28,KnotenData!$H$2)</f>
        <v>0.5</v>
      </c>
      <c r="CV30" s="206">
        <f ca="1">IF(ISNUMBER($A26),$B27*(1-CV$1) + $C27*CV$1 + Momente!$D$6*CV28,KnotenData!$H$2)</f>
        <v>0.5</v>
      </c>
      <c r="CW30" s="206">
        <f ca="1">IF(ISNUMBER($A26),$B27*(1-CW$1) + $C27*CW$1 + Momente!$D$6*CW28,KnotenData!$H$2)</f>
        <v>0.5</v>
      </c>
      <c r="CX30" s="206">
        <f ca="1">IF(ISNUMBER($A26),$B27*(1-CX$1) + $C27*CX$1 + Momente!$D$6*CX28,KnotenData!$H$2)</f>
        <v>0.5</v>
      </c>
      <c r="CY30" s="206">
        <f ca="1">IF(ISNUMBER($A26),$C27,KnotenData!$H$2)</f>
        <v>0.5</v>
      </c>
      <c r="CZ30" s="206">
        <f ca="1">IF(ISNUMBER($A26),$B27,KnotenData!$H$2)</f>
        <v>0.5</v>
      </c>
      <c r="DA30" s="305">
        <f ca="1">IF(ISNUMBER($A26),CN30,KnotenData!$H$2)</f>
        <v>0.5</v>
      </c>
      <c r="DB30" s="7">
        <f ca="1">MIN(CN30:DA30)</f>
        <v>0.5</v>
      </c>
      <c r="DC30" s="8">
        <f ca="1">MIN(CN31:DA31)</f>
        <v>0.47499999999999998</v>
      </c>
      <c r="DD30" s="345"/>
      <c r="DE30" s="12"/>
      <c r="DF30" s="293" t="s">
        <v>102</v>
      </c>
      <c r="DG30" s="216">
        <f ca="1">IF(ISNUMBER($A26),$B27*(1-DG$1) + $C27*DG$1 + Querkräfte!$D$6*DG28,KnotenData!$H$2)</f>
        <v>0.5</v>
      </c>
      <c r="DH30" s="206">
        <f ca="1">IF(ISNUMBER($A26),$B27*(1-DH$1) + $C27*DH$1 + Querkräfte!$D$6*DH28,KnotenData!$H$2)</f>
        <v>0.5</v>
      </c>
      <c r="DI30" s="206">
        <f ca="1">IF(ISNUMBER($A26),$B27*(1-DI$1) + $C27*DI$1 + Querkräfte!$D$6*DI28,KnotenData!$H$2)</f>
        <v>0.5</v>
      </c>
      <c r="DJ30" s="206">
        <f ca="1">IF(ISNUMBER($A26),$B27*(1-DJ$1) + $C27*DJ$1 + Querkräfte!$D$6*DJ28,KnotenData!$H$2)</f>
        <v>0.5</v>
      </c>
      <c r="DK30" s="206">
        <f ca="1">IF(ISNUMBER($A26),$B27*(1-DK$1) + $C27*DK$1 + Querkräfte!$D$6*DK28,KnotenData!$H$2)</f>
        <v>0.5</v>
      </c>
      <c r="DL30" s="206">
        <f ca="1">IF(ISNUMBER($A26),$B27*(1-DL$1) + $C27*DL$1 + Querkräfte!$D$6*DL28,KnotenData!$H$2)</f>
        <v>0.5</v>
      </c>
      <c r="DM30" s="206">
        <f ca="1">IF(ISNUMBER($A26),$B27*(1-DM$1) + $C27*DM$1 + Querkräfte!$D$6*DM28,KnotenData!$H$2)</f>
        <v>0.5</v>
      </c>
      <c r="DN30" s="206">
        <f ca="1">IF(ISNUMBER($A26),$B27*(1-DN$1) + $C27*DN$1 + Querkräfte!$D$6*DN28,KnotenData!$H$2)</f>
        <v>0.5</v>
      </c>
      <c r="DO30" s="206">
        <f ca="1">IF(ISNUMBER($A26),$B27*(1-DO$1) + $C27*DO$1 + Querkräfte!$D$6*DO28,KnotenData!$H$2)</f>
        <v>0.5</v>
      </c>
      <c r="DP30" s="206">
        <f ca="1">IF(ISNUMBER($A26),$B27*(1-DP$1) + $C27*DP$1 + Querkräfte!$D$6*DP28,KnotenData!$H$2)</f>
        <v>0.5</v>
      </c>
      <c r="DQ30" s="206">
        <f ca="1">IF(ISNUMBER($A26),$B27*(1-DQ$1) + $C27*DQ$1 + Querkräfte!$D$6*DQ28,KnotenData!$H$2)</f>
        <v>0.5</v>
      </c>
      <c r="DR30" s="206">
        <f ca="1">IF(ISNUMBER($A26),$C27,KnotenData!$H$2)</f>
        <v>0.5</v>
      </c>
      <c r="DS30" s="206">
        <f ca="1">IF(ISNUMBER($A26),$B27,KnotenData!$H$2)</f>
        <v>0.5</v>
      </c>
      <c r="DT30" s="217">
        <f ca="1">IF(ISNUMBER($A26),DG30,KnotenData!$H$2)</f>
        <v>0.5</v>
      </c>
      <c r="DU30" s="145">
        <f ca="1">MIN(DG30:DQ30)</f>
        <v>0.5</v>
      </c>
      <c r="DV30" s="8">
        <f ca="1">MIN(DG31:DQ31)</f>
        <v>0.47499999999999998</v>
      </c>
      <c r="DW30" s="345"/>
      <c r="DX30" s="12"/>
      <c r="DY30" s="293" t="s">
        <v>102</v>
      </c>
      <c r="DZ30" s="216">
        <f ca="1">IF(ISNUMBER($A26),$B27*(1-DZ$1) + $C27*DZ$1 + Normalkräfte!$D$6*DZ28,KnotenData!$H$2)</f>
        <v>0.5</v>
      </c>
      <c r="EA30" s="206">
        <f ca="1">IF(ISNUMBER($A26),$B27*(1-EA$1) + $C27*EA$1 + Normalkräfte!$D$6*EA28,KnotenData!$H$2)</f>
        <v>0.5</v>
      </c>
      <c r="EB30" s="206">
        <f ca="1">IF(ISNUMBER($A26),$B27*(1-EB$1) + $C27*EB$1 + Normalkräfte!$D$6*EB28,KnotenData!$H$2)</f>
        <v>0.5</v>
      </c>
      <c r="EC30" s="206">
        <f ca="1">IF(ISNUMBER($A26),$B27*(1-EC$1) + $C27*EC$1 + Normalkräfte!$D$6*EC28,KnotenData!$H$2)</f>
        <v>0.5</v>
      </c>
      <c r="ED30" s="206">
        <f ca="1">IF(ISNUMBER($A26),$B27*(1-ED$1) + $C27*ED$1 + Normalkräfte!$D$6*ED28,KnotenData!$H$2)</f>
        <v>0.5</v>
      </c>
      <c r="EE30" s="206">
        <f ca="1">IF(ISNUMBER($A26),$B27*(1-EE$1) + $C27*EE$1 + Normalkräfte!$D$6*EE28,KnotenData!$H$2)</f>
        <v>0.5</v>
      </c>
      <c r="EF30" s="206">
        <f ca="1">IF(ISNUMBER($A26),$B27*(1-EF$1) + $C27*EF$1 + Normalkräfte!$D$6*EF28,KnotenData!$H$2)</f>
        <v>0.5</v>
      </c>
      <c r="EG30" s="206">
        <f ca="1">IF(ISNUMBER($A26),$B27*(1-EG$1) + $C27*EG$1 + Normalkräfte!$D$6*EG28,KnotenData!$H$2)</f>
        <v>0.5</v>
      </c>
      <c r="EH30" s="206">
        <f ca="1">IF(ISNUMBER($A26),$B27*(1-EH$1) + $C27*EH$1 + Normalkräfte!$D$6*EH28,KnotenData!$H$2)</f>
        <v>0.5</v>
      </c>
      <c r="EI30" s="206">
        <f ca="1">IF(ISNUMBER($A26),$B27*(1-EI$1) + $C27*EI$1 + Normalkräfte!$D$6*EI28,KnotenData!$H$2)</f>
        <v>0.5</v>
      </c>
      <c r="EJ30" s="206">
        <f ca="1">IF(ISNUMBER($A26),$B27*(1-EJ$1) + $C27*EJ$1 + Normalkräfte!$D$6*EJ28,KnotenData!$H$2)</f>
        <v>0.5</v>
      </c>
      <c r="EK30" s="256">
        <f ca="1">IF(ISNUMBER($A26),$C27,KnotenData!$H$2)</f>
        <v>0.5</v>
      </c>
      <c r="EL30" s="206">
        <f ca="1">IF(ISNUMBER($A26),$B27,KnotenData!$H$2)</f>
        <v>0.5</v>
      </c>
      <c r="EM30" s="217">
        <f ca="1">IF(ISNUMBER($A26),DZ30,KnotenData!$H$2)</f>
        <v>0.5</v>
      </c>
      <c r="EN30" s="7">
        <f ca="1">MIN(DZ30:EJ30)</f>
        <v>0.5</v>
      </c>
      <c r="EO30" s="8">
        <f ca="1">MIN(DZ31:EJ31)</f>
        <v>0.47499999999999998</v>
      </c>
      <c r="EP30" s="345"/>
    </row>
    <row r="31" spans="1:146" ht="13.5" thickBot="1" x14ac:dyDescent="0.25">
      <c r="E31" s="12"/>
      <c r="F31" s="12"/>
      <c r="J31" s="9">
        <v>0</v>
      </c>
      <c r="K31" s="10">
        <f ca="1">IF(G26=1,-6*B26/D26^2,IF(G26="2a",-3*B26/D26^2,IF(G26="2b",0,0)))</f>
        <v>0</v>
      </c>
      <c r="L31" s="146">
        <f ca="1">IF(G26=1,2*B26/D26,IF(G26="2a",0,IF(G26="2b",0,0)))</f>
        <v>0</v>
      </c>
      <c r="M31" s="9">
        <v>0</v>
      </c>
      <c r="N31" s="10">
        <f ca="1">-K31</f>
        <v>0</v>
      </c>
      <c r="O31" s="181">
        <f ca="1">IF(G26=1,4*B26/D26,IF(G26="2a",3*B26/D26,IF(G26="2b",0,0)))</f>
        <v>0</v>
      </c>
      <c r="P31" s="185">
        <v>0</v>
      </c>
      <c r="Q31" s="103">
        <v>0</v>
      </c>
      <c r="R31" s="103">
        <v>0</v>
      </c>
      <c r="S31" s="111">
        <v>0</v>
      </c>
      <c r="T31" s="111">
        <v>0</v>
      </c>
      <c r="U31" s="112">
        <v>1</v>
      </c>
      <c r="V31" s="9">
        <f ca="1"/>
        <v>0</v>
      </c>
      <c r="W31" s="10">
        <f ca="1"/>
        <v>0</v>
      </c>
      <c r="X31" s="146">
        <f ca="1"/>
        <v>0</v>
      </c>
      <c r="Y31" s="9">
        <f ca="1"/>
        <v>0</v>
      </c>
      <c r="Z31" s="10">
        <f ca="1"/>
        <v>0</v>
      </c>
      <c r="AA31" s="181">
        <f ca="1"/>
        <v>0</v>
      </c>
      <c r="AB31" s="62">
        <f ca="1">IF(ISNUMBER($A26),INDIRECT("System!" &amp; ADDRESS(A26+1,COLUMN(System!X25))),0)</f>
        <v>0</v>
      </c>
      <c r="AC31" s="302">
        <f ca="1">IF(G26=1,F26*D26^2/12,IF(G26="2a",F26*D26^2/8,IF(G26="2b",0,0)))</f>
        <v>0</v>
      </c>
      <c r="AD31" s="62">
        <f ca="1"/>
        <v>0</v>
      </c>
      <c r="AE31" s="9">
        <f t="shared" ref="AE31:BR31" ca="1" si="57">IF(ABS($G28)=AE$1,SIGN($G28),0)</f>
        <v>0</v>
      </c>
      <c r="AF31" s="10">
        <f t="shared" ca="1" si="57"/>
        <v>0</v>
      </c>
      <c r="AG31" s="10">
        <f t="shared" ca="1" si="57"/>
        <v>0</v>
      </c>
      <c r="AH31" s="10">
        <f t="shared" ca="1" si="57"/>
        <v>0</v>
      </c>
      <c r="AI31" s="10">
        <f t="shared" ca="1" si="57"/>
        <v>0</v>
      </c>
      <c r="AJ31" s="188">
        <f t="shared" ca="1" si="57"/>
        <v>0</v>
      </c>
      <c r="AK31" s="188">
        <f t="shared" ca="1" si="57"/>
        <v>0</v>
      </c>
      <c r="AL31" s="188">
        <f t="shared" ca="1" si="57"/>
        <v>0</v>
      </c>
      <c r="AM31" s="188">
        <f t="shared" ca="1" si="57"/>
        <v>0</v>
      </c>
      <c r="AN31" s="188">
        <f t="shared" ca="1" si="57"/>
        <v>0</v>
      </c>
      <c r="AO31" s="188">
        <f t="shared" ca="1" si="57"/>
        <v>0</v>
      </c>
      <c r="AP31" s="188">
        <f t="shared" ca="1" si="57"/>
        <v>0</v>
      </c>
      <c r="AQ31" s="188">
        <f t="shared" ca="1" si="57"/>
        <v>0</v>
      </c>
      <c r="AR31" s="188">
        <f t="shared" ca="1" si="57"/>
        <v>0</v>
      </c>
      <c r="AS31" s="188">
        <f t="shared" ca="1" si="57"/>
        <v>0</v>
      </c>
      <c r="AT31" s="188">
        <f t="shared" ca="1" si="57"/>
        <v>0</v>
      </c>
      <c r="AU31" s="188">
        <f t="shared" ca="1" si="57"/>
        <v>0</v>
      </c>
      <c r="AV31" s="188">
        <f t="shared" ca="1" si="57"/>
        <v>0</v>
      </c>
      <c r="AW31" s="188">
        <f t="shared" ca="1" si="57"/>
        <v>0</v>
      </c>
      <c r="AX31" s="188">
        <f t="shared" ca="1" si="57"/>
        <v>0</v>
      </c>
      <c r="AY31" s="188">
        <f t="shared" ca="1" si="57"/>
        <v>0</v>
      </c>
      <c r="AZ31" s="188">
        <f t="shared" ca="1" si="57"/>
        <v>0</v>
      </c>
      <c r="BA31" s="188">
        <f t="shared" ca="1" si="57"/>
        <v>0</v>
      </c>
      <c r="BB31" s="188">
        <f t="shared" ca="1" si="57"/>
        <v>0</v>
      </c>
      <c r="BC31" s="188">
        <f t="shared" ca="1" si="57"/>
        <v>0</v>
      </c>
      <c r="BD31" s="188">
        <f t="shared" ca="1" si="57"/>
        <v>0</v>
      </c>
      <c r="BE31" s="188">
        <f t="shared" ca="1" si="57"/>
        <v>0</v>
      </c>
      <c r="BF31" s="188">
        <f t="shared" ca="1" si="57"/>
        <v>0</v>
      </c>
      <c r="BG31" s="188">
        <f t="shared" ca="1" si="57"/>
        <v>0</v>
      </c>
      <c r="BH31" s="188">
        <f t="shared" ca="1" si="57"/>
        <v>0</v>
      </c>
      <c r="BI31" s="188">
        <f t="shared" ca="1" si="57"/>
        <v>0</v>
      </c>
      <c r="BJ31" s="188">
        <f t="shared" ca="1" si="57"/>
        <v>0</v>
      </c>
      <c r="BK31" s="188">
        <f t="shared" ca="1" si="57"/>
        <v>0</v>
      </c>
      <c r="BL31" s="188">
        <f t="shared" ca="1" si="57"/>
        <v>0</v>
      </c>
      <c r="BM31" s="188">
        <f t="shared" ca="1" si="57"/>
        <v>0</v>
      </c>
      <c r="BN31" s="188">
        <f t="shared" ca="1" si="57"/>
        <v>0</v>
      </c>
      <c r="BO31" s="188">
        <f t="shared" ca="1" si="57"/>
        <v>0</v>
      </c>
      <c r="BP31" s="188">
        <f t="shared" ca="1" si="57"/>
        <v>0</v>
      </c>
      <c r="BQ31" s="188">
        <f t="shared" ca="1" si="57"/>
        <v>0</v>
      </c>
      <c r="BR31" s="188">
        <f t="shared" ca="1" si="57"/>
        <v>0</v>
      </c>
      <c r="BS31" s="283">
        <f ca="1">IF(ISNUMBER($A26),IF(INDEX(B28:G28,6)&lt;&gt;0,SIGN(INDEX(B28:G28,6))*INDIRECT(ADDRESS(1+ABS(INDEX(B28:G28,6)),COLUMN(Ksys!$B$1),1,TRUE,"Ksys")),0)+AB31,0)</f>
        <v>0</v>
      </c>
      <c r="BT31" s="62">
        <f ca="1"/>
        <v>0</v>
      </c>
      <c r="BU31" s="62">
        <f ca="1"/>
        <v>0</v>
      </c>
      <c r="BV31" s="62">
        <f ca="1"/>
        <v>0</v>
      </c>
      <c r="BW31" s="297" t="s">
        <v>103</v>
      </c>
      <c r="BX31" s="218">
        <f ca="1">IF(ISNUMBER($A26),$D27*(1-BX$1) + $E27*BX$1 + Knoten!$S$5*BX29,KnotenData!$H$3)</f>
        <v>0.47499999999999998</v>
      </c>
      <c r="BY31" s="295">
        <f ca="1">IF(ISNUMBER($A26),$D27*(1-BY$1) + $E27*BY$1 + Knoten!$S$5*BY29,KnotenData!$H$3)</f>
        <v>0.47499999999999998</v>
      </c>
      <c r="BZ31" s="295">
        <f ca="1">IF(ISNUMBER($A26),$D27*(1-BZ$1) + $E27*BZ$1 + Knoten!$S$5*BZ29,KnotenData!$H$3)</f>
        <v>0.47499999999999998</v>
      </c>
      <c r="CA31" s="295">
        <f ca="1">IF(ISNUMBER($A26),$D27*(1-CA$1) + $E27*CA$1 + Knoten!$S$5*CA29,KnotenData!$H$3)</f>
        <v>0.47499999999999998</v>
      </c>
      <c r="CB31" s="295">
        <f ca="1">IF(ISNUMBER($A26),$D27*(1-CB$1) + $E27*CB$1 + Knoten!$S$5*CB29,KnotenData!$H$3)</f>
        <v>0.47499999999999998</v>
      </c>
      <c r="CC31" s="295">
        <f ca="1">IF(ISNUMBER($A26),$D27*(1-CC$1) + $E27*CC$1 + Knoten!$S$5*CC29,KnotenData!$H$3)</f>
        <v>0.47499999999999998</v>
      </c>
      <c r="CD31" s="295">
        <f ca="1">IF(ISNUMBER($A26),$D27*(1-CD$1) + $E27*CD$1 + Knoten!$S$5*CD29,KnotenData!$H$3)</f>
        <v>0.47499999999999998</v>
      </c>
      <c r="CE31" s="295">
        <f ca="1">IF(ISNUMBER($A26),$D27*(1-CE$1) + $E27*CE$1 + Knoten!$S$5*CE29,KnotenData!$H$3)</f>
        <v>0.47499999999999998</v>
      </c>
      <c r="CF31" s="295">
        <f ca="1">IF(ISNUMBER($A26),$D27*(1-CF$1) + $E27*CF$1 + Knoten!$S$5*CF29,KnotenData!$H$3)</f>
        <v>0.47499999999999998</v>
      </c>
      <c r="CG31" s="295">
        <f ca="1">IF(ISNUMBER($A26),$D27*(1-CG$1) + $E27*CG$1 + Knoten!$S$5*CG29,KnotenData!$H$3)</f>
        <v>0.47499999999999998</v>
      </c>
      <c r="CH31" s="219">
        <f ca="1">IF(ISNUMBER($A26),$D27*(1-CH$1) + $E27*CH$1 + Knoten!$S$5*CH29,KnotenData!$H$3)</f>
        <v>0.47499999999999998</v>
      </c>
      <c r="CI31" s="449">
        <f ca="1">MAX(BX30:CH30)</f>
        <v>0.5</v>
      </c>
      <c r="CJ31" s="448">
        <f ca="1">MAX(BX31:CH31)</f>
        <v>0.47499999999999998</v>
      </c>
      <c r="CK31" s="446"/>
      <c r="CL31" s="12">
        <v>5</v>
      </c>
      <c r="CM31" s="294" t="s">
        <v>103</v>
      </c>
      <c r="CN31" s="218">
        <f ca="1">IF(ISNUMBER($A26),$D27*(1-CN$1) + $E27*CN$1 + Momente!$D$6*CN29,KnotenData!$H$3)</f>
        <v>0.47499999999999998</v>
      </c>
      <c r="CO31" s="295">
        <f ca="1">IF(ISNUMBER($A26),$D27*(1-CO$1) + $E27*CO$1 + Momente!$D$6*CO29,KnotenData!$H$3)</f>
        <v>0.47499999999999998</v>
      </c>
      <c r="CP31" s="295">
        <f ca="1">IF(ISNUMBER($A26),$D27*(1-CP$1) + $E27*CP$1 + Momente!$D$6*CP29,KnotenData!$H$3)</f>
        <v>0.47499999999999998</v>
      </c>
      <c r="CQ31" s="295">
        <f ca="1">IF(ISNUMBER($A26),$D27*(1-CQ$1) + $E27*CQ$1 + Momente!$D$6*CQ29,KnotenData!$H$3)</f>
        <v>0.47499999999999998</v>
      </c>
      <c r="CR31" s="295">
        <f ca="1">IF(ISNUMBER($A26),$D27*(1-CR$1) + $E27*CR$1 + Momente!$D$6*CR29,KnotenData!$H$3)</f>
        <v>0.47499999999999998</v>
      </c>
      <c r="CS31" s="295">
        <f ca="1">IF(ISNUMBER($A26),$D27*(1-CS$1) + $E27*CS$1 + Momente!$D$6*CS29,KnotenData!$H$3)</f>
        <v>0.47499999999999998</v>
      </c>
      <c r="CT31" s="295">
        <f ca="1">IF(ISNUMBER($A26),$D27*(1-CT$1) + $E27*CT$1 + Momente!$D$6*CT29,KnotenData!$H$3)</f>
        <v>0.47499999999999998</v>
      </c>
      <c r="CU31" s="295">
        <f ca="1">IF(ISNUMBER($A26),$D27*(1-CU$1) + $E27*CU$1 + Momente!$D$6*CU29,KnotenData!$H$3)</f>
        <v>0.47499999999999998</v>
      </c>
      <c r="CV31" s="295">
        <f ca="1">IF(ISNUMBER($A26),$D27*(1-CV$1) + $E27*CV$1 + Momente!$D$6*CV29,KnotenData!$H$3)</f>
        <v>0.47499999999999998</v>
      </c>
      <c r="CW31" s="295">
        <f ca="1">IF(ISNUMBER($A26),$D27*(1-CW$1) + $E27*CW$1 + Momente!$D$6*CW29,KnotenData!$H$3)</f>
        <v>0.47499999999999998</v>
      </c>
      <c r="CX31" s="295">
        <f ca="1">IF(ISNUMBER($A26),$D27*(1-CX$1) + $E27*CX$1 + Momente!$D$6*CX29,KnotenData!$H$3)</f>
        <v>0.47499999999999998</v>
      </c>
      <c r="CY31" s="295">
        <f ca="1">IF(ISNUMBER($A26),$E27,KnotenData!$H$3)</f>
        <v>0.47499999999999998</v>
      </c>
      <c r="CZ31" s="295">
        <f ca="1">IF(ISNUMBER($A26),$D27,KnotenData!$H$3)</f>
        <v>0.47499999999999998</v>
      </c>
      <c r="DA31" s="306">
        <f ca="1">IF(ISNUMBER($A26),CN31,KnotenData!$H$3)</f>
        <v>0.47499999999999998</v>
      </c>
      <c r="DB31" s="9">
        <f ca="1">MAX(CN30:DA30)</f>
        <v>0.5</v>
      </c>
      <c r="DC31" s="146">
        <f ca="1">MAX(CN31:DA31)</f>
        <v>0.47499999999999998</v>
      </c>
      <c r="DD31" s="346"/>
      <c r="DE31" s="12">
        <v>5</v>
      </c>
      <c r="DF31" s="294" t="s">
        <v>103</v>
      </c>
      <c r="DG31" s="218">
        <f ca="1">IF(ISNUMBER($A26),$D27*(1-DG$1) + $E27*DG$1 + Querkräfte!$D$6*DG29,KnotenData!$H$3)</f>
        <v>0.47499999999999998</v>
      </c>
      <c r="DH31" s="295">
        <f ca="1">IF(ISNUMBER($A26),$D27*(1-DH$1) + $E27*DH$1 + Querkräfte!$D$6*DH29,KnotenData!$H$3)</f>
        <v>0.47499999999999998</v>
      </c>
      <c r="DI31" s="295">
        <f ca="1">IF(ISNUMBER($A26),$D27*(1-DI$1) + $E27*DI$1 + Querkräfte!$D$6*DI29,KnotenData!$H$3)</f>
        <v>0.47499999999999998</v>
      </c>
      <c r="DJ31" s="295">
        <f ca="1">IF(ISNUMBER($A26),$D27*(1-DJ$1) + $E27*DJ$1 + Querkräfte!$D$6*DJ29,KnotenData!$H$3)</f>
        <v>0.47499999999999998</v>
      </c>
      <c r="DK31" s="295">
        <f ca="1">IF(ISNUMBER($A26),$D27*(1-DK$1) + $E27*DK$1 + Querkräfte!$D$6*DK29,KnotenData!$H$3)</f>
        <v>0.47499999999999998</v>
      </c>
      <c r="DL31" s="295">
        <f ca="1">IF(ISNUMBER($A26),$D27*(1-DL$1) + $E27*DL$1 + Querkräfte!$D$6*DL29,KnotenData!$H$3)</f>
        <v>0.47499999999999998</v>
      </c>
      <c r="DM31" s="295">
        <f ca="1">IF(ISNUMBER($A26),$D27*(1-DM$1) + $E27*DM$1 + Querkräfte!$D$6*DM29,KnotenData!$H$3)</f>
        <v>0.47499999999999998</v>
      </c>
      <c r="DN31" s="295">
        <f ca="1">IF(ISNUMBER($A26),$D27*(1-DN$1) + $E27*DN$1 + Querkräfte!$D$6*DN29,KnotenData!$H$3)</f>
        <v>0.47499999999999998</v>
      </c>
      <c r="DO31" s="295">
        <f ca="1">IF(ISNUMBER($A26),$D27*(1-DO$1) + $E27*DO$1 + Querkräfte!$D$6*DO29,KnotenData!$H$3)</f>
        <v>0.47499999999999998</v>
      </c>
      <c r="DP31" s="295">
        <f ca="1">IF(ISNUMBER($A26),$D27*(1-DP$1) + $E27*DP$1 + Querkräfte!$D$6*DP29,KnotenData!$H$3)</f>
        <v>0.47499999999999998</v>
      </c>
      <c r="DQ31" s="295">
        <f ca="1">IF(ISNUMBER($A26),$D27*(1-DQ$1) + $E27*DQ$1 + Querkräfte!$D$6*DQ29,KnotenData!$H$3)</f>
        <v>0.47499999999999998</v>
      </c>
      <c r="DR31" s="295">
        <f ca="1">IF(ISNUMBER($A26),$E27,KnotenData!$H$3)</f>
        <v>0.47499999999999998</v>
      </c>
      <c r="DS31" s="295">
        <f ca="1">IF(ISNUMBER($A26),$D27,KnotenData!$H$3)</f>
        <v>0.47499999999999998</v>
      </c>
      <c r="DT31" s="219">
        <f ca="1">IF(ISNUMBER($A26),DG31,KnotenData!$H$3)</f>
        <v>0.47499999999999998</v>
      </c>
      <c r="DU31" s="11">
        <f ca="1">MAX(DG30:DQ30)</f>
        <v>0.5</v>
      </c>
      <c r="DV31" s="146">
        <f ca="1">MAX(DG31:DQ31)</f>
        <v>0.47499999999999998</v>
      </c>
      <c r="DW31" s="346"/>
      <c r="DX31" s="12">
        <v>5</v>
      </c>
      <c r="DY31" s="294" t="s">
        <v>103</v>
      </c>
      <c r="DZ31" s="218">
        <f ca="1">IF(ISNUMBER($A26),$D27*(1-DZ$1) + $E27*DZ$1 + Normalkräfte!$D$6*DZ29,KnotenData!$H$3)</f>
        <v>0.47499999999999998</v>
      </c>
      <c r="EA31" s="295">
        <f ca="1">IF(ISNUMBER($A26),$D27*(1-EA$1) + $E27*EA$1 + Normalkräfte!$D$6*EA29,KnotenData!$H$3)</f>
        <v>0.47499999999999998</v>
      </c>
      <c r="EB31" s="295">
        <f ca="1">IF(ISNUMBER($A26),$D27*(1-EB$1) + $E27*EB$1 + Normalkräfte!$D$6*EB29,KnotenData!$H$3)</f>
        <v>0.47499999999999998</v>
      </c>
      <c r="EC31" s="295">
        <f ca="1">IF(ISNUMBER($A26),$D27*(1-EC$1) + $E27*EC$1 + Normalkräfte!$D$6*EC29,KnotenData!$H$3)</f>
        <v>0.47499999999999998</v>
      </c>
      <c r="ED31" s="295">
        <f ca="1">IF(ISNUMBER($A26),$D27*(1-ED$1) + $E27*ED$1 + Normalkräfte!$D$6*ED29,KnotenData!$H$3)</f>
        <v>0.47499999999999998</v>
      </c>
      <c r="EE31" s="295">
        <f ca="1">IF(ISNUMBER($A26),$D27*(1-EE$1) + $E27*EE$1 + Normalkräfte!$D$6*EE29,KnotenData!$H$3)</f>
        <v>0.47499999999999998</v>
      </c>
      <c r="EF31" s="295">
        <f ca="1">IF(ISNUMBER($A26),$D27*(1-EF$1) + $E27*EF$1 + Normalkräfte!$D$6*EF29,KnotenData!$H$3)</f>
        <v>0.47499999999999998</v>
      </c>
      <c r="EG31" s="295">
        <f ca="1">IF(ISNUMBER($A26),$D27*(1-EG$1) + $E27*EG$1 + Normalkräfte!$D$6*EG29,KnotenData!$H$3)</f>
        <v>0.47499999999999998</v>
      </c>
      <c r="EH31" s="295">
        <f ca="1">IF(ISNUMBER($A26),$D27*(1-EH$1) + $E27*EH$1 + Normalkräfte!$D$6*EH29,KnotenData!$H$3)</f>
        <v>0.47499999999999998</v>
      </c>
      <c r="EI31" s="295">
        <f ca="1">IF(ISNUMBER($A26),$D27*(1-EI$1) + $E27*EI$1 + Normalkräfte!$D$6*EI29,KnotenData!$H$3)</f>
        <v>0.47499999999999998</v>
      </c>
      <c r="EJ31" s="295">
        <f ca="1">IF(ISNUMBER($A26),$D27*(1-EJ$1) + $E27*EJ$1 + Normalkräfte!$D$6*EJ29,KnotenData!$H$3)</f>
        <v>0.47499999999999998</v>
      </c>
      <c r="EK31" s="295">
        <f ca="1">IF(ISNUMBER($A26),$E27,KnotenData!$H$3)</f>
        <v>0.47499999999999998</v>
      </c>
      <c r="EL31" s="295">
        <f ca="1">IF(ISNUMBER($A26),$D27,KnotenData!$H$3)</f>
        <v>0.47499999999999998</v>
      </c>
      <c r="EM31" s="219">
        <f ca="1">IF(ISNUMBER($A26),DZ31,KnotenData!$H$3)</f>
        <v>0.47499999999999998</v>
      </c>
      <c r="EN31" s="9">
        <f ca="1">MAX(DZ30:EJ30)</f>
        <v>0.5</v>
      </c>
      <c r="EO31" s="146">
        <f ca="1">MAX(DZ31:EJ31)</f>
        <v>0.47499999999999998</v>
      </c>
      <c r="EP31" s="346"/>
    </row>
    <row r="32" spans="1:146" x14ac:dyDescent="0.2">
      <c r="A32" s="205" t="str">
        <f ca="1">IF(ISNUMBER(INDIRECT("System!C" &amp;(ROW(A32)+4)/6+1)),INDIRECT("System!B"&amp;(ROW(A32)+4)/6+1),"")</f>
        <v/>
      </c>
      <c r="B32" s="206">
        <f ca="1">IF(ISNUMBER(A32),INDIRECT("System!" &amp; ADDRESS(A32 +1,COLUMN(System!E31))),0)</f>
        <v>0</v>
      </c>
      <c r="C32" s="206">
        <f ca="1">IF(ISNUMBER(A32),INDIRECT("System!" &amp; ADDRESS(A32 +1,COLUMN(System!F31))),0)</f>
        <v>0</v>
      </c>
      <c r="D32" s="209">
        <f ca="1">IF(ISNUMBER(A32),INDIRECT("System!" &amp; ADDRESS(A32 +1,COLUMN(System!O31))),0)</f>
        <v>0</v>
      </c>
      <c r="E32" s="208" t="str">
        <f ca="1">IF(ISNUMBER(A32),INDIRECT("System!" &amp; ADDRESS(A32 +1,COLUMN(System!G31))),"")</f>
        <v/>
      </c>
      <c r="F32" s="208" t="str">
        <f ca="1">IF(ISNUMBER(A32),INDIRECT("System!" &amp; ADDRESS(A32 +1,COLUMN(System!H31))),"")</f>
        <v/>
      </c>
      <c r="G32" s="261" t="str">
        <f ca="1">IF(ISNUMBER(A32),INDIRECT("System!" &amp; ADDRESS(A32 +1,COLUMN(System!I31))),"")</f>
        <v/>
      </c>
      <c r="H32" s="207">
        <f ca="1">IF(ISNUMBER($A32),INDIRECT("System!" &amp; ADDRESS($A32 +1,COLUMN(System!Q31))),0)</f>
        <v>0</v>
      </c>
      <c r="I32" s="209">
        <f ca="1">IF(ISNUMBER($A32),INDIRECT("System!" &amp; ADDRESS($A32 +1,COLUMN(System!R31))),0)</f>
        <v>0</v>
      </c>
      <c r="J32" s="179">
        <f ca="1">IF(ISNUMBER(A32),C32/D32,0)</f>
        <v>0</v>
      </c>
      <c r="K32" s="5">
        <v>0</v>
      </c>
      <c r="L32" s="6">
        <v>0</v>
      </c>
      <c r="M32" s="4">
        <f ca="1">-J32</f>
        <v>0</v>
      </c>
      <c r="N32" s="5">
        <v>0</v>
      </c>
      <c r="O32" s="6">
        <v>0</v>
      </c>
      <c r="P32" s="141">
        <f ca="1">I32</f>
        <v>0</v>
      </c>
      <c r="Q32" s="142">
        <f ca="1">-H32</f>
        <v>0</v>
      </c>
      <c r="R32" s="142">
        <v>0</v>
      </c>
      <c r="S32" s="182">
        <v>0</v>
      </c>
      <c r="T32" s="182">
        <v>0</v>
      </c>
      <c r="U32" s="183">
        <v>0</v>
      </c>
      <c r="V32" s="179">
        <f t="array" aca="1" ref="V32:AA37" ca="1">MMULT(TRANSPOSE(P32:U37),MMULT(J32:O37,P32:U37))</f>
        <v>0</v>
      </c>
      <c r="W32" s="5">
        <f ca="1"/>
        <v>0</v>
      </c>
      <c r="X32" s="6">
        <f ca="1"/>
        <v>0</v>
      </c>
      <c r="Y32" s="4">
        <f ca="1"/>
        <v>0</v>
      </c>
      <c r="Z32" s="5">
        <f ca="1"/>
        <v>0</v>
      </c>
      <c r="AA32" s="6">
        <f ca="1"/>
        <v>0</v>
      </c>
      <c r="AB32" s="60">
        <f ca="1">IF(ISNUMBER($A32),INDIRECT("System!" &amp; ADDRESS(A32+1,COLUMN(System!S31))),0)</f>
        <v>0</v>
      </c>
      <c r="AC32" s="299">
        <f ca="1">IF(ISNUMBER(E32),E32*D32/2,0)</f>
        <v>0</v>
      </c>
      <c r="AD32" s="60">
        <f t="array" aca="1" ref="AD32:AD37" ca="1">MMULT(TRANSPOSE(P32:U37),AC32:AC37) - MMULT(V32:AA37,AB32:AB37)</f>
        <v>0</v>
      </c>
      <c r="AE32" s="4">
        <f t="shared" ref="AE32:BR32" ca="1" si="58">IF(ABS($B34)=AE$1,SIGN($B34),0)</f>
        <v>0</v>
      </c>
      <c r="AF32" s="5">
        <f t="shared" ca="1" si="58"/>
        <v>0</v>
      </c>
      <c r="AG32" s="5">
        <f t="shared" ca="1" si="58"/>
        <v>0</v>
      </c>
      <c r="AH32" s="5">
        <f t="shared" ca="1" si="58"/>
        <v>0</v>
      </c>
      <c r="AI32" s="5">
        <f t="shared" ca="1" si="58"/>
        <v>0</v>
      </c>
      <c r="AJ32" s="189">
        <f t="shared" ca="1" si="58"/>
        <v>0</v>
      </c>
      <c r="AK32" s="189">
        <f t="shared" ca="1" si="58"/>
        <v>0</v>
      </c>
      <c r="AL32" s="189">
        <f t="shared" ca="1" si="58"/>
        <v>0</v>
      </c>
      <c r="AM32" s="189">
        <f t="shared" ca="1" si="58"/>
        <v>0</v>
      </c>
      <c r="AN32" s="189">
        <f t="shared" ca="1" si="58"/>
        <v>0</v>
      </c>
      <c r="AO32" s="189">
        <f t="shared" ca="1" si="58"/>
        <v>0</v>
      </c>
      <c r="AP32" s="189">
        <f t="shared" ca="1" si="58"/>
        <v>0</v>
      </c>
      <c r="AQ32" s="189">
        <f t="shared" ca="1" si="58"/>
        <v>0</v>
      </c>
      <c r="AR32" s="189">
        <f t="shared" ca="1" si="58"/>
        <v>0</v>
      </c>
      <c r="AS32" s="189">
        <f t="shared" ca="1" si="58"/>
        <v>0</v>
      </c>
      <c r="AT32" s="189">
        <f t="shared" ca="1" si="58"/>
        <v>0</v>
      </c>
      <c r="AU32" s="189">
        <f t="shared" ca="1" si="58"/>
        <v>0</v>
      </c>
      <c r="AV32" s="189">
        <f t="shared" ca="1" si="58"/>
        <v>0</v>
      </c>
      <c r="AW32" s="189">
        <f t="shared" ca="1" si="58"/>
        <v>0</v>
      </c>
      <c r="AX32" s="189">
        <f t="shared" ca="1" si="58"/>
        <v>0</v>
      </c>
      <c r="AY32" s="189">
        <f t="shared" ca="1" si="58"/>
        <v>0</v>
      </c>
      <c r="AZ32" s="189">
        <f t="shared" ca="1" si="58"/>
        <v>0</v>
      </c>
      <c r="BA32" s="189">
        <f t="shared" ca="1" si="58"/>
        <v>0</v>
      </c>
      <c r="BB32" s="189">
        <f t="shared" ca="1" si="58"/>
        <v>0</v>
      </c>
      <c r="BC32" s="189">
        <f t="shared" ca="1" si="58"/>
        <v>0</v>
      </c>
      <c r="BD32" s="189">
        <f t="shared" ca="1" si="58"/>
        <v>0</v>
      </c>
      <c r="BE32" s="189">
        <f t="shared" ca="1" si="58"/>
        <v>0</v>
      </c>
      <c r="BF32" s="189">
        <f t="shared" ca="1" si="58"/>
        <v>0</v>
      </c>
      <c r="BG32" s="189">
        <f t="shared" ca="1" si="58"/>
        <v>0</v>
      </c>
      <c r="BH32" s="189">
        <f t="shared" ca="1" si="58"/>
        <v>0</v>
      </c>
      <c r="BI32" s="189">
        <f t="shared" ca="1" si="58"/>
        <v>0</v>
      </c>
      <c r="BJ32" s="189">
        <f t="shared" ca="1" si="58"/>
        <v>0</v>
      </c>
      <c r="BK32" s="189">
        <f t="shared" ca="1" si="58"/>
        <v>0</v>
      </c>
      <c r="BL32" s="189">
        <f t="shared" ca="1" si="58"/>
        <v>0</v>
      </c>
      <c r="BM32" s="189">
        <f t="shared" ca="1" si="58"/>
        <v>0</v>
      </c>
      <c r="BN32" s="189">
        <f t="shared" ca="1" si="58"/>
        <v>0</v>
      </c>
      <c r="BO32" s="189">
        <f t="shared" ca="1" si="58"/>
        <v>0</v>
      </c>
      <c r="BP32" s="189">
        <f t="shared" ca="1" si="58"/>
        <v>0</v>
      </c>
      <c r="BQ32" s="189">
        <f t="shared" ca="1" si="58"/>
        <v>0</v>
      </c>
      <c r="BR32" s="189">
        <f t="shared" ca="1" si="58"/>
        <v>0</v>
      </c>
      <c r="BS32" s="281">
        <f ca="1">IF(ISNUMBER($A32),IF(INDEX(B34:G34,1)&lt;&gt;0,SIGN(INDEX(B34:G34,1))*INDIRECT(ADDRESS(1+ABS(INDEX(B34:G34,1)),COLUMN(Ksys!$B$1),1,TRUE,"Ksys")),0)+AB32,0)</f>
        <v>0</v>
      </c>
      <c r="BT32" s="60">
        <f t="array" aca="1" ref="BT32:BT37" ca="1">MMULT(P32:U37,BS32:BS37)</f>
        <v>0</v>
      </c>
      <c r="BU32" s="60">
        <f t="array" aca="1" ref="BU32:BU37" ca="1">MMULT(J32:O37,BT32:BT37)-AC32:AC37</f>
        <v>0</v>
      </c>
      <c r="BV32" s="60">
        <f t="array" aca="1" ref="BV32:BV34" ca="1">-(MMULT(J32:O34,BT32:BT37)-AC32:AC34)</f>
        <v>0</v>
      </c>
      <c r="BW32" s="286" t="s">
        <v>97</v>
      </c>
      <c r="BX32" s="4">
        <f t="shared" ref="BX32:CH32" ca="1" si="59">IF(ISNUMBER($A32),$BT32*(1-BX$1) + $BT35*BX$1,0)</f>
        <v>0</v>
      </c>
      <c r="BY32" s="5">
        <f t="shared" ca="1" si="59"/>
        <v>0</v>
      </c>
      <c r="BZ32" s="5">
        <f t="shared" ca="1" si="59"/>
        <v>0</v>
      </c>
      <c r="CA32" s="5">
        <f t="shared" ca="1" si="59"/>
        <v>0</v>
      </c>
      <c r="CB32" s="5">
        <f t="shared" ca="1" si="59"/>
        <v>0</v>
      </c>
      <c r="CC32" s="5">
        <f t="shared" ca="1" si="59"/>
        <v>0</v>
      </c>
      <c r="CD32" s="5">
        <f t="shared" ca="1" si="59"/>
        <v>0</v>
      </c>
      <c r="CE32" s="5">
        <f t="shared" ca="1" si="59"/>
        <v>0</v>
      </c>
      <c r="CF32" s="5">
        <f t="shared" ca="1" si="59"/>
        <v>0</v>
      </c>
      <c r="CG32" s="5">
        <f t="shared" ca="1" si="59"/>
        <v>0</v>
      </c>
      <c r="CH32" s="6">
        <f t="shared" ca="1" si="59"/>
        <v>0</v>
      </c>
      <c r="CI32" s="343"/>
      <c r="CJ32" s="343"/>
      <c r="CK32" s="308"/>
      <c r="CL32" s="12"/>
      <c r="CM32" s="290" t="s">
        <v>97</v>
      </c>
      <c r="CN32" s="4">
        <v>0</v>
      </c>
      <c r="CO32" s="5">
        <v>0</v>
      </c>
      <c r="CP32" s="5">
        <v>0</v>
      </c>
      <c r="CQ32" s="5">
        <v>0</v>
      </c>
      <c r="CR32" s="5">
        <v>0</v>
      </c>
      <c r="CS32" s="5">
        <v>0</v>
      </c>
      <c r="CT32" s="5">
        <v>0</v>
      </c>
      <c r="CU32" s="5">
        <v>0</v>
      </c>
      <c r="CV32" s="5">
        <v>0</v>
      </c>
      <c r="CW32" s="5">
        <v>0</v>
      </c>
      <c r="CX32" s="5">
        <v>0</v>
      </c>
      <c r="CY32" s="5"/>
      <c r="CZ32" s="5"/>
      <c r="DA32" s="189"/>
      <c r="DB32" s="307"/>
      <c r="DC32" s="308"/>
      <c r="DD32" s="343"/>
      <c r="DE32" s="12"/>
      <c r="DF32" s="290" t="s">
        <v>97</v>
      </c>
      <c r="DG32" s="4">
        <v>0</v>
      </c>
      <c r="DH32" s="5">
        <v>0</v>
      </c>
      <c r="DI32" s="5">
        <v>0</v>
      </c>
      <c r="DJ32" s="5">
        <v>0</v>
      </c>
      <c r="DK32" s="5">
        <v>0</v>
      </c>
      <c r="DL32" s="5">
        <v>0</v>
      </c>
      <c r="DM32" s="5">
        <v>0</v>
      </c>
      <c r="DN32" s="5">
        <v>0</v>
      </c>
      <c r="DO32" s="5">
        <v>0</v>
      </c>
      <c r="DP32" s="5">
        <v>0</v>
      </c>
      <c r="DQ32" s="5">
        <v>0</v>
      </c>
      <c r="DR32" s="5"/>
      <c r="DS32" s="5"/>
      <c r="DT32" s="6"/>
      <c r="DU32" s="325"/>
      <c r="DV32" s="308"/>
      <c r="DW32" s="343"/>
      <c r="DX32" s="12"/>
      <c r="DY32" s="290" t="s">
        <v>97</v>
      </c>
      <c r="DZ32" s="4">
        <v>0</v>
      </c>
      <c r="EA32" s="5">
        <v>0</v>
      </c>
      <c r="EB32" s="5">
        <v>0</v>
      </c>
      <c r="EC32" s="5">
        <v>0</v>
      </c>
      <c r="ED32" s="5">
        <v>0</v>
      </c>
      <c r="EE32" s="5">
        <v>0</v>
      </c>
      <c r="EF32" s="5">
        <v>0</v>
      </c>
      <c r="EG32" s="5">
        <v>0</v>
      </c>
      <c r="EH32" s="5">
        <v>0</v>
      </c>
      <c r="EI32" s="5">
        <v>0</v>
      </c>
      <c r="EJ32" s="5">
        <v>0</v>
      </c>
      <c r="EK32" s="5"/>
      <c r="EL32" s="5"/>
      <c r="EM32" s="6"/>
      <c r="EN32" s="307"/>
      <c r="EO32" s="308"/>
      <c r="EP32" s="343"/>
    </row>
    <row r="33" spans="1:146" x14ac:dyDescent="0.2">
      <c r="B33" s="1">
        <f ca="1">IF(ISNUMBER($A32),INDIRECT(ADDRESS($A32+1,COLUMN(System!K$2),1,TRUE,"System")),0)</f>
        <v>0</v>
      </c>
      <c r="C33" s="1">
        <f ca="1">IF(ISNUMBER($A32),INDIRECT(ADDRESS($A32+1,COLUMN(System!L$2),1,TRUE,"System")),0)</f>
        <v>0</v>
      </c>
      <c r="D33" s="1">
        <f ca="1">IF(ISNUMBER($A32),INDIRECT(ADDRESS($A32+1,COLUMN(System!M$2),1,TRUE,"System")),0)</f>
        <v>0</v>
      </c>
      <c r="E33" s="1">
        <f ca="1">IF(ISNUMBER($A32),INDIRECT(ADDRESS($A32+1,COLUMN(System!N$2),1,TRUE,"System")),0)</f>
        <v>0</v>
      </c>
      <c r="F33" s="12"/>
      <c r="J33" s="7">
        <v>0</v>
      </c>
      <c r="K33" s="180">
        <f ca="1">IF(G32=1,12*B32/D32^3,IF(G32="2a",3*B32/D32^3,IF(G32="2b",3*B32/D32^3,0)))</f>
        <v>0</v>
      </c>
      <c r="L33" s="8">
        <f ca="1">K34</f>
        <v>0</v>
      </c>
      <c r="M33" s="7">
        <v>0</v>
      </c>
      <c r="N33" s="1">
        <f ca="1">-K33</f>
        <v>0</v>
      </c>
      <c r="O33" s="8">
        <f ca="1">K37</f>
        <v>0</v>
      </c>
      <c r="P33" s="143">
        <f ca="1">H32</f>
        <v>0</v>
      </c>
      <c r="Q33" s="99">
        <f ca="1">I32</f>
        <v>0</v>
      </c>
      <c r="R33" s="99">
        <v>0</v>
      </c>
      <c r="S33" s="101">
        <v>0</v>
      </c>
      <c r="T33" s="101">
        <v>0</v>
      </c>
      <c r="U33" s="110">
        <v>0</v>
      </c>
      <c r="V33" s="7">
        <f ca="1"/>
        <v>0</v>
      </c>
      <c r="W33" s="180">
        <f ca="1"/>
        <v>0</v>
      </c>
      <c r="X33" s="8">
        <f ca="1"/>
        <v>0</v>
      </c>
      <c r="Y33" s="7">
        <f ca="1"/>
        <v>0</v>
      </c>
      <c r="Z33" s="1">
        <f ca="1"/>
        <v>0</v>
      </c>
      <c r="AA33" s="8">
        <f ca="1"/>
        <v>0</v>
      </c>
      <c r="AB33" s="61">
        <f ca="1">IF(ISNUMBER($A32),INDIRECT("System!" &amp; ADDRESS(A32+1,COLUMN(System!T31))),0)</f>
        <v>0</v>
      </c>
      <c r="AC33" s="301">
        <f ca="1">IF(G32=1,F32*D32/2,IF(G32="2a",F32*3/8*D32,IF(G32="2b",F32*5/8*D32,0)))</f>
        <v>0</v>
      </c>
      <c r="AD33" s="61">
        <f ca="1"/>
        <v>0</v>
      </c>
      <c r="AE33" s="7">
        <f t="shared" ref="AE33:BR33" ca="1" si="60">IF(ABS($C34)=AE$1,SIGN($C34),0)</f>
        <v>0</v>
      </c>
      <c r="AF33" s="1">
        <f t="shared" ca="1" si="60"/>
        <v>0</v>
      </c>
      <c r="AG33" s="1">
        <f t="shared" ca="1" si="60"/>
        <v>0</v>
      </c>
      <c r="AH33" s="1">
        <f t="shared" ca="1" si="60"/>
        <v>0</v>
      </c>
      <c r="AI33" s="1">
        <f t="shared" ca="1" si="60"/>
        <v>0</v>
      </c>
      <c r="AJ33" s="26">
        <f t="shared" ca="1" si="60"/>
        <v>0</v>
      </c>
      <c r="AK33" s="26">
        <f t="shared" ca="1" si="60"/>
        <v>0</v>
      </c>
      <c r="AL33" s="26">
        <f t="shared" ca="1" si="60"/>
        <v>0</v>
      </c>
      <c r="AM33" s="26">
        <f t="shared" ca="1" si="60"/>
        <v>0</v>
      </c>
      <c r="AN33" s="26">
        <f t="shared" ca="1" si="60"/>
        <v>0</v>
      </c>
      <c r="AO33" s="26">
        <f t="shared" ca="1" si="60"/>
        <v>0</v>
      </c>
      <c r="AP33" s="26">
        <f t="shared" ca="1" si="60"/>
        <v>0</v>
      </c>
      <c r="AQ33" s="26">
        <f t="shared" ca="1" si="60"/>
        <v>0</v>
      </c>
      <c r="AR33" s="26">
        <f t="shared" ca="1" si="60"/>
        <v>0</v>
      </c>
      <c r="AS33" s="26">
        <f t="shared" ca="1" si="60"/>
        <v>0</v>
      </c>
      <c r="AT33" s="26">
        <f t="shared" ca="1" si="60"/>
        <v>0</v>
      </c>
      <c r="AU33" s="26">
        <f t="shared" ca="1" si="60"/>
        <v>0</v>
      </c>
      <c r="AV33" s="26">
        <f t="shared" ca="1" si="60"/>
        <v>0</v>
      </c>
      <c r="AW33" s="26">
        <f t="shared" ca="1" si="60"/>
        <v>0</v>
      </c>
      <c r="AX33" s="26">
        <f t="shared" ca="1" si="60"/>
        <v>0</v>
      </c>
      <c r="AY33" s="26">
        <f t="shared" ca="1" si="60"/>
        <v>0</v>
      </c>
      <c r="AZ33" s="26">
        <f t="shared" ca="1" si="60"/>
        <v>0</v>
      </c>
      <c r="BA33" s="26">
        <f t="shared" ca="1" si="60"/>
        <v>0</v>
      </c>
      <c r="BB33" s="26">
        <f t="shared" ca="1" si="60"/>
        <v>0</v>
      </c>
      <c r="BC33" s="26">
        <f t="shared" ca="1" si="60"/>
        <v>0</v>
      </c>
      <c r="BD33" s="26">
        <f t="shared" ca="1" si="60"/>
        <v>0</v>
      </c>
      <c r="BE33" s="26">
        <f t="shared" ca="1" si="60"/>
        <v>0</v>
      </c>
      <c r="BF33" s="26">
        <f t="shared" ca="1" si="60"/>
        <v>0</v>
      </c>
      <c r="BG33" s="26">
        <f t="shared" ca="1" si="60"/>
        <v>0</v>
      </c>
      <c r="BH33" s="26">
        <f t="shared" ca="1" si="60"/>
        <v>0</v>
      </c>
      <c r="BI33" s="26">
        <f t="shared" ca="1" si="60"/>
        <v>0</v>
      </c>
      <c r="BJ33" s="26">
        <f t="shared" ca="1" si="60"/>
        <v>0</v>
      </c>
      <c r="BK33" s="26">
        <f t="shared" ca="1" si="60"/>
        <v>0</v>
      </c>
      <c r="BL33" s="26">
        <f t="shared" ca="1" si="60"/>
        <v>0</v>
      </c>
      <c r="BM33" s="26">
        <f t="shared" ca="1" si="60"/>
        <v>0</v>
      </c>
      <c r="BN33" s="26">
        <f t="shared" ca="1" si="60"/>
        <v>0</v>
      </c>
      <c r="BO33" s="26">
        <f t="shared" ca="1" si="60"/>
        <v>0</v>
      </c>
      <c r="BP33" s="26">
        <f t="shared" ca="1" si="60"/>
        <v>0</v>
      </c>
      <c r="BQ33" s="26">
        <f t="shared" ca="1" si="60"/>
        <v>0</v>
      </c>
      <c r="BR33" s="26">
        <f t="shared" ca="1" si="60"/>
        <v>0</v>
      </c>
      <c r="BS33" s="282">
        <f ca="1">IF(ISNUMBER($A32),IF(INDEX(B34:G34,2)&lt;&gt;0,SIGN(INDEX(B34:G34,2))*INDIRECT(ADDRESS(1+ABS(INDEX(B34:G34,2)),COLUMN(Ksys!$B$1),1,TRUE,"Ksys")),0)+AB33,0)</f>
        <v>0</v>
      </c>
      <c r="BT33" s="61">
        <f ca="1"/>
        <v>0</v>
      </c>
      <c r="BU33" s="61">
        <f ca="1"/>
        <v>0</v>
      </c>
      <c r="BV33" s="61">
        <f ca="1"/>
        <v>0</v>
      </c>
      <c r="BW33" s="287" t="s">
        <v>100</v>
      </c>
      <c r="BX33" s="272">
        <f t="shared" ref="BX33:CH33" ca="1" si="61" xml:space="preserve">  IF(ISNUMBER($A32),$BT33*(1-BX$1) + $BT36*BX$1 + ((1-BX$1)-(1-BX$1)^3)*$D32^2/6*$BV34/$B32 + (BX$1-(BX$1)^3)*$D32^2/6*$BV37/$B32 + (BX$1-2*(BX$1)^3+(BX$1)^4)*$D32^2/3*$F32*$D32^2/8/$B32,0)</f>
        <v>0</v>
      </c>
      <c r="BY33" s="173">
        <f t="shared" ca="1" si="61"/>
        <v>0</v>
      </c>
      <c r="BZ33" s="173">
        <f t="shared" ca="1" si="61"/>
        <v>0</v>
      </c>
      <c r="CA33" s="173">
        <f t="shared" ca="1" si="61"/>
        <v>0</v>
      </c>
      <c r="CB33" s="173">
        <f t="shared" ca="1" si="61"/>
        <v>0</v>
      </c>
      <c r="CC33" s="173">
        <f t="shared" ca="1" si="61"/>
        <v>0</v>
      </c>
      <c r="CD33" s="173">
        <f t="shared" ca="1" si="61"/>
        <v>0</v>
      </c>
      <c r="CE33" s="173">
        <f t="shared" ca="1" si="61"/>
        <v>0</v>
      </c>
      <c r="CF33" s="173">
        <f t="shared" ca="1" si="61"/>
        <v>0</v>
      </c>
      <c r="CG33" s="173">
        <f t="shared" ca="1" si="61"/>
        <v>0</v>
      </c>
      <c r="CH33" s="289">
        <f t="shared" ca="1" si="61"/>
        <v>0</v>
      </c>
      <c r="CI33" s="344"/>
      <c r="CJ33" s="344"/>
      <c r="CK33" s="312"/>
      <c r="CL33" s="12"/>
      <c r="CM33" s="291" t="s">
        <v>100</v>
      </c>
      <c r="CN33" s="7">
        <f t="shared" ref="CN33:CX33" ca="1" si="62" xml:space="preserve">  IF(ISNUMBER($A32),$BV34*(1-CN$1) + $BV37*CN$1  + CN$1*(1-CN$1)*$F32*$D32^2/2,0)</f>
        <v>0</v>
      </c>
      <c r="CO33" s="1">
        <f t="shared" ca="1" si="62"/>
        <v>0</v>
      </c>
      <c r="CP33" s="1">
        <f t="shared" ca="1" si="62"/>
        <v>0</v>
      </c>
      <c r="CQ33" s="1">
        <f t="shared" ca="1" si="62"/>
        <v>0</v>
      </c>
      <c r="CR33" s="1">
        <f t="shared" ca="1" si="62"/>
        <v>0</v>
      </c>
      <c r="CS33" s="1">
        <f t="shared" ca="1" si="62"/>
        <v>0</v>
      </c>
      <c r="CT33" s="1">
        <f t="shared" ca="1" si="62"/>
        <v>0</v>
      </c>
      <c r="CU33" s="1">
        <f t="shared" ca="1" si="62"/>
        <v>0</v>
      </c>
      <c r="CV33" s="1">
        <f t="shared" ca="1" si="62"/>
        <v>0</v>
      </c>
      <c r="CW33" s="1">
        <f t="shared" ca="1" si="62"/>
        <v>0</v>
      </c>
      <c r="CX33" s="1">
        <f t="shared" ca="1" si="62"/>
        <v>0</v>
      </c>
      <c r="CY33" s="1"/>
      <c r="CZ33" s="1"/>
      <c r="DA33" s="26"/>
      <c r="DB33" s="309"/>
      <c r="DC33" s="310"/>
      <c r="DD33" s="345"/>
      <c r="DE33" s="12"/>
      <c r="DF33" s="291" t="s">
        <v>100</v>
      </c>
      <c r="DG33" s="7">
        <f t="shared" ref="DG33:DQ33" ca="1" si="63" xml:space="preserve">  IF(ISNUMBER($A32),$BV33*(1-DG$1) + $BV36*DG$1,0)</f>
        <v>0</v>
      </c>
      <c r="DH33" s="1">
        <f t="shared" ca="1" si="63"/>
        <v>0</v>
      </c>
      <c r="DI33" s="1">
        <f t="shared" ca="1" si="63"/>
        <v>0</v>
      </c>
      <c r="DJ33" s="1">
        <f t="shared" ca="1" si="63"/>
        <v>0</v>
      </c>
      <c r="DK33" s="1">
        <f t="shared" ca="1" si="63"/>
        <v>0</v>
      </c>
      <c r="DL33" s="1">
        <f t="shared" ca="1" si="63"/>
        <v>0</v>
      </c>
      <c r="DM33" s="1">
        <f t="shared" ca="1" si="63"/>
        <v>0</v>
      </c>
      <c r="DN33" s="1">
        <f t="shared" ca="1" si="63"/>
        <v>0</v>
      </c>
      <c r="DO33" s="1">
        <f t="shared" ca="1" si="63"/>
        <v>0</v>
      </c>
      <c r="DP33" s="1">
        <f t="shared" ca="1" si="63"/>
        <v>0</v>
      </c>
      <c r="DQ33" s="1">
        <f t="shared" ca="1" si="63"/>
        <v>0</v>
      </c>
      <c r="DR33" s="1"/>
      <c r="DS33" s="1"/>
      <c r="DT33" s="8"/>
      <c r="DU33" s="12"/>
      <c r="DV33" s="310"/>
      <c r="DW33" s="345"/>
      <c r="DX33" s="12"/>
      <c r="DY33" s="291" t="s">
        <v>100</v>
      </c>
      <c r="DZ33" s="7">
        <f t="shared" ref="DZ33:EJ33" ca="1" si="64" xml:space="preserve">  IF(ISNUMBER($A32),$BV32*(1-DZ$1) + $BV35*DZ$1,0)</f>
        <v>0</v>
      </c>
      <c r="EA33" s="1">
        <f t="shared" ca="1" si="64"/>
        <v>0</v>
      </c>
      <c r="EB33" s="1">
        <f t="shared" ca="1" si="64"/>
        <v>0</v>
      </c>
      <c r="EC33" s="1">
        <f t="shared" ca="1" si="64"/>
        <v>0</v>
      </c>
      <c r="ED33" s="1">
        <f t="shared" ca="1" si="64"/>
        <v>0</v>
      </c>
      <c r="EE33" s="1">
        <f t="shared" ca="1" si="64"/>
        <v>0</v>
      </c>
      <c r="EF33" s="1">
        <f t="shared" ca="1" si="64"/>
        <v>0</v>
      </c>
      <c r="EG33" s="1">
        <f t="shared" ca="1" si="64"/>
        <v>0</v>
      </c>
      <c r="EH33" s="1">
        <f t="shared" ca="1" si="64"/>
        <v>0</v>
      </c>
      <c r="EI33" s="1">
        <f t="shared" ca="1" si="64"/>
        <v>0</v>
      </c>
      <c r="EJ33" s="1">
        <f t="shared" ca="1" si="64"/>
        <v>0</v>
      </c>
      <c r="EK33" s="1"/>
      <c r="EL33" s="1"/>
      <c r="EM33" s="8"/>
      <c r="EN33" s="309"/>
      <c r="EO33" s="310"/>
      <c r="EP33" s="345"/>
    </row>
    <row r="34" spans="1:146" ht="13.5" thickBot="1" x14ac:dyDescent="0.25">
      <c r="B34" s="1">
        <f ca="1">IF(ISNUMBER($A32),INDIRECT("System!" &amp; ADDRESS($A32 +1,COLUMN(System!Y31))),0)</f>
        <v>0</v>
      </c>
      <c r="C34" s="1">
        <f ca="1">IF(ISNUMBER($A32),INDIRECT("System!" &amp; ADDRESS($A32 +1,COLUMN(System!Z31))),0)</f>
        <v>0</v>
      </c>
      <c r="D34" s="1">
        <f ca="1">IF(ISNUMBER($A32),INDIRECT("System!" &amp; ADDRESS($A32 +1,COLUMN(System!AA31))),0)</f>
        <v>0</v>
      </c>
      <c r="E34" s="1">
        <f ca="1">IF(ISNUMBER($A32),INDIRECT("System!" &amp; ADDRESS($A32 +1,COLUMN(System!AB31))),0)</f>
        <v>0</v>
      </c>
      <c r="F34" s="1">
        <f ca="1">IF(ISNUMBER($A32),INDIRECT("System!" &amp; ADDRESS($A32 +1,COLUMN(System!AC31))),0)</f>
        <v>0</v>
      </c>
      <c r="G34" s="1">
        <f ca="1">IF(ISNUMBER($A32),INDIRECT("System!" &amp; ADDRESS($A32 +1,COLUMN(System!AD31))),0)</f>
        <v>0</v>
      </c>
      <c r="J34" s="9">
        <v>0</v>
      </c>
      <c r="K34" s="10">
        <f ca="1">IF(G32=1,-6*B32/D32^2,IF(G32="2a",0,IF(G32="2b",-3*B32/D32^2,0)))</f>
        <v>0</v>
      </c>
      <c r="L34" s="181">
        <f ca="1">IF(G32=1,4*B32/D32,IF(G32="2a",0,IF(G32="2b",3*B32/D32,0)))</f>
        <v>0</v>
      </c>
      <c r="M34" s="9">
        <v>0</v>
      </c>
      <c r="N34" s="10">
        <f ca="1">L36</f>
        <v>0</v>
      </c>
      <c r="O34" s="146">
        <f ca="1">L37</f>
        <v>0</v>
      </c>
      <c r="P34" s="143">
        <v>0</v>
      </c>
      <c r="Q34" s="99">
        <v>0</v>
      </c>
      <c r="R34" s="99">
        <v>1</v>
      </c>
      <c r="S34" s="101">
        <v>0</v>
      </c>
      <c r="T34" s="101">
        <v>0</v>
      </c>
      <c r="U34" s="110">
        <v>0</v>
      </c>
      <c r="V34" s="9">
        <f ca="1"/>
        <v>0</v>
      </c>
      <c r="W34" s="10">
        <f ca="1"/>
        <v>0</v>
      </c>
      <c r="X34" s="181">
        <f ca="1"/>
        <v>0</v>
      </c>
      <c r="Y34" s="9">
        <f ca="1"/>
        <v>0</v>
      </c>
      <c r="Z34" s="10">
        <f ca="1"/>
        <v>0</v>
      </c>
      <c r="AA34" s="146">
        <f ca="1"/>
        <v>0</v>
      </c>
      <c r="AB34" s="61">
        <f ca="1">IF(ISNUMBER($A32),INDIRECT("System!" &amp; ADDRESS(A32+1,COLUMN(System!U31))),0)</f>
        <v>0</v>
      </c>
      <c r="AC34" s="301">
        <f ca="1">IF(G32=1,-F32*D32^2/12,IF(G32="2a",0,IF(G32="2b",-F32*D32^2/8,0)))</f>
        <v>0</v>
      </c>
      <c r="AD34" s="61">
        <f ca="1"/>
        <v>0</v>
      </c>
      <c r="AE34" s="7">
        <f t="shared" ref="AE34:BR34" ca="1" si="65">IF(ABS($D34)=AE$1,SIGN($D34),0)</f>
        <v>0</v>
      </c>
      <c r="AF34" s="1">
        <f t="shared" ca="1" si="65"/>
        <v>0</v>
      </c>
      <c r="AG34" s="1">
        <f t="shared" ca="1" si="65"/>
        <v>0</v>
      </c>
      <c r="AH34" s="1">
        <f t="shared" ca="1" si="65"/>
        <v>0</v>
      </c>
      <c r="AI34" s="1">
        <f t="shared" ca="1" si="65"/>
        <v>0</v>
      </c>
      <c r="AJ34" s="26">
        <f t="shared" ca="1" si="65"/>
        <v>0</v>
      </c>
      <c r="AK34" s="26">
        <f t="shared" ca="1" si="65"/>
        <v>0</v>
      </c>
      <c r="AL34" s="26">
        <f t="shared" ca="1" si="65"/>
        <v>0</v>
      </c>
      <c r="AM34" s="26">
        <f t="shared" ca="1" si="65"/>
        <v>0</v>
      </c>
      <c r="AN34" s="26">
        <f t="shared" ca="1" si="65"/>
        <v>0</v>
      </c>
      <c r="AO34" s="26">
        <f t="shared" ca="1" si="65"/>
        <v>0</v>
      </c>
      <c r="AP34" s="26">
        <f t="shared" ca="1" si="65"/>
        <v>0</v>
      </c>
      <c r="AQ34" s="26">
        <f t="shared" ca="1" si="65"/>
        <v>0</v>
      </c>
      <c r="AR34" s="26">
        <f t="shared" ca="1" si="65"/>
        <v>0</v>
      </c>
      <c r="AS34" s="26">
        <f t="shared" ca="1" si="65"/>
        <v>0</v>
      </c>
      <c r="AT34" s="26">
        <f t="shared" ca="1" si="65"/>
        <v>0</v>
      </c>
      <c r="AU34" s="26">
        <f t="shared" ca="1" si="65"/>
        <v>0</v>
      </c>
      <c r="AV34" s="26">
        <f t="shared" ca="1" si="65"/>
        <v>0</v>
      </c>
      <c r="AW34" s="26">
        <f t="shared" ca="1" si="65"/>
        <v>0</v>
      </c>
      <c r="AX34" s="26">
        <f t="shared" ca="1" si="65"/>
        <v>0</v>
      </c>
      <c r="AY34" s="26">
        <f t="shared" ca="1" si="65"/>
        <v>0</v>
      </c>
      <c r="AZ34" s="26">
        <f t="shared" ca="1" si="65"/>
        <v>0</v>
      </c>
      <c r="BA34" s="26">
        <f t="shared" ca="1" si="65"/>
        <v>0</v>
      </c>
      <c r="BB34" s="26">
        <f t="shared" ca="1" si="65"/>
        <v>0</v>
      </c>
      <c r="BC34" s="26">
        <f t="shared" ca="1" si="65"/>
        <v>0</v>
      </c>
      <c r="BD34" s="26">
        <f t="shared" ca="1" si="65"/>
        <v>0</v>
      </c>
      <c r="BE34" s="26">
        <f t="shared" ca="1" si="65"/>
        <v>0</v>
      </c>
      <c r="BF34" s="26">
        <f t="shared" ca="1" si="65"/>
        <v>0</v>
      </c>
      <c r="BG34" s="26">
        <f t="shared" ca="1" si="65"/>
        <v>0</v>
      </c>
      <c r="BH34" s="26">
        <f t="shared" ca="1" si="65"/>
        <v>0</v>
      </c>
      <c r="BI34" s="26">
        <f t="shared" ca="1" si="65"/>
        <v>0</v>
      </c>
      <c r="BJ34" s="26">
        <f t="shared" ca="1" si="65"/>
        <v>0</v>
      </c>
      <c r="BK34" s="26">
        <f t="shared" ca="1" si="65"/>
        <v>0</v>
      </c>
      <c r="BL34" s="26">
        <f t="shared" ca="1" si="65"/>
        <v>0</v>
      </c>
      <c r="BM34" s="26">
        <f t="shared" ca="1" si="65"/>
        <v>0</v>
      </c>
      <c r="BN34" s="26">
        <f t="shared" ca="1" si="65"/>
        <v>0</v>
      </c>
      <c r="BO34" s="26">
        <f t="shared" ca="1" si="65"/>
        <v>0</v>
      </c>
      <c r="BP34" s="26">
        <f t="shared" ca="1" si="65"/>
        <v>0</v>
      </c>
      <c r="BQ34" s="26">
        <f t="shared" ca="1" si="65"/>
        <v>0</v>
      </c>
      <c r="BR34" s="26">
        <f t="shared" ca="1" si="65"/>
        <v>0</v>
      </c>
      <c r="BS34" s="282">
        <f ca="1">IF(ISNUMBER($A32),IF(INDEX(B34:G34,3)&lt;&gt;0,SIGN(INDEX(B34:G34,3))*INDIRECT(ADDRESS(1+ABS(INDEX(B34:G34,3)),COLUMN(Ksys!$B$1),1,TRUE,"Ksys")),0)+AB34,0)</f>
        <v>0</v>
      </c>
      <c r="BT34" s="61">
        <f ca="1"/>
        <v>0</v>
      </c>
      <c r="BU34" s="61">
        <f ca="1"/>
        <v>0</v>
      </c>
      <c r="BV34" s="61">
        <f ca="1"/>
        <v>0</v>
      </c>
      <c r="BW34" s="287" t="s">
        <v>96</v>
      </c>
      <c r="BX34" s="7">
        <f t="array" aca="1" ref="BX34:BX35" ca="1">IF(ISNUMBER($A32),MMULT(TRANSPOSE($P32:$Q33),BX32:BX33),0)</f>
        <v>0</v>
      </c>
      <c r="BY34" s="1">
        <f t="array" aca="1" ref="BY34:BY35" ca="1">IF(ISNUMBER($A32),MMULT(TRANSPOSE($P32:$Q33),BY32:BY33),0)</f>
        <v>0</v>
      </c>
      <c r="BZ34" s="1">
        <f t="array" aca="1" ref="BZ34:BZ35" ca="1">IF(ISNUMBER($A32),MMULT(TRANSPOSE($P32:$Q33),BZ32:BZ33),0)</f>
        <v>0</v>
      </c>
      <c r="CA34" s="1">
        <f t="array" aca="1" ref="CA34:CA35" ca="1">IF(ISNUMBER($A32),MMULT(TRANSPOSE($P32:$Q33),CA32:CA33),0)</f>
        <v>0</v>
      </c>
      <c r="CB34" s="1">
        <f t="array" aca="1" ref="CB34:CB35" ca="1">IF(ISNUMBER($A32),MMULT(TRANSPOSE($P32:$Q33),CB32:CB33),0)</f>
        <v>0</v>
      </c>
      <c r="CC34" s="1">
        <f t="array" aca="1" ref="CC34:CC35" ca="1">IF(ISNUMBER($A32),MMULT(TRANSPOSE($P32:$Q33),CC32:CC33),0)</f>
        <v>0</v>
      </c>
      <c r="CD34" s="1">
        <f t="array" aca="1" ref="CD34:CD35" ca="1">IF(ISNUMBER($A32),MMULT(TRANSPOSE($P32:$Q33),CD32:CD33),0)</f>
        <v>0</v>
      </c>
      <c r="CE34" s="1">
        <f t="array" aca="1" ref="CE34:CE35" ca="1">IF(ISNUMBER($A32),MMULT(TRANSPOSE($P32:$Q33),CE32:CE33),0)</f>
        <v>0</v>
      </c>
      <c r="CF34" s="1">
        <f t="array" aca="1" ref="CF34:CF35" ca="1">IF(ISNUMBER($A32),MMULT(TRANSPOSE($P32:$Q33),CF32:CF33),0)</f>
        <v>0</v>
      </c>
      <c r="CG34" s="1">
        <f t="array" aca="1" ref="CG34:CG35" ca="1">IF(ISNUMBER($A32),MMULT(TRANSPOSE($P32:$Q33),CG32:CG33),0)</f>
        <v>0</v>
      </c>
      <c r="CH34" s="8">
        <f t="array" aca="1" ref="CH34:CH35" ca="1">IF(ISNUMBER($A32),MMULT(TRANSPOSE($P32:$Q33),CH32:CH33),0)</f>
        <v>0</v>
      </c>
      <c r="CI34" s="345"/>
      <c r="CJ34" s="345"/>
      <c r="CK34" s="444">
        <f ca="1">MAX(MAX(BX34:CH35),ABS(MIN(BX34:CH35)))</f>
        <v>0</v>
      </c>
      <c r="CL34" s="12"/>
      <c r="CM34" s="291" t="s">
        <v>96</v>
      </c>
      <c r="CN34" s="7">
        <f t="array" aca="1" ref="CN34:CN35" ca="1">IF(ISNUMBER($A32),MMULT(TRANSPOSE($P32:$Q33),CN32:CN33),0)</f>
        <v>0</v>
      </c>
      <c r="CO34" s="1">
        <f t="array" aca="1" ref="CO34:CO35" ca="1">IF(ISNUMBER($A32),MMULT(TRANSPOSE($P32:$Q33),CO32:CO33),0)</f>
        <v>0</v>
      </c>
      <c r="CP34" s="1">
        <f t="array" aca="1" ref="CP34:CP35" ca="1">IF(ISNUMBER($A32),MMULT(TRANSPOSE($P32:$Q33),CP32:CP33),0)</f>
        <v>0</v>
      </c>
      <c r="CQ34" s="1">
        <f t="array" aca="1" ref="CQ34:CQ35" ca="1">IF(ISNUMBER($A32),MMULT(TRANSPOSE($P32:$Q33),CQ32:CQ33),0)</f>
        <v>0</v>
      </c>
      <c r="CR34" s="1">
        <f t="array" aca="1" ref="CR34:CR35" ca="1">IF(ISNUMBER($A32),MMULT(TRANSPOSE($P32:$Q33),CR32:CR33),0)</f>
        <v>0</v>
      </c>
      <c r="CS34" s="1">
        <f t="array" aca="1" ref="CS34:CS35" ca="1">IF(ISNUMBER($A32),MMULT(TRANSPOSE($P32:$Q33),CS32:CS33),0)</f>
        <v>0</v>
      </c>
      <c r="CT34" s="1">
        <f t="array" aca="1" ref="CT34:CT35" ca="1">IF(ISNUMBER($A32),MMULT(TRANSPOSE($P32:$Q33),CT32:CT33),0)</f>
        <v>0</v>
      </c>
      <c r="CU34" s="1">
        <f t="array" aca="1" ref="CU34:CU35" ca="1">IF(ISNUMBER($A32),MMULT(TRANSPOSE($P32:$Q33),CU32:CU33),0)</f>
        <v>0</v>
      </c>
      <c r="CV34" s="1">
        <f t="array" aca="1" ref="CV34:CV35" ca="1">IF(ISNUMBER($A32),MMULT(TRANSPOSE($P32:$Q33),CV32:CV33),0)</f>
        <v>0</v>
      </c>
      <c r="CW34" s="1">
        <f t="array" aca="1" ref="CW34:CW35" ca="1">IF(ISNUMBER($A32),MMULT(TRANSPOSE($P32:$Q33),CW32:CW33),0)</f>
        <v>0</v>
      </c>
      <c r="CX34" s="1">
        <f t="array" aca="1" ref="CX34:CX35" ca="1">IF(ISNUMBER($A32),MMULT(TRANSPOSE($P32:$Q33),CX32:CX33),0)</f>
        <v>0</v>
      </c>
      <c r="CY34" s="1"/>
      <c r="CZ34" s="1"/>
      <c r="DA34" s="26"/>
      <c r="DB34" s="309"/>
      <c r="DC34" s="310"/>
      <c r="DD34" s="345"/>
      <c r="DE34" s="12"/>
      <c r="DF34" s="291" t="s">
        <v>96</v>
      </c>
      <c r="DG34" s="7">
        <f t="array" aca="1" ref="DG34:DG35" ca="1">IF(ISNUMBER($A32),MMULT(TRANSPOSE($P32:$Q33),DG32:DG33),0)</f>
        <v>0</v>
      </c>
      <c r="DH34" s="1">
        <f t="array" aca="1" ref="DH34:DH35" ca="1">IF(ISNUMBER($A32),MMULT(TRANSPOSE($P32:$Q33),DH32:DH33),0)</f>
        <v>0</v>
      </c>
      <c r="DI34" s="1">
        <f t="array" aca="1" ref="DI34:DI35" ca="1">IF(ISNUMBER($A32),MMULT(TRANSPOSE($P32:$Q33),DI32:DI33),0)</f>
        <v>0</v>
      </c>
      <c r="DJ34" s="1">
        <f t="array" aca="1" ref="DJ34:DJ35" ca="1">IF(ISNUMBER($A32),MMULT(TRANSPOSE($P32:$Q33),DJ32:DJ33),0)</f>
        <v>0</v>
      </c>
      <c r="DK34" s="1">
        <f t="array" aca="1" ref="DK34:DK35" ca="1">IF(ISNUMBER($A32),MMULT(TRANSPOSE($P32:$Q33),DK32:DK33),0)</f>
        <v>0</v>
      </c>
      <c r="DL34" s="1">
        <f t="array" aca="1" ref="DL34:DL35" ca="1">IF(ISNUMBER($A32),MMULT(TRANSPOSE($P32:$Q33),DL32:DL33),0)</f>
        <v>0</v>
      </c>
      <c r="DM34" s="1">
        <f t="array" aca="1" ref="DM34:DM35" ca="1">IF(ISNUMBER($A32),MMULT(TRANSPOSE($P32:$Q33),DM32:DM33),0)</f>
        <v>0</v>
      </c>
      <c r="DN34" s="1">
        <f t="array" aca="1" ref="DN34:DN35" ca="1">IF(ISNUMBER($A32),MMULT(TRANSPOSE($P32:$Q33),DN32:DN33),0)</f>
        <v>0</v>
      </c>
      <c r="DO34" s="1">
        <f t="array" aca="1" ref="DO34:DO35" ca="1">IF(ISNUMBER($A32),MMULT(TRANSPOSE($P32:$Q33),DO32:DO33),0)</f>
        <v>0</v>
      </c>
      <c r="DP34" s="1">
        <f t="array" aca="1" ref="DP34:DP35" ca="1">IF(ISNUMBER($A32),MMULT(TRANSPOSE($P32:$Q33),DP32:DP33),0)</f>
        <v>0</v>
      </c>
      <c r="DQ34" s="1">
        <f t="array" aca="1" ref="DQ34:DQ35" ca="1">IF(ISNUMBER($A32),MMULT(TRANSPOSE($P32:$Q33),DQ32:DQ33),0)</f>
        <v>0</v>
      </c>
      <c r="DR34" s="1"/>
      <c r="DS34" s="1"/>
      <c r="DT34" s="8"/>
      <c r="DU34" s="12"/>
      <c r="DV34" s="310"/>
      <c r="DW34" s="345"/>
      <c r="DX34" s="12"/>
      <c r="DY34" s="291" t="s">
        <v>96</v>
      </c>
      <c r="DZ34" s="7">
        <f t="array" aca="1" ref="DZ34:DZ35" ca="1">IF(ISNUMBER($A32),MMULT(TRANSPOSE($P32:$Q33),DZ32:DZ33),0)</f>
        <v>0</v>
      </c>
      <c r="EA34" s="1">
        <f t="array" aca="1" ref="EA34:EA35" ca="1">IF(ISNUMBER($A32),MMULT(TRANSPOSE($P32:$Q33),EA32:EA33),0)</f>
        <v>0</v>
      </c>
      <c r="EB34" s="1">
        <f t="array" aca="1" ref="EB34:EB35" ca="1">IF(ISNUMBER($A32),MMULT(TRANSPOSE($P32:$Q33),EB32:EB33),0)</f>
        <v>0</v>
      </c>
      <c r="EC34" s="1">
        <f t="array" aca="1" ref="EC34:EC35" ca="1">IF(ISNUMBER($A32),MMULT(TRANSPOSE($P32:$Q33),EC32:EC33),0)</f>
        <v>0</v>
      </c>
      <c r="ED34" s="1">
        <f t="array" aca="1" ref="ED34:ED35" ca="1">IF(ISNUMBER($A32),MMULT(TRANSPOSE($P32:$Q33),ED32:ED33),0)</f>
        <v>0</v>
      </c>
      <c r="EE34" s="1">
        <f t="array" aca="1" ref="EE34:EE35" ca="1">IF(ISNUMBER($A32),MMULT(TRANSPOSE($P32:$Q33),EE32:EE33),0)</f>
        <v>0</v>
      </c>
      <c r="EF34" s="1">
        <f t="array" aca="1" ref="EF34:EF35" ca="1">IF(ISNUMBER($A32),MMULT(TRANSPOSE($P32:$Q33),EF32:EF33),0)</f>
        <v>0</v>
      </c>
      <c r="EG34" s="1">
        <f t="array" aca="1" ref="EG34:EG35" ca="1">IF(ISNUMBER($A32),MMULT(TRANSPOSE($P32:$Q33),EG32:EG33),0)</f>
        <v>0</v>
      </c>
      <c r="EH34" s="1">
        <f t="array" aca="1" ref="EH34:EH35" ca="1">IF(ISNUMBER($A32),MMULT(TRANSPOSE($P32:$Q33),EH32:EH33),0)</f>
        <v>0</v>
      </c>
      <c r="EI34" s="1">
        <f t="array" aca="1" ref="EI34:EI35" ca="1">IF(ISNUMBER($A32),MMULT(TRANSPOSE($P32:$Q33),EI32:EI33),0)</f>
        <v>0</v>
      </c>
      <c r="EJ34" s="1">
        <f t="array" aca="1" ref="EJ34:EJ35" ca="1">IF(ISNUMBER($A32),MMULT(TRANSPOSE($P32:$Q33),EJ32:EJ33),0)</f>
        <v>0</v>
      </c>
      <c r="EK34" s="1"/>
      <c r="EL34" s="1"/>
      <c r="EM34" s="8"/>
      <c r="EN34" s="309"/>
      <c r="EO34" s="310"/>
      <c r="EP34" s="345"/>
    </row>
    <row r="35" spans="1:146" x14ac:dyDescent="0.2">
      <c r="E35" s="12"/>
      <c r="F35" s="12"/>
      <c r="J35" s="4">
        <f ca="1">-J32</f>
        <v>0</v>
      </c>
      <c r="K35" s="5">
        <v>0</v>
      </c>
      <c r="L35" s="6">
        <v>0</v>
      </c>
      <c r="M35" s="179">
        <f ca="1">J32</f>
        <v>0</v>
      </c>
      <c r="N35" s="5">
        <v>0</v>
      </c>
      <c r="O35" s="6">
        <v>0</v>
      </c>
      <c r="P35" s="184">
        <v>0</v>
      </c>
      <c r="Q35" s="101">
        <v>0</v>
      </c>
      <c r="R35" s="101">
        <v>0</v>
      </c>
      <c r="S35" s="99">
        <f ca="1">I32</f>
        <v>0</v>
      </c>
      <c r="T35" s="99">
        <f ca="1">-H32</f>
        <v>0</v>
      </c>
      <c r="U35" s="100">
        <v>0</v>
      </c>
      <c r="V35" s="4">
        <f ca="1"/>
        <v>0</v>
      </c>
      <c r="W35" s="5">
        <f ca="1"/>
        <v>0</v>
      </c>
      <c r="X35" s="6">
        <f ca="1"/>
        <v>0</v>
      </c>
      <c r="Y35" s="179">
        <f ca="1"/>
        <v>0</v>
      </c>
      <c r="Z35" s="5">
        <f ca="1"/>
        <v>0</v>
      </c>
      <c r="AA35" s="6">
        <f ca="1"/>
        <v>0</v>
      </c>
      <c r="AB35" s="61">
        <f ca="1">IF(ISNUMBER($A32),INDIRECT("System!" &amp; ADDRESS(A32+1,COLUMN(System!V31))),0)</f>
        <v>0</v>
      </c>
      <c r="AC35" s="301">
        <f ca="1">IF(ISNUMBER(E32),E32*D32/2,0)</f>
        <v>0</v>
      </c>
      <c r="AD35" s="61">
        <f ca="1"/>
        <v>0</v>
      </c>
      <c r="AE35" s="7">
        <f t="shared" ref="AE35:BR35" ca="1" si="66">IF(ABS($E34)=AE$1,SIGN($E34),0)</f>
        <v>0</v>
      </c>
      <c r="AF35" s="1">
        <f t="shared" ca="1" si="66"/>
        <v>0</v>
      </c>
      <c r="AG35" s="1">
        <f t="shared" ca="1" si="66"/>
        <v>0</v>
      </c>
      <c r="AH35" s="1">
        <f t="shared" ca="1" si="66"/>
        <v>0</v>
      </c>
      <c r="AI35" s="1">
        <f t="shared" ca="1" si="66"/>
        <v>0</v>
      </c>
      <c r="AJ35" s="26">
        <f t="shared" ca="1" si="66"/>
        <v>0</v>
      </c>
      <c r="AK35" s="26">
        <f t="shared" ca="1" si="66"/>
        <v>0</v>
      </c>
      <c r="AL35" s="26">
        <f t="shared" ca="1" si="66"/>
        <v>0</v>
      </c>
      <c r="AM35" s="26">
        <f t="shared" ca="1" si="66"/>
        <v>0</v>
      </c>
      <c r="AN35" s="26">
        <f t="shared" ca="1" si="66"/>
        <v>0</v>
      </c>
      <c r="AO35" s="26">
        <f t="shared" ca="1" si="66"/>
        <v>0</v>
      </c>
      <c r="AP35" s="26">
        <f t="shared" ca="1" si="66"/>
        <v>0</v>
      </c>
      <c r="AQ35" s="26">
        <f t="shared" ca="1" si="66"/>
        <v>0</v>
      </c>
      <c r="AR35" s="26">
        <f t="shared" ca="1" si="66"/>
        <v>0</v>
      </c>
      <c r="AS35" s="26">
        <f t="shared" ca="1" si="66"/>
        <v>0</v>
      </c>
      <c r="AT35" s="26">
        <f t="shared" ca="1" si="66"/>
        <v>0</v>
      </c>
      <c r="AU35" s="26">
        <f t="shared" ca="1" si="66"/>
        <v>0</v>
      </c>
      <c r="AV35" s="26">
        <f t="shared" ca="1" si="66"/>
        <v>0</v>
      </c>
      <c r="AW35" s="26">
        <f t="shared" ca="1" si="66"/>
        <v>0</v>
      </c>
      <c r="AX35" s="26">
        <f t="shared" ca="1" si="66"/>
        <v>0</v>
      </c>
      <c r="AY35" s="26">
        <f t="shared" ca="1" si="66"/>
        <v>0</v>
      </c>
      <c r="AZ35" s="26">
        <f t="shared" ca="1" si="66"/>
        <v>0</v>
      </c>
      <c r="BA35" s="26">
        <f t="shared" ca="1" si="66"/>
        <v>0</v>
      </c>
      <c r="BB35" s="26">
        <f t="shared" ca="1" si="66"/>
        <v>0</v>
      </c>
      <c r="BC35" s="26">
        <f t="shared" ca="1" si="66"/>
        <v>0</v>
      </c>
      <c r="BD35" s="26">
        <f t="shared" ca="1" si="66"/>
        <v>0</v>
      </c>
      <c r="BE35" s="26">
        <f t="shared" ca="1" si="66"/>
        <v>0</v>
      </c>
      <c r="BF35" s="26">
        <f t="shared" ca="1" si="66"/>
        <v>0</v>
      </c>
      <c r="BG35" s="26">
        <f t="shared" ca="1" si="66"/>
        <v>0</v>
      </c>
      <c r="BH35" s="26">
        <f t="shared" ca="1" si="66"/>
        <v>0</v>
      </c>
      <c r="BI35" s="26">
        <f t="shared" ca="1" si="66"/>
        <v>0</v>
      </c>
      <c r="BJ35" s="26">
        <f t="shared" ca="1" si="66"/>
        <v>0</v>
      </c>
      <c r="BK35" s="26">
        <f t="shared" ca="1" si="66"/>
        <v>0</v>
      </c>
      <c r="BL35" s="26">
        <f t="shared" ca="1" si="66"/>
        <v>0</v>
      </c>
      <c r="BM35" s="26">
        <f t="shared" ca="1" si="66"/>
        <v>0</v>
      </c>
      <c r="BN35" s="26">
        <f t="shared" ca="1" si="66"/>
        <v>0</v>
      </c>
      <c r="BO35" s="26">
        <f t="shared" ca="1" si="66"/>
        <v>0</v>
      </c>
      <c r="BP35" s="26">
        <f t="shared" ca="1" si="66"/>
        <v>0</v>
      </c>
      <c r="BQ35" s="26">
        <f t="shared" ca="1" si="66"/>
        <v>0</v>
      </c>
      <c r="BR35" s="26">
        <f t="shared" ca="1" si="66"/>
        <v>0</v>
      </c>
      <c r="BS35" s="282">
        <f ca="1">IF(ISNUMBER($A32),IF(INDEX(B34:G34,4)&lt;&gt;0,SIGN(INDEX(B34:G34,4))*INDIRECT(ADDRESS(1+ABS(INDEX(B34:G34,4)),COLUMN(Ksys!$B$1),1,TRUE,"Ksys")),0)+AB35,0)</f>
        <v>0</v>
      </c>
      <c r="BT35" s="61">
        <f ca="1"/>
        <v>0</v>
      </c>
      <c r="BU35" s="61">
        <f ca="1"/>
        <v>0</v>
      </c>
      <c r="BV35" s="61">
        <f t="array" aca="1" ref="BV35:BV37" ca="1">MMULT(J35:O37,BT32:BT37)-AC35:AC37</f>
        <v>0</v>
      </c>
      <c r="BW35" s="288" t="s">
        <v>101</v>
      </c>
      <c r="BX35" s="7">
        <f ca="1"/>
        <v>0</v>
      </c>
      <c r="BY35" s="1">
        <f ca="1"/>
        <v>0</v>
      </c>
      <c r="BZ35" s="1">
        <f ca="1"/>
        <v>0</v>
      </c>
      <c r="CA35" s="1">
        <f ca="1"/>
        <v>0</v>
      </c>
      <c r="CB35" s="1">
        <f ca="1"/>
        <v>0</v>
      </c>
      <c r="CC35" s="1">
        <f ca="1"/>
        <v>0</v>
      </c>
      <c r="CD35" s="1">
        <f ca="1"/>
        <v>0</v>
      </c>
      <c r="CE35" s="1">
        <f ca="1"/>
        <v>0</v>
      </c>
      <c r="CF35" s="1">
        <f ca="1"/>
        <v>0</v>
      </c>
      <c r="CG35" s="1">
        <f ca="1"/>
        <v>0</v>
      </c>
      <c r="CH35" s="8">
        <f ca="1"/>
        <v>0</v>
      </c>
      <c r="CI35" s="344" t="s">
        <v>1</v>
      </c>
      <c r="CJ35" s="344" t="s">
        <v>111</v>
      </c>
      <c r="CK35" s="310"/>
      <c r="CL35" s="12"/>
      <c r="CM35" s="292" t="s">
        <v>101</v>
      </c>
      <c r="CN35" s="7">
        <f ca="1"/>
        <v>0</v>
      </c>
      <c r="CO35" s="1">
        <f ca="1"/>
        <v>0</v>
      </c>
      <c r="CP35" s="1">
        <f ca="1"/>
        <v>0</v>
      </c>
      <c r="CQ35" s="1">
        <f ca="1"/>
        <v>0</v>
      </c>
      <c r="CR35" s="1">
        <f ca="1"/>
        <v>0</v>
      </c>
      <c r="CS35" s="1">
        <f ca="1"/>
        <v>0</v>
      </c>
      <c r="CT35" s="1">
        <f ca="1"/>
        <v>0</v>
      </c>
      <c r="CU35" s="1">
        <f ca="1"/>
        <v>0</v>
      </c>
      <c r="CV35" s="1">
        <f ca="1"/>
        <v>0</v>
      </c>
      <c r="CW35" s="1">
        <f ca="1"/>
        <v>0</v>
      </c>
      <c r="CX35" s="1">
        <f ca="1"/>
        <v>0</v>
      </c>
      <c r="CY35" s="1"/>
      <c r="CZ35" s="1"/>
      <c r="DA35" s="26"/>
      <c r="DB35" s="311" t="s">
        <v>1</v>
      </c>
      <c r="DC35" s="312" t="s">
        <v>111</v>
      </c>
      <c r="DD35" s="61">
        <f ca="1">MAX(MAX(CN34:CX35),ABS(MIN(CN34:CX35)))</f>
        <v>0</v>
      </c>
      <c r="DE35" s="12"/>
      <c r="DF35" s="292" t="s">
        <v>101</v>
      </c>
      <c r="DG35" s="7">
        <f ca="1"/>
        <v>0</v>
      </c>
      <c r="DH35" s="1">
        <f ca="1"/>
        <v>0</v>
      </c>
      <c r="DI35" s="1">
        <f ca="1"/>
        <v>0</v>
      </c>
      <c r="DJ35" s="1">
        <f ca="1"/>
        <v>0</v>
      </c>
      <c r="DK35" s="1">
        <f ca="1"/>
        <v>0</v>
      </c>
      <c r="DL35" s="1">
        <f ca="1"/>
        <v>0</v>
      </c>
      <c r="DM35" s="1">
        <f ca="1"/>
        <v>0</v>
      </c>
      <c r="DN35" s="1">
        <f ca="1"/>
        <v>0</v>
      </c>
      <c r="DO35" s="1">
        <f ca="1"/>
        <v>0</v>
      </c>
      <c r="DP35" s="1">
        <f ca="1"/>
        <v>0</v>
      </c>
      <c r="DQ35" s="1">
        <f ca="1"/>
        <v>0</v>
      </c>
      <c r="DR35" s="1"/>
      <c r="DS35" s="1"/>
      <c r="DT35" s="8"/>
      <c r="DU35" s="314" t="s">
        <v>1</v>
      </c>
      <c r="DV35" s="312" t="s">
        <v>111</v>
      </c>
      <c r="DW35" s="349">
        <f ca="1">MAX(MAX(DG34:DQ35),ABS(MIN(DG34:DQ35)))</f>
        <v>0</v>
      </c>
      <c r="DX35" s="12"/>
      <c r="DY35" s="292" t="s">
        <v>101</v>
      </c>
      <c r="DZ35" s="7">
        <f ca="1"/>
        <v>0</v>
      </c>
      <c r="EA35" s="1">
        <f ca="1"/>
        <v>0</v>
      </c>
      <c r="EB35" s="1">
        <f ca="1"/>
        <v>0</v>
      </c>
      <c r="EC35" s="1">
        <f ca="1"/>
        <v>0</v>
      </c>
      <c r="ED35" s="1">
        <f ca="1"/>
        <v>0</v>
      </c>
      <c r="EE35" s="1">
        <f ca="1"/>
        <v>0</v>
      </c>
      <c r="EF35" s="1">
        <f ca="1"/>
        <v>0</v>
      </c>
      <c r="EG35" s="1">
        <f ca="1"/>
        <v>0</v>
      </c>
      <c r="EH35" s="1">
        <f ca="1"/>
        <v>0</v>
      </c>
      <c r="EI35" s="1">
        <f ca="1"/>
        <v>0</v>
      </c>
      <c r="EJ35" s="1">
        <f ca="1"/>
        <v>0</v>
      </c>
      <c r="EK35" s="1"/>
      <c r="EL35" s="1"/>
      <c r="EM35" s="8"/>
      <c r="EN35" s="311" t="s">
        <v>1</v>
      </c>
      <c r="EO35" s="312" t="s">
        <v>111</v>
      </c>
      <c r="EP35" s="61">
        <f ca="1">MAX(MAX(DZ34:EJ35),ABS(MIN(DZ34:EJ35)))</f>
        <v>0</v>
      </c>
    </row>
    <row r="36" spans="1:146" x14ac:dyDescent="0.2">
      <c r="E36" s="1" t="str">
        <f ca="1">IF(ISNUMBER(A32),"" &amp; ADDRESS(ROW(A32),COLUMN($AD$1)) &amp; ":" &amp; ADDRESS(ROW(A37),COLUMN($AD$1)) &amp; "","")</f>
        <v/>
      </c>
      <c r="F36" s="1" t="str">
        <f ca="1">IF(ISNUMBER(A32),"" &amp; ADDRESS(ROW(A32),COLUMN($V$1)) &amp; ":" &amp; ADDRESS(ROW(A37),COLUMN($AA$1)) &amp; "","")</f>
        <v/>
      </c>
      <c r="G36" s="1" t="str">
        <f ca="1">IF(ISNUMBER(A32),"" &amp; ADDRESS(ROW(A32),COLUMN($AE$1)) &amp; ":" &amp; ADDRESS(ROW(A37),COLUMN($AD$1)+$C$6) &amp; "","")</f>
        <v/>
      </c>
      <c r="J36" s="7">
        <v>0</v>
      </c>
      <c r="K36" s="1">
        <f ca="1">-K33</f>
        <v>0</v>
      </c>
      <c r="L36" s="8">
        <f ca="1">IF(G32=1,6*B32/D32^2,IF(G32="2a",0,IF(G32="2b",3*B32/D32^2,0)))</f>
        <v>0</v>
      </c>
      <c r="M36" s="7">
        <v>0</v>
      </c>
      <c r="N36" s="180">
        <f ca="1">K33</f>
        <v>0</v>
      </c>
      <c r="O36" s="8">
        <f ca="1">N37</f>
        <v>0</v>
      </c>
      <c r="P36" s="184">
        <v>0</v>
      </c>
      <c r="Q36" s="101">
        <v>0</v>
      </c>
      <c r="R36" s="101">
        <v>0</v>
      </c>
      <c r="S36" s="99">
        <f ca="1">H32</f>
        <v>0</v>
      </c>
      <c r="T36" s="99">
        <f ca="1">I32</f>
        <v>0</v>
      </c>
      <c r="U36" s="100">
        <v>0</v>
      </c>
      <c r="V36" s="7">
        <f ca="1"/>
        <v>0</v>
      </c>
      <c r="W36" s="1">
        <f ca="1"/>
        <v>0</v>
      </c>
      <c r="X36" s="8">
        <f ca="1"/>
        <v>0</v>
      </c>
      <c r="Y36" s="7">
        <f ca="1"/>
        <v>0</v>
      </c>
      <c r="Z36" s="180">
        <f ca="1"/>
        <v>0</v>
      </c>
      <c r="AA36" s="8">
        <f ca="1"/>
        <v>0</v>
      </c>
      <c r="AB36" s="61">
        <f ca="1">IF(ISNUMBER($A32),INDIRECT("System!" &amp; ADDRESS(A32+1,COLUMN(System!W31))),0)</f>
        <v>0</v>
      </c>
      <c r="AC36" s="301">
        <f ca="1">IF(G32=1,F32*D32/2,IF(G32="2a",F32*5/8*D32,IF(G32="2b",F32*3/8*D32,0)))</f>
        <v>0</v>
      </c>
      <c r="AD36" s="61">
        <f ca="1"/>
        <v>0</v>
      </c>
      <c r="AE36" s="7">
        <f t="shared" ref="AE36:BR36" ca="1" si="67">IF(ABS($F34)=AE$1,SIGN($F34),0)</f>
        <v>0</v>
      </c>
      <c r="AF36" s="1">
        <f t="shared" ca="1" si="67"/>
        <v>0</v>
      </c>
      <c r="AG36" s="1">
        <f t="shared" ca="1" si="67"/>
        <v>0</v>
      </c>
      <c r="AH36" s="1">
        <f t="shared" ca="1" si="67"/>
        <v>0</v>
      </c>
      <c r="AI36" s="1">
        <f t="shared" ca="1" si="67"/>
        <v>0</v>
      </c>
      <c r="AJ36" s="26">
        <f t="shared" ca="1" si="67"/>
        <v>0</v>
      </c>
      <c r="AK36" s="26">
        <f t="shared" ca="1" si="67"/>
        <v>0</v>
      </c>
      <c r="AL36" s="26">
        <f t="shared" ca="1" si="67"/>
        <v>0</v>
      </c>
      <c r="AM36" s="26">
        <f t="shared" ca="1" si="67"/>
        <v>0</v>
      </c>
      <c r="AN36" s="26">
        <f t="shared" ca="1" si="67"/>
        <v>0</v>
      </c>
      <c r="AO36" s="26">
        <f t="shared" ca="1" si="67"/>
        <v>0</v>
      </c>
      <c r="AP36" s="26">
        <f t="shared" ca="1" si="67"/>
        <v>0</v>
      </c>
      <c r="AQ36" s="26">
        <f t="shared" ca="1" si="67"/>
        <v>0</v>
      </c>
      <c r="AR36" s="26">
        <f t="shared" ca="1" si="67"/>
        <v>0</v>
      </c>
      <c r="AS36" s="26">
        <f t="shared" ca="1" si="67"/>
        <v>0</v>
      </c>
      <c r="AT36" s="26">
        <f t="shared" ca="1" si="67"/>
        <v>0</v>
      </c>
      <c r="AU36" s="26">
        <f t="shared" ca="1" si="67"/>
        <v>0</v>
      </c>
      <c r="AV36" s="26">
        <f t="shared" ca="1" si="67"/>
        <v>0</v>
      </c>
      <c r="AW36" s="26">
        <f t="shared" ca="1" si="67"/>
        <v>0</v>
      </c>
      <c r="AX36" s="26">
        <f t="shared" ca="1" si="67"/>
        <v>0</v>
      </c>
      <c r="AY36" s="26">
        <f t="shared" ca="1" si="67"/>
        <v>0</v>
      </c>
      <c r="AZ36" s="26">
        <f t="shared" ca="1" si="67"/>
        <v>0</v>
      </c>
      <c r="BA36" s="26">
        <f t="shared" ca="1" si="67"/>
        <v>0</v>
      </c>
      <c r="BB36" s="26">
        <f t="shared" ca="1" si="67"/>
        <v>0</v>
      </c>
      <c r="BC36" s="26">
        <f t="shared" ca="1" si="67"/>
        <v>0</v>
      </c>
      <c r="BD36" s="26">
        <f t="shared" ca="1" si="67"/>
        <v>0</v>
      </c>
      <c r="BE36" s="26">
        <f t="shared" ca="1" si="67"/>
        <v>0</v>
      </c>
      <c r="BF36" s="26">
        <f t="shared" ca="1" si="67"/>
        <v>0</v>
      </c>
      <c r="BG36" s="26">
        <f t="shared" ca="1" si="67"/>
        <v>0</v>
      </c>
      <c r="BH36" s="26">
        <f t="shared" ca="1" si="67"/>
        <v>0</v>
      </c>
      <c r="BI36" s="26">
        <f t="shared" ca="1" si="67"/>
        <v>0</v>
      </c>
      <c r="BJ36" s="26">
        <f t="shared" ca="1" si="67"/>
        <v>0</v>
      </c>
      <c r="BK36" s="26">
        <f t="shared" ca="1" si="67"/>
        <v>0</v>
      </c>
      <c r="BL36" s="26">
        <f t="shared" ca="1" si="67"/>
        <v>0</v>
      </c>
      <c r="BM36" s="26">
        <f t="shared" ca="1" si="67"/>
        <v>0</v>
      </c>
      <c r="BN36" s="26">
        <f t="shared" ca="1" si="67"/>
        <v>0</v>
      </c>
      <c r="BO36" s="26">
        <f t="shared" ca="1" si="67"/>
        <v>0</v>
      </c>
      <c r="BP36" s="26">
        <f t="shared" ca="1" si="67"/>
        <v>0</v>
      </c>
      <c r="BQ36" s="26">
        <f t="shared" ca="1" si="67"/>
        <v>0</v>
      </c>
      <c r="BR36" s="26">
        <f t="shared" ca="1" si="67"/>
        <v>0</v>
      </c>
      <c r="BS36" s="282">
        <f ca="1">IF(ISNUMBER($A32),IF(INDEX(B34:G34,5)&lt;&gt;0,SIGN(INDEX(B34:G34,5))*INDIRECT(ADDRESS(1+ABS(INDEX(B34:G34,5)),COLUMN(Ksys!$B$1),1,TRUE,"Ksys")),0)+AB36,0)</f>
        <v>0</v>
      </c>
      <c r="BT36" s="61">
        <f ca="1"/>
        <v>0</v>
      </c>
      <c r="BU36" s="61">
        <f ca="1"/>
        <v>0</v>
      </c>
      <c r="BV36" s="61">
        <f ca="1"/>
        <v>0</v>
      </c>
      <c r="BW36" s="296" t="s">
        <v>102</v>
      </c>
      <c r="BX36" s="216">
        <f ca="1">IF(ISNUMBER($A32),$B33*(1-BX$1) + $C33*BX$1 + Knoten!$S$5*BX34,KnotenData!$H$2)</f>
        <v>0.5</v>
      </c>
      <c r="BY36" s="206">
        <f ca="1">IF(ISNUMBER($A32),$B33*(1-BY$1) + $C33*BY$1 + Knoten!$S$5*BY34,KnotenData!$H$2)</f>
        <v>0.5</v>
      </c>
      <c r="BZ36" s="206">
        <f ca="1">IF(ISNUMBER($A32),$B33*(1-BZ$1) + $C33*BZ$1 + Knoten!$S$5*BZ34,KnotenData!$H$2)</f>
        <v>0.5</v>
      </c>
      <c r="CA36" s="206">
        <f ca="1">IF(ISNUMBER($A32),$B33*(1-CA$1) + $C33*CA$1 + Knoten!$S$5*CA34,KnotenData!$H$2)</f>
        <v>0.5</v>
      </c>
      <c r="CB36" s="206">
        <f ca="1">IF(ISNUMBER($A32),$B33*(1-CB$1) + $C33*CB$1 + Knoten!$S$5*CB34,KnotenData!$H$2)</f>
        <v>0.5</v>
      </c>
      <c r="CC36" s="206">
        <f ca="1">IF(ISNUMBER($A32),$B33*(1-CC$1) + $C33*CC$1 + Knoten!$S$5*CC34,KnotenData!$H$2)</f>
        <v>0.5</v>
      </c>
      <c r="CD36" s="206">
        <f ca="1">IF(ISNUMBER($A32),$B33*(1-CD$1) + $C33*CD$1 + Knoten!$S$5*CD34,KnotenData!$H$2)</f>
        <v>0.5</v>
      </c>
      <c r="CE36" s="206">
        <f ca="1">IF(ISNUMBER($A32),$B33*(1-CE$1) + $C33*CE$1 + Knoten!$S$5*CE34,KnotenData!$H$2)</f>
        <v>0.5</v>
      </c>
      <c r="CF36" s="206">
        <f ca="1">IF(ISNUMBER($A32),$B33*(1-CF$1) + $C33*CF$1 + Knoten!$S$5*CF34,KnotenData!$H$2)</f>
        <v>0.5</v>
      </c>
      <c r="CG36" s="206">
        <f ca="1">IF(ISNUMBER($A32),$B33*(1-CG$1) + $C33*CG$1 + Knoten!$S$5*CG34,KnotenData!$H$2)</f>
        <v>0.5</v>
      </c>
      <c r="CH36" s="217">
        <f ca="1">IF(ISNUMBER($A32),$B33*(1-CH$1) + $C33*CH$1 + Knoten!$S$5*CH34,KnotenData!$H$2)</f>
        <v>0.5</v>
      </c>
      <c r="CI36" s="447">
        <f ca="1">MIN(BX36:CH36)</f>
        <v>0.5</v>
      </c>
      <c r="CJ36" s="447">
        <f ca="1">MIN(BX37:CH37)</f>
        <v>0.47499999999999998</v>
      </c>
      <c r="CK36" s="445"/>
      <c r="CL36" s="12"/>
      <c r="CM36" s="293" t="s">
        <v>102</v>
      </c>
      <c r="CN36" s="216">
        <f ca="1">IF(ISNUMBER($A32),$B33*(1-CN$1) + $C33*CN$1 + Momente!$D$6*CN34,KnotenData!$H$2)</f>
        <v>0.5</v>
      </c>
      <c r="CO36" s="206">
        <f ca="1">IF(ISNUMBER($A32),$B33*(1-CO$1) + $C33*CO$1 + Momente!$D$6*CO34,KnotenData!$H$2)</f>
        <v>0.5</v>
      </c>
      <c r="CP36" s="206">
        <f ca="1">IF(ISNUMBER($A32),$B33*(1-CP$1) + $C33*CP$1 + Momente!$D$6*CP34,KnotenData!$H$2)</f>
        <v>0.5</v>
      </c>
      <c r="CQ36" s="206">
        <f ca="1">IF(ISNUMBER($A32),$B33*(1-CQ$1) + $C33*CQ$1 + Momente!$D$6*CQ34,KnotenData!$H$2)</f>
        <v>0.5</v>
      </c>
      <c r="CR36" s="206">
        <f ca="1">IF(ISNUMBER($A32),$B33*(1-CR$1) + $C33*CR$1 + Momente!$D$6*CR34,KnotenData!$H$2)</f>
        <v>0.5</v>
      </c>
      <c r="CS36" s="206">
        <f ca="1">IF(ISNUMBER($A32),$B33*(1-CS$1) + $C33*CS$1 + Momente!$D$6*CS34,KnotenData!$H$2)</f>
        <v>0.5</v>
      </c>
      <c r="CT36" s="206">
        <f ca="1">IF(ISNUMBER($A32),$B33*(1-CT$1) + $C33*CT$1 + Momente!$D$6*CT34,KnotenData!$H$2)</f>
        <v>0.5</v>
      </c>
      <c r="CU36" s="206">
        <f ca="1">IF(ISNUMBER($A32),$B33*(1-CU$1) + $C33*CU$1 + Momente!$D$6*CU34,KnotenData!$H$2)</f>
        <v>0.5</v>
      </c>
      <c r="CV36" s="206">
        <f ca="1">IF(ISNUMBER($A32),$B33*(1-CV$1) + $C33*CV$1 + Momente!$D$6*CV34,KnotenData!$H$2)</f>
        <v>0.5</v>
      </c>
      <c r="CW36" s="206">
        <f ca="1">IF(ISNUMBER($A32),$B33*(1-CW$1) + $C33*CW$1 + Momente!$D$6*CW34,KnotenData!$H$2)</f>
        <v>0.5</v>
      </c>
      <c r="CX36" s="206">
        <f ca="1">IF(ISNUMBER($A32),$B33*(1-CX$1) + $C33*CX$1 + Momente!$D$6*CX34,KnotenData!$H$2)</f>
        <v>0.5</v>
      </c>
      <c r="CY36" s="206">
        <f ca="1">IF(ISNUMBER($A32),$C33,KnotenData!$H$2)</f>
        <v>0.5</v>
      </c>
      <c r="CZ36" s="206">
        <f ca="1">IF(ISNUMBER($A32),$B33,KnotenData!$H$2)</f>
        <v>0.5</v>
      </c>
      <c r="DA36" s="305">
        <f ca="1">IF(ISNUMBER($A32),CN36,KnotenData!$H$2)</f>
        <v>0.5</v>
      </c>
      <c r="DB36" s="7">
        <f ca="1">MIN(CN36:DA36)</f>
        <v>0.5</v>
      </c>
      <c r="DC36" s="8">
        <f ca="1">MIN(CN37:DA37)</f>
        <v>0.47499999999999998</v>
      </c>
      <c r="DD36" s="345"/>
      <c r="DE36" s="12"/>
      <c r="DF36" s="293" t="s">
        <v>102</v>
      </c>
      <c r="DG36" s="216">
        <f ca="1">IF(ISNUMBER($A32),$B33*(1-DG$1) + $C33*DG$1 + Querkräfte!$D$6*DG34,KnotenData!$H$2)</f>
        <v>0.5</v>
      </c>
      <c r="DH36" s="206">
        <f ca="1">IF(ISNUMBER($A32),$B33*(1-DH$1) + $C33*DH$1 + Querkräfte!$D$6*DH34,KnotenData!$H$2)</f>
        <v>0.5</v>
      </c>
      <c r="DI36" s="206">
        <f ca="1">IF(ISNUMBER($A32),$B33*(1-DI$1) + $C33*DI$1 + Querkräfte!$D$6*DI34,KnotenData!$H$2)</f>
        <v>0.5</v>
      </c>
      <c r="DJ36" s="206">
        <f ca="1">IF(ISNUMBER($A32),$B33*(1-DJ$1) + $C33*DJ$1 + Querkräfte!$D$6*DJ34,KnotenData!$H$2)</f>
        <v>0.5</v>
      </c>
      <c r="DK36" s="206">
        <f ca="1">IF(ISNUMBER($A32),$B33*(1-DK$1) + $C33*DK$1 + Querkräfte!$D$6*DK34,KnotenData!$H$2)</f>
        <v>0.5</v>
      </c>
      <c r="DL36" s="206">
        <f ca="1">IF(ISNUMBER($A32),$B33*(1-DL$1) + $C33*DL$1 + Querkräfte!$D$6*DL34,KnotenData!$H$2)</f>
        <v>0.5</v>
      </c>
      <c r="DM36" s="206">
        <f ca="1">IF(ISNUMBER($A32),$B33*(1-DM$1) + $C33*DM$1 + Querkräfte!$D$6*DM34,KnotenData!$H$2)</f>
        <v>0.5</v>
      </c>
      <c r="DN36" s="206">
        <f ca="1">IF(ISNUMBER($A32),$B33*(1-DN$1) + $C33*DN$1 + Querkräfte!$D$6*DN34,KnotenData!$H$2)</f>
        <v>0.5</v>
      </c>
      <c r="DO36" s="206">
        <f ca="1">IF(ISNUMBER($A32),$B33*(1-DO$1) + $C33*DO$1 + Querkräfte!$D$6*DO34,KnotenData!$H$2)</f>
        <v>0.5</v>
      </c>
      <c r="DP36" s="206">
        <f ca="1">IF(ISNUMBER($A32),$B33*(1-DP$1) + $C33*DP$1 + Querkräfte!$D$6*DP34,KnotenData!$H$2)</f>
        <v>0.5</v>
      </c>
      <c r="DQ36" s="206">
        <f ca="1">IF(ISNUMBER($A32),$B33*(1-DQ$1) + $C33*DQ$1 + Querkräfte!$D$6*DQ34,KnotenData!$H$2)</f>
        <v>0.5</v>
      </c>
      <c r="DR36" s="206">
        <f ca="1">IF(ISNUMBER($A32),$C33,KnotenData!$H$2)</f>
        <v>0.5</v>
      </c>
      <c r="DS36" s="206">
        <f ca="1">IF(ISNUMBER($A32),$B33,KnotenData!$H$2)</f>
        <v>0.5</v>
      </c>
      <c r="DT36" s="217">
        <f ca="1">IF(ISNUMBER($A32),DG36,KnotenData!$H$2)</f>
        <v>0.5</v>
      </c>
      <c r="DU36" s="145">
        <f ca="1">MIN(DG36:DQ36)</f>
        <v>0.5</v>
      </c>
      <c r="DV36" s="8">
        <f ca="1">MIN(DG37:DQ37)</f>
        <v>0.47499999999999998</v>
      </c>
      <c r="DW36" s="345"/>
      <c r="DX36" s="12"/>
      <c r="DY36" s="293" t="s">
        <v>102</v>
      </c>
      <c r="DZ36" s="216">
        <f ca="1">IF(ISNUMBER($A32),$B33*(1-DZ$1) + $C33*DZ$1 + Normalkräfte!$D$6*DZ34,KnotenData!$H$2)</f>
        <v>0.5</v>
      </c>
      <c r="EA36" s="206">
        <f ca="1">IF(ISNUMBER($A32),$B33*(1-EA$1) + $C33*EA$1 + Normalkräfte!$D$6*EA34,KnotenData!$H$2)</f>
        <v>0.5</v>
      </c>
      <c r="EB36" s="206">
        <f ca="1">IF(ISNUMBER($A32),$B33*(1-EB$1) + $C33*EB$1 + Normalkräfte!$D$6*EB34,KnotenData!$H$2)</f>
        <v>0.5</v>
      </c>
      <c r="EC36" s="206">
        <f ca="1">IF(ISNUMBER($A32),$B33*(1-EC$1) + $C33*EC$1 + Normalkräfte!$D$6*EC34,KnotenData!$H$2)</f>
        <v>0.5</v>
      </c>
      <c r="ED36" s="206">
        <f ca="1">IF(ISNUMBER($A32),$B33*(1-ED$1) + $C33*ED$1 + Normalkräfte!$D$6*ED34,KnotenData!$H$2)</f>
        <v>0.5</v>
      </c>
      <c r="EE36" s="206">
        <f ca="1">IF(ISNUMBER($A32),$B33*(1-EE$1) + $C33*EE$1 + Normalkräfte!$D$6*EE34,KnotenData!$H$2)</f>
        <v>0.5</v>
      </c>
      <c r="EF36" s="206">
        <f ca="1">IF(ISNUMBER($A32),$B33*(1-EF$1) + $C33*EF$1 + Normalkräfte!$D$6*EF34,KnotenData!$H$2)</f>
        <v>0.5</v>
      </c>
      <c r="EG36" s="206">
        <f ca="1">IF(ISNUMBER($A32),$B33*(1-EG$1) + $C33*EG$1 + Normalkräfte!$D$6*EG34,KnotenData!$H$2)</f>
        <v>0.5</v>
      </c>
      <c r="EH36" s="206">
        <f ca="1">IF(ISNUMBER($A32),$B33*(1-EH$1) + $C33*EH$1 + Normalkräfte!$D$6*EH34,KnotenData!$H$2)</f>
        <v>0.5</v>
      </c>
      <c r="EI36" s="206">
        <f ca="1">IF(ISNUMBER($A32),$B33*(1-EI$1) + $C33*EI$1 + Normalkräfte!$D$6*EI34,KnotenData!$H$2)</f>
        <v>0.5</v>
      </c>
      <c r="EJ36" s="206">
        <f ca="1">IF(ISNUMBER($A32),$B33*(1-EJ$1) + $C33*EJ$1 + Normalkräfte!$D$6*EJ34,KnotenData!$H$2)</f>
        <v>0.5</v>
      </c>
      <c r="EK36" s="256">
        <f ca="1">IF(ISNUMBER($A32),$C33,KnotenData!$H$2)</f>
        <v>0.5</v>
      </c>
      <c r="EL36" s="206">
        <f ca="1">IF(ISNUMBER($A32),$B33,KnotenData!$H$2)</f>
        <v>0.5</v>
      </c>
      <c r="EM36" s="217">
        <f ca="1">IF(ISNUMBER($A32),DZ36,KnotenData!$H$2)</f>
        <v>0.5</v>
      </c>
      <c r="EN36" s="7">
        <f ca="1">MIN(DZ36:EJ36)</f>
        <v>0.5</v>
      </c>
      <c r="EO36" s="8">
        <f ca="1">MIN(DZ37:EJ37)</f>
        <v>0.47499999999999998</v>
      </c>
      <c r="EP36" s="345"/>
    </row>
    <row r="37" spans="1:146" ht="13.5" thickBot="1" x14ac:dyDescent="0.25">
      <c r="E37" s="12"/>
      <c r="F37" s="12"/>
      <c r="J37" s="9">
        <v>0</v>
      </c>
      <c r="K37" s="10">
        <f ca="1">IF(G32=1,-6*B32/D32^2,IF(G32="2a",-3*B32/D32^2,IF(G32="2b",0,0)))</f>
        <v>0</v>
      </c>
      <c r="L37" s="146">
        <f ca="1">IF(G32=1,2*B32/D32,IF(G32="2a",0,IF(G32="2b",0,0)))</f>
        <v>0</v>
      </c>
      <c r="M37" s="9">
        <v>0</v>
      </c>
      <c r="N37" s="10">
        <f ca="1">-K37</f>
        <v>0</v>
      </c>
      <c r="O37" s="181">
        <f ca="1">IF(G32=1,4*B32/D32,IF(G32="2a",3*B32/D32,IF(G32="2b",0,0)))</f>
        <v>0</v>
      </c>
      <c r="P37" s="185">
        <v>0</v>
      </c>
      <c r="Q37" s="103">
        <v>0</v>
      </c>
      <c r="R37" s="103">
        <v>0</v>
      </c>
      <c r="S37" s="111">
        <v>0</v>
      </c>
      <c r="T37" s="111">
        <v>0</v>
      </c>
      <c r="U37" s="112">
        <v>1</v>
      </c>
      <c r="V37" s="9">
        <f ca="1"/>
        <v>0</v>
      </c>
      <c r="W37" s="10">
        <f ca="1"/>
        <v>0</v>
      </c>
      <c r="X37" s="146">
        <f ca="1"/>
        <v>0</v>
      </c>
      <c r="Y37" s="9">
        <f ca="1"/>
        <v>0</v>
      </c>
      <c r="Z37" s="10">
        <f ca="1"/>
        <v>0</v>
      </c>
      <c r="AA37" s="181">
        <f ca="1"/>
        <v>0</v>
      </c>
      <c r="AB37" s="62">
        <f ca="1">IF(ISNUMBER($A32),INDIRECT("System!" &amp; ADDRESS(A32+1,COLUMN(System!X31))),0)</f>
        <v>0</v>
      </c>
      <c r="AC37" s="302">
        <f ca="1">IF(G32=1,F32*D32^2/12,IF(G32="2a",F32*D32^2/8,IF(G32="2b",0,0)))</f>
        <v>0</v>
      </c>
      <c r="AD37" s="62">
        <f ca="1"/>
        <v>0</v>
      </c>
      <c r="AE37" s="9">
        <f t="shared" ref="AE37:BR37" ca="1" si="68">IF(ABS($G34)=AE$1,SIGN($G34),0)</f>
        <v>0</v>
      </c>
      <c r="AF37" s="10">
        <f t="shared" ca="1" si="68"/>
        <v>0</v>
      </c>
      <c r="AG37" s="10">
        <f t="shared" ca="1" si="68"/>
        <v>0</v>
      </c>
      <c r="AH37" s="10">
        <f t="shared" ca="1" si="68"/>
        <v>0</v>
      </c>
      <c r="AI37" s="10">
        <f t="shared" ca="1" si="68"/>
        <v>0</v>
      </c>
      <c r="AJ37" s="188">
        <f t="shared" ca="1" si="68"/>
        <v>0</v>
      </c>
      <c r="AK37" s="188">
        <f t="shared" ca="1" si="68"/>
        <v>0</v>
      </c>
      <c r="AL37" s="188">
        <f t="shared" ca="1" si="68"/>
        <v>0</v>
      </c>
      <c r="AM37" s="188">
        <f t="shared" ca="1" si="68"/>
        <v>0</v>
      </c>
      <c r="AN37" s="188">
        <f t="shared" ca="1" si="68"/>
        <v>0</v>
      </c>
      <c r="AO37" s="188">
        <f t="shared" ca="1" si="68"/>
        <v>0</v>
      </c>
      <c r="AP37" s="188">
        <f t="shared" ca="1" si="68"/>
        <v>0</v>
      </c>
      <c r="AQ37" s="188">
        <f t="shared" ca="1" si="68"/>
        <v>0</v>
      </c>
      <c r="AR37" s="188">
        <f t="shared" ca="1" si="68"/>
        <v>0</v>
      </c>
      <c r="AS37" s="188">
        <f t="shared" ca="1" si="68"/>
        <v>0</v>
      </c>
      <c r="AT37" s="188">
        <f t="shared" ca="1" si="68"/>
        <v>0</v>
      </c>
      <c r="AU37" s="188">
        <f t="shared" ca="1" si="68"/>
        <v>0</v>
      </c>
      <c r="AV37" s="188">
        <f t="shared" ca="1" si="68"/>
        <v>0</v>
      </c>
      <c r="AW37" s="188">
        <f t="shared" ca="1" si="68"/>
        <v>0</v>
      </c>
      <c r="AX37" s="188">
        <f t="shared" ca="1" si="68"/>
        <v>0</v>
      </c>
      <c r="AY37" s="188">
        <f t="shared" ca="1" si="68"/>
        <v>0</v>
      </c>
      <c r="AZ37" s="188">
        <f t="shared" ca="1" si="68"/>
        <v>0</v>
      </c>
      <c r="BA37" s="188">
        <f t="shared" ca="1" si="68"/>
        <v>0</v>
      </c>
      <c r="BB37" s="188">
        <f t="shared" ca="1" si="68"/>
        <v>0</v>
      </c>
      <c r="BC37" s="188">
        <f t="shared" ca="1" si="68"/>
        <v>0</v>
      </c>
      <c r="BD37" s="188">
        <f t="shared" ca="1" si="68"/>
        <v>0</v>
      </c>
      <c r="BE37" s="188">
        <f t="shared" ca="1" si="68"/>
        <v>0</v>
      </c>
      <c r="BF37" s="188">
        <f t="shared" ca="1" si="68"/>
        <v>0</v>
      </c>
      <c r="BG37" s="188">
        <f t="shared" ca="1" si="68"/>
        <v>0</v>
      </c>
      <c r="BH37" s="188">
        <f t="shared" ca="1" si="68"/>
        <v>0</v>
      </c>
      <c r="BI37" s="188">
        <f t="shared" ca="1" si="68"/>
        <v>0</v>
      </c>
      <c r="BJ37" s="188">
        <f t="shared" ca="1" si="68"/>
        <v>0</v>
      </c>
      <c r="BK37" s="188">
        <f t="shared" ca="1" si="68"/>
        <v>0</v>
      </c>
      <c r="BL37" s="188">
        <f t="shared" ca="1" si="68"/>
        <v>0</v>
      </c>
      <c r="BM37" s="188">
        <f t="shared" ca="1" si="68"/>
        <v>0</v>
      </c>
      <c r="BN37" s="188">
        <f t="shared" ca="1" si="68"/>
        <v>0</v>
      </c>
      <c r="BO37" s="188">
        <f t="shared" ca="1" si="68"/>
        <v>0</v>
      </c>
      <c r="BP37" s="188">
        <f t="shared" ca="1" si="68"/>
        <v>0</v>
      </c>
      <c r="BQ37" s="188">
        <f t="shared" ca="1" si="68"/>
        <v>0</v>
      </c>
      <c r="BR37" s="188">
        <f t="shared" ca="1" si="68"/>
        <v>0</v>
      </c>
      <c r="BS37" s="283">
        <f ca="1">IF(ISNUMBER($A32),IF(INDEX(B34:G34,6)&lt;&gt;0,SIGN(INDEX(B34:G34,6))*INDIRECT(ADDRESS(1+ABS(INDEX(B34:G34,6)),COLUMN(Ksys!$B$1),1,TRUE,"Ksys")),0)+AB37,0)</f>
        <v>0</v>
      </c>
      <c r="BT37" s="62">
        <f ca="1"/>
        <v>0</v>
      </c>
      <c r="BU37" s="62">
        <f ca="1"/>
        <v>0</v>
      </c>
      <c r="BV37" s="62">
        <f ca="1"/>
        <v>0</v>
      </c>
      <c r="BW37" s="297" t="s">
        <v>103</v>
      </c>
      <c r="BX37" s="218">
        <f ca="1">IF(ISNUMBER($A32),$D33*(1-BX$1) + $E33*BX$1 + Knoten!$S$5*BX35,KnotenData!$H$3)</f>
        <v>0.47499999999999998</v>
      </c>
      <c r="BY37" s="295">
        <f ca="1">IF(ISNUMBER($A32),$D33*(1-BY$1) + $E33*BY$1 + Knoten!$S$5*BY35,KnotenData!$H$3)</f>
        <v>0.47499999999999998</v>
      </c>
      <c r="BZ37" s="295">
        <f ca="1">IF(ISNUMBER($A32),$D33*(1-BZ$1) + $E33*BZ$1 + Knoten!$S$5*BZ35,KnotenData!$H$3)</f>
        <v>0.47499999999999998</v>
      </c>
      <c r="CA37" s="295">
        <f ca="1">IF(ISNUMBER($A32),$D33*(1-CA$1) + $E33*CA$1 + Knoten!$S$5*CA35,KnotenData!$H$3)</f>
        <v>0.47499999999999998</v>
      </c>
      <c r="CB37" s="295">
        <f ca="1">IF(ISNUMBER($A32),$D33*(1-CB$1) + $E33*CB$1 + Knoten!$S$5*CB35,KnotenData!$H$3)</f>
        <v>0.47499999999999998</v>
      </c>
      <c r="CC37" s="295">
        <f ca="1">IF(ISNUMBER($A32),$D33*(1-CC$1) + $E33*CC$1 + Knoten!$S$5*CC35,KnotenData!$H$3)</f>
        <v>0.47499999999999998</v>
      </c>
      <c r="CD37" s="295">
        <f ca="1">IF(ISNUMBER($A32),$D33*(1-CD$1) + $E33*CD$1 + Knoten!$S$5*CD35,KnotenData!$H$3)</f>
        <v>0.47499999999999998</v>
      </c>
      <c r="CE37" s="295">
        <f ca="1">IF(ISNUMBER($A32),$D33*(1-CE$1) + $E33*CE$1 + Knoten!$S$5*CE35,KnotenData!$H$3)</f>
        <v>0.47499999999999998</v>
      </c>
      <c r="CF37" s="295">
        <f ca="1">IF(ISNUMBER($A32),$D33*(1-CF$1) + $E33*CF$1 + Knoten!$S$5*CF35,KnotenData!$H$3)</f>
        <v>0.47499999999999998</v>
      </c>
      <c r="CG37" s="295">
        <f ca="1">IF(ISNUMBER($A32),$D33*(1-CG$1) + $E33*CG$1 + Knoten!$S$5*CG35,KnotenData!$H$3)</f>
        <v>0.47499999999999998</v>
      </c>
      <c r="CH37" s="219">
        <f ca="1">IF(ISNUMBER($A32),$D33*(1-CH$1) + $E33*CH$1 + Knoten!$S$5*CH35,KnotenData!$H$3)</f>
        <v>0.47499999999999998</v>
      </c>
      <c r="CI37" s="449">
        <f ca="1">MAX(BX36:CH36)</f>
        <v>0.5</v>
      </c>
      <c r="CJ37" s="448">
        <f ca="1">MAX(BX37:CH37)</f>
        <v>0.47499999999999998</v>
      </c>
      <c r="CK37" s="446"/>
      <c r="CL37" s="12">
        <v>6</v>
      </c>
      <c r="CM37" s="294" t="s">
        <v>103</v>
      </c>
      <c r="CN37" s="218">
        <f ca="1">IF(ISNUMBER($A32),$D33*(1-CN$1) + $E33*CN$1 + Momente!$D$6*CN35,KnotenData!$H$3)</f>
        <v>0.47499999999999998</v>
      </c>
      <c r="CO37" s="295">
        <f ca="1">IF(ISNUMBER($A32),$D33*(1-CO$1) + $E33*CO$1 + Momente!$D$6*CO35,KnotenData!$H$3)</f>
        <v>0.47499999999999998</v>
      </c>
      <c r="CP37" s="295">
        <f ca="1">IF(ISNUMBER($A32),$D33*(1-CP$1) + $E33*CP$1 + Momente!$D$6*CP35,KnotenData!$H$3)</f>
        <v>0.47499999999999998</v>
      </c>
      <c r="CQ37" s="295">
        <f ca="1">IF(ISNUMBER($A32),$D33*(1-CQ$1) + $E33*CQ$1 + Momente!$D$6*CQ35,KnotenData!$H$3)</f>
        <v>0.47499999999999998</v>
      </c>
      <c r="CR37" s="295">
        <f ca="1">IF(ISNUMBER($A32),$D33*(1-CR$1) + $E33*CR$1 + Momente!$D$6*CR35,KnotenData!$H$3)</f>
        <v>0.47499999999999998</v>
      </c>
      <c r="CS37" s="295">
        <f ca="1">IF(ISNUMBER($A32),$D33*(1-CS$1) + $E33*CS$1 + Momente!$D$6*CS35,KnotenData!$H$3)</f>
        <v>0.47499999999999998</v>
      </c>
      <c r="CT37" s="295">
        <f ca="1">IF(ISNUMBER($A32),$D33*(1-CT$1) + $E33*CT$1 + Momente!$D$6*CT35,KnotenData!$H$3)</f>
        <v>0.47499999999999998</v>
      </c>
      <c r="CU37" s="295">
        <f ca="1">IF(ISNUMBER($A32),$D33*(1-CU$1) + $E33*CU$1 + Momente!$D$6*CU35,KnotenData!$H$3)</f>
        <v>0.47499999999999998</v>
      </c>
      <c r="CV37" s="295">
        <f ca="1">IF(ISNUMBER($A32),$D33*(1-CV$1) + $E33*CV$1 + Momente!$D$6*CV35,KnotenData!$H$3)</f>
        <v>0.47499999999999998</v>
      </c>
      <c r="CW37" s="295">
        <f ca="1">IF(ISNUMBER($A32),$D33*(1-CW$1) + $E33*CW$1 + Momente!$D$6*CW35,KnotenData!$H$3)</f>
        <v>0.47499999999999998</v>
      </c>
      <c r="CX37" s="295">
        <f ca="1">IF(ISNUMBER($A32),$D33*(1-CX$1) + $E33*CX$1 + Momente!$D$6*CX35,KnotenData!$H$3)</f>
        <v>0.47499999999999998</v>
      </c>
      <c r="CY37" s="295">
        <f ca="1">IF(ISNUMBER($A32),$E33,KnotenData!$H$3)</f>
        <v>0.47499999999999998</v>
      </c>
      <c r="CZ37" s="295">
        <f ca="1">IF(ISNUMBER($A32),$D33,KnotenData!$H$3)</f>
        <v>0.47499999999999998</v>
      </c>
      <c r="DA37" s="306">
        <f ca="1">IF(ISNUMBER($A32),CN37,KnotenData!$H$3)</f>
        <v>0.47499999999999998</v>
      </c>
      <c r="DB37" s="9">
        <f ca="1">MAX(CN36:DA36)</f>
        <v>0.5</v>
      </c>
      <c r="DC37" s="146">
        <f ca="1">MAX(CN37:DA37)</f>
        <v>0.47499999999999998</v>
      </c>
      <c r="DD37" s="346"/>
      <c r="DE37" s="12">
        <v>6</v>
      </c>
      <c r="DF37" s="294" t="s">
        <v>103</v>
      </c>
      <c r="DG37" s="218">
        <f ca="1">IF(ISNUMBER($A32),$D33*(1-DG$1) + $E33*DG$1 + Querkräfte!$D$6*DG35,KnotenData!$H$3)</f>
        <v>0.47499999999999998</v>
      </c>
      <c r="DH37" s="295">
        <f ca="1">IF(ISNUMBER($A32),$D33*(1-DH$1) + $E33*DH$1 + Querkräfte!$D$6*DH35,KnotenData!$H$3)</f>
        <v>0.47499999999999998</v>
      </c>
      <c r="DI37" s="295">
        <f ca="1">IF(ISNUMBER($A32),$D33*(1-DI$1) + $E33*DI$1 + Querkräfte!$D$6*DI35,KnotenData!$H$3)</f>
        <v>0.47499999999999998</v>
      </c>
      <c r="DJ37" s="295">
        <f ca="1">IF(ISNUMBER($A32),$D33*(1-DJ$1) + $E33*DJ$1 + Querkräfte!$D$6*DJ35,KnotenData!$H$3)</f>
        <v>0.47499999999999998</v>
      </c>
      <c r="DK37" s="295">
        <f ca="1">IF(ISNUMBER($A32),$D33*(1-DK$1) + $E33*DK$1 + Querkräfte!$D$6*DK35,KnotenData!$H$3)</f>
        <v>0.47499999999999998</v>
      </c>
      <c r="DL37" s="295">
        <f ca="1">IF(ISNUMBER($A32),$D33*(1-DL$1) + $E33*DL$1 + Querkräfte!$D$6*DL35,KnotenData!$H$3)</f>
        <v>0.47499999999999998</v>
      </c>
      <c r="DM37" s="295">
        <f ca="1">IF(ISNUMBER($A32),$D33*(1-DM$1) + $E33*DM$1 + Querkräfte!$D$6*DM35,KnotenData!$H$3)</f>
        <v>0.47499999999999998</v>
      </c>
      <c r="DN37" s="295">
        <f ca="1">IF(ISNUMBER($A32),$D33*(1-DN$1) + $E33*DN$1 + Querkräfte!$D$6*DN35,KnotenData!$H$3)</f>
        <v>0.47499999999999998</v>
      </c>
      <c r="DO37" s="295">
        <f ca="1">IF(ISNUMBER($A32),$D33*(1-DO$1) + $E33*DO$1 + Querkräfte!$D$6*DO35,KnotenData!$H$3)</f>
        <v>0.47499999999999998</v>
      </c>
      <c r="DP37" s="295">
        <f ca="1">IF(ISNUMBER($A32),$D33*(1-DP$1) + $E33*DP$1 + Querkräfte!$D$6*DP35,KnotenData!$H$3)</f>
        <v>0.47499999999999998</v>
      </c>
      <c r="DQ37" s="295">
        <f ca="1">IF(ISNUMBER($A32),$D33*(1-DQ$1) + $E33*DQ$1 + Querkräfte!$D$6*DQ35,KnotenData!$H$3)</f>
        <v>0.47499999999999998</v>
      </c>
      <c r="DR37" s="295">
        <f ca="1">IF(ISNUMBER($A32),$E33,KnotenData!$H$3)</f>
        <v>0.47499999999999998</v>
      </c>
      <c r="DS37" s="295">
        <f ca="1">IF(ISNUMBER($A32),$D33,KnotenData!$H$3)</f>
        <v>0.47499999999999998</v>
      </c>
      <c r="DT37" s="219">
        <f ca="1">IF(ISNUMBER($A32),DG37,KnotenData!$H$3)</f>
        <v>0.47499999999999998</v>
      </c>
      <c r="DU37" s="11">
        <f ca="1">MAX(DG36:DQ36)</f>
        <v>0.5</v>
      </c>
      <c r="DV37" s="146">
        <f ca="1">MAX(DG37:DQ37)</f>
        <v>0.47499999999999998</v>
      </c>
      <c r="DW37" s="346"/>
      <c r="DX37" s="12">
        <v>6</v>
      </c>
      <c r="DY37" s="294" t="s">
        <v>103</v>
      </c>
      <c r="DZ37" s="218">
        <f ca="1">IF(ISNUMBER($A32),$D33*(1-DZ$1) + $E33*DZ$1 + Normalkräfte!$D$6*DZ35,KnotenData!$H$3)</f>
        <v>0.47499999999999998</v>
      </c>
      <c r="EA37" s="295">
        <f ca="1">IF(ISNUMBER($A32),$D33*(1-EA$1) + $E33*EA$1 + Normalkräfte!$D$6*EA35,KnotenData!$H$3)</f>
        <v>0.47499999999999998</v>
      </c>
      <c r="EB37" s="295">
        <f ca="1">IF(ISNUMBER($A32),$D33*(1-EB$1) + $E33*EB$1 + Normalkräfte!$D$6*EB35,KnotenData!$H$3)</f>
        <v>0.47499999999999998</v>
      </c>
      <c r="EC37" s="295">
        <f ca="1">IF(ISNUMBER($A32),$D33*(1-EC$1) + $E33*EC$1 + Normalkräfte!$D$6*EC35,KnotenData!$H$3)</f>
        <v>0.47499999999999998</v>
      </c>
      <c r="ED37" s="295">
        <f ca="1">IF(ISNUMBER($A32),$D33*(1-ED$1) + $E33*ED$1 + Normalkräfte!$D$6*ED35,KnotenData!$H$3)</f>
        <v>0.47499999999999998</v>
      </c>
      <c r="EE37" s="295">
        <f ca="1">IF(ISNUMBER($A32),$D33*(1-EE$1) + $E33*EE$1 + Normalkräfte!$D$6*EE35,KnotenData!$H$3)</f>
        <v>0.47499999999999998</v>
      </c>
      <c r="EF37" s="295">
        <f ca="1">IF(ISNUMBER($A32),$D33*(1-EF$1) + $E33*EF$1 + Normalkräfte!$D$6*EF35,KnotenData!$H$3)</f>
        <v>0.47499999999999998</v>
      </c>
      <c r="EG37" s="295">
        <f ca="1">IF(ISNUMBER($A32),$D33*(1-EG$1) + $E33*EG$1 + Normalkräfte!$D$6*EG35,KnotenData!$H$3)</f>
        <v>0.47499999999999998</v>
      </c>
      <c r="EH37" s="295">
        <f ca="1">IF(ISNUMBER($A32),$D33*(1-EH$1) + $E33*EH$1 + Normalkräfte!$D$6*EH35,KnotenData!$H$3)</f>
        <v>0.47499999999999998</v>
      </c>
      <c r="EI37" s="295">
        <f ca="1">IF(ISNUMBER($A32),$D33*(1-EI$1) + $E33*EI$1 + Normalkräfte!$D$6*EI35,KnotenData!$H$3)</f>
        <v>0.47499999999999998</v>
      </c>
      <c r="EJ37" s="295">
        <f ca="1">IF(ISNUMBER($A32),$D33*(1-EJ$1) + $E33*EJ$1 + Normalkräfte!$D$6*EJ35,KnotenData!$H$3)</f>
        <v>0.47499999999999998</v>
      </c>
      <c r="EK37" s="295">
        <f ca="1">IF(ISNUMBER($A32),$E33,KnotenData!$H$3)</f>
        <v>0.47499999999999998</v>
      </c>
      <c r="EL37" s="295">
        <f ca="1">IF(ISNUMBER($A32),$D33,KnotenData!$H$3)</f>
        <v>0.47499999999999998</v>
      </c>
      <c r="EM37" s="219">
        <f ca="1">IF(ISNUMBER($A32),DZ37,KnotenData!$H$3)</f>
        <v>0.47499999999999998</v>
      </c>
      <c r="EN37" s="9">
        <f ca="1">MAX(DZ36:EJ36)</f>
        <v>0.5</v>
      </c>
      <c r="EO37" s="146">
        <f ca="1">MAX(DZ37:EJ37)</f>
        <v>0.47499999999999998</v>
      </c>
      <c r="EP37" s="346"/>
    </row>
    <row r="38" spans="1:146" x14ac:dyDescent="0.2">
      <c r="A38" s="205" t="str">
        <f ca="1">IF(ISNUMBER(INDIRECT("System!C" &amp;(ROW(A38)+4)/6+1)),INDIRECT("System!B"&amp;(ROW(A38)+4)/6+1),"")</f>
        <v/>
      </c>
      <c r="B38" s="206">
        <f ca="1">IF(ISNUMBER(A38),INDIRECT("System!" &amp; ADDRESS(A38 +1,COLUMN(System!E37))),0)</f>
        <v>0</v>
      </c>
      <c r="C38" s="206">
        <f ca="1">IF(ISNUMBER(A38),INDIRECT("System!" &amp; ADDRESS(A38 +1,COLUMN(System!F37))),0)</f>
        <v>0</v>
      </c>
      <c r="D38" s="209">
        <f ca="1">IF(ISNUMBER(A38),INDIRECT("System!" &amp; ADDRESS(A38 +1,COLUMN(System!O37))),0)</f>
        <v>0</v>
      </c>
      <c r="E38" s="208" t="str">
        <f ca="1">IF(ISNUMBER(A38),INDIRECT("System!" &amp; ADDRESS(A38 +1,COLUMN(System!G37))),"")</f>
        <v/>
      </c>
      <c r="F38" s="208" t="str">
        <f ca="1">IF(ISNUMBER(A38),INDIRECT("System!" &amp; ADDRESS(A38 +1,COLUMN(System!H37))),"")</f>
        <v/>
      </c>
      <c r="G38" s="261" t="str">
        <f ca="1">IF(ISNUMBER(A38),INDIRECT("System!" &amp; ADDRESS(A38 +1,COLUMN(System!I37))),"")</f>
        <v/>
      </c>
      <c r="H38" s="207">
        <f ca="1">IF(ISNUMBER($A38),INDIRECT("System!" &amp; ADDRESS($A38 +1,COLUMN(System!Q37))),0)</f>
        <v>0</v>
      </c>
      <c r="I38" s="207">
        <f ca="1">IF(ISNUMBER($A38),INDIRECT("System!" &amp; ADDRESS($A38 +1,COLUMN(System!R37))),0)</f>
        <v>0</v>
      </c>
      <c r="J38" s="179">
        <f ca="1">IF(ISNUMBER(A38),C38/D38,0)</f>
        <v>0</v>
      </c>
      <c r="K38" s="5">
        <v>0</v>
      </c>
      <c r="L38" s="6">
        <v>0</v>
      </c>
      <c r="M38" s="4">
        <f ca="1">-J38</f>
        <v>0</v>
      </c>
      <c r="N38" s="5">
        <v>0</v>
      </c>
      <c r="O38" s="6">
        <v>0</v>
      </c>
      <c r="P38" s="141">
        <f ca="1">I38</f>
        <v>0</v>
      </c>
      <c r="Q38" s="142">
        <f ca="1">-H38</f>
        <v>0</v>
      </c>
      <c r="R38" s="142">
        <v>0</v>
      </c>
      <c r="S38" s="182">
        <v>0</v>
      </c>
      <c r="T38" s="182">
        <v>0</v>
      </c>
      <c r="U38" s="183">
        <v>0</v>
      </c>
      <c r="V38" s="179">
        <f t="array" aca="1" ref="V38:AA43" ca="1">MMULT(TRANSPOSE(P38:U43),MMULT(J38:O43,P38:U43))</f>
        <v>0</v>
      </c>
      <c r="W38" s="5">
        <f ca="1"/>
        <v>0</v>
      </c>
      <c r="X38" s="6">
        <f ca="1"/>
        <v>0</v>
      </c>
      <c r="Y38" s="4">
        <f ca="1"/>
        <v>0</v>
      </c>
      <c r="Z38" s="5">
        <f ca="1"/>
        <v>0</v>
      </c>
      <c r="AA38" s="6">
        <f ca="1"/>
        <v>0</v>
      </c>
      <c r="AB38" s="60">
        <f ca="1">IF(ISNUMBER($A38),INDIRECT("System!" &amp; ADDRESS(A38+1,COLUMN(System!S37))),0)</f>
        <v>0</v>
      </c>
      <c r="AC38" s="299">
        <f ca="1">IF(ISNUMBER(E38),E38*D38/2,0)</f>
        <v>0</v>
      </c>
      <c r="AD38" s="60">
        <f t="array" aca="1" ref="AD38:AD43" ca="1">MMULT(TRANSPOSE(P38:U43),AC38:AC43) - MMULT(V38:AA43,AB38:AB43)</f>
        <v>0</v>
      </c>
      <c r="AE38" s="4">
        <f t="shared" ref="AE38:BR38" ca="1" si="69">IF(ABS($B40)=AE$1,SIGN($B40),0)</f>
        <v>0</v>
      </c>
      <c r="AF38" s="5">
        <f t="shared" ca="1" si="69"/>
        <v>0</v>
      </c>
      <c r="AG38" s="5">
        <f t="shared" ca="1" si="69"/>
        <v>0</v>
      </c>
      <c r="AH38" s="5">
        <f t="shared" ca="1" si="69"/>
        <v>0</v>
      </c>
      <c r="AI38" s="5">
        <f t="shared" ca="1" si="69"/>
        <v>0</v>
      </c>
      <c r="AJ38" s="189">
        <f t="shared" ca="1" si="69"/>
        <v>0</v>
      </c>
      <c r="AK38" s="189">
        <f t="shared" ca="1" si="69"/>
        <v>0</v>
      </c>
      <c r="AL38" s="189">
        <f t="shared" ca="1" si="69"/>
        <v>0</v>
      </c>
      <c r="AM38" s="189">
        <f t="shared" ca="1" si="69"/>
        <v>0</v>
      </c>
      <c r="AN38" s="189">
        <f t="shared" ca="1" si="69"/>
        <v>0</v>
      </c>
      <c r="AO38" s="189">
        <f t="shared" ca="1" si="69"/>
        <v>0</v>
      </c>
      <c r="AP38" s="189">
        <f t="shared" ca="1" si="69"/>
        <v>0</v>
      </c>
      <c r="AQ38" s="189">
        <f t="shared" ca="1" si="69"/>
        <v>0</v>
      </c>
      <c r="AR38" s="189">
        <f t="shared" ca="1" si="69"/>
        <v>0</v>
      </c>
      <c r="AS38" s="189">
        <f t="shared" ca="1" si="69"/>
        <v>0</v>
      </c>
      <c r="AT38" s="189">
        <f t="shared" ca="1" si="69"/>
        <v>0</v>
      </c>
      <c r="AU38" s="189">
        <f t="shared" ca="1" si="69"/>
        <v>0</v>
      </c>
      <c r="AV38" s="189">
        <f t="shared" ca="1" si="69"/>
        <v>0</v>
      </c>
      <c r="AW38" s="189">
        <f t="shared" ca="1" si="69"/>
        <v>0</v>
      </c>
      <c r="AX38" s="189">
        <f t="shared" ca="1" si="69"/>
        <v>0</v>
      </c>
      <c r="AY38" s="189">
        <f t="shared" ca="1" si="69"/>
        <v>0</v>
      </c>
      <c r="AZ38" s="189">
        <f t="shared" ca="1" si="69"/>
        <v>0</v>
      </c>
      <c r="BA38" s="189">
        <f t="shared" ca="1" si="69"/>
        <v>0</v>
      </c>
      <c r="BB38" s="189">
        <f t="shared" ca="1" si="69"/>
        <v>0</v>
      </c>
      <c r="BC38" s="189">
        <f t="shared" ca="1" si="69"/>
        <v>0</v>
      </c>
      <c r="BD38" s="189">
        <f t="shared" ca="1" si="69"/>
        <v>0</v>
      </c>
      <c r="BE38" s="189">
        <f t="shared" ca="1" si="69"/>
        <v>0</v>
      </c>
      <c r="BF38" s="189">
        <f t="shared" ca="1" si="69"/>
        <v>0</v>
      </c>
      <c r="BG38" s="189">
        <f t="shared" ca="1" si="69"/>
        <v>0</v>
      </c>
      <c r="BH38" s="189">
        <f t="shared" ca="1" si="69"/>
        <v>0</v>
      </c>
      <c r="BI38" s="189">
        <f t="shared" ca="1" si="69"/>
        <v>0</v>
      </c>
      <c r="BJ38" s="189">
        <f t="shared" ca="1" si="69"/>
        <v>0</v>
      </c>
      <c r="BK38" s="189">
        <f t="shared" ca="1" si="69"/>
        <v>0</v>
      </c>
      <c r="BL38" s="189">
        <f t="shared" ca="1" si="69"/>
        <v>0</v>
      </c>
      <c r="BM38" s="189">
        <f t="shared" ca="1" si="69"/>
        <v>0</v>
      </c>
      <c r="BN38" s="189">
        <f t="shared" ca="1" si="69"/>
        <v>0</v>
      </c>
      <c r="BO38" s="189">
        <f t="shared" ca="1" si="69"/>
        <v>0</v>
      </c>
      <c r="BP38" s="189">
        <f t="shared" ca="1" si="69"/>
        <v>0</v>
      </c>
      <c r="BQ38" s="189">
        <f t="shared" ca="1" si="69"/>
        <v>0</v>
      </c>
      <c r="BR38" s="189">
        <f t="shared" ca="1" si="69"/>
        <v>0</v>
      </c>
      <c r="BS38" s="281">
        <f ca="1">IF(ISNUMBER($A38),IF(INDEX(B40:G40,1)&lt;&gt;0,SIGN(INDEX(B40:G40,1))*INDIRECT(ADDRESS(1+ABS(INDEX(B40:G40,1)),COLUMN(Ksys!$B$1),1,TRUE,"Ksys")),0)+AB38,0)</f>
        <v>0</v>
      </c>
      <c r="BT38" s="27">
        <f t="array" aca="1" ref="BT38:BT43" ca="1">MMULT(P38:U43,BS38:BS43)</f>
        <v>0</v>
      </c>
      <c r="BU38" s="27">
        <f t="array" aca="1" ref="BU38:BU43" ca="1">MMULT(J38:O43,BT38:BT43)-AC38:AC43</f>
        <v>0</v>
      </c>
      <c r="BV38" s="27">
        <f t="array" aca="1" ref="BV38:BV40" ca="1">-(MMULT(J38:O40,BT38:BT43)-AC38:AC40)</f>
        <v>0</v>
      </c>
      <c r="BW38" s="290" t="s">
        <v>97</v>
      </c>
      <c r="BX38" s="4">
        <f t="shared" ref="BX38:CH38" ca="1" si="70">IF(ISNUMBER($A38),$BT38*(1-BX$1) + $BT41*BX$1,0)</f>
        <v>0</v>
      </c>
      <c r="BY38" s="5">
        <f t="shared" ca="1" si="70"/>
        <v>0</v>
      </c>
      <c r="BZ38" s="5">
        <f t="shared" ca="1" si="70"/>
        <v>0</v>
      </c>
      <c r="CA38" s="5">
        <f t="shared" ca="1" si="70"/>
        <v>0</v>
      </c>
      <c r="CB38" s="5">
        <f t="shared" ca="1" si="70"/>
        <v>0</v>
      </c>
      <c r="CC38" s="5">
        <f t="shared" ca="1" si="70"/>
        <v>0</v>
      </c>
      <c r="CD38" s="5">
        <f t="shared" ca="1" si="70"/>
        <v>0</v>
      </c>
      <c r="CE38" s="5">
        <f t="shared" ca="1" si="70"/>
        <v>0</v>
      </c>
      <c r="CF38" s="5">
        <f t="shared" ca="1" si="70"/>
        <v>0</v>
      </c>
      <c r="CG38" s="5">
        <f t="shared" ca="1" si="70"/>
        <v>0</v>
      </c>
      <c r="CH38" s="6">
        <f t="shared" ca="1" si="70"/>
        <v>0</v>
      </c>
      <c r="CI38" s="343"/>
      <c r="CJ38" s="343"/>
      <c r="CK38" s="308"/>
      <c r="CL38" s="12"/>
      <c r="CM38" s="290" t="s">
        <v>97</v>
      </c>
      <c r="CN38" s="4">
        <v>0</v>
      </c>
      <c r="CO38" s="5">
        <v>0</v>
      </c>
      <c r="CP38" s="5">
        <v>0</v>
      </c>
      <c r="CQ38" s="5">
        <v>0</v>
      </c>
      <c r="CR38" s="5">
        <v>0</v>
      </c>
      <c r="CS38" s="5">
        <v>0</v>
      </c>
      <c r="CT38" s="5">
        <v>0</v>
      </c>
      <c r="CU38" s="5">
        <v>0</v>
      </c>
      <c r="CV38" s="5">
        <v>0</v>
      </c>
      <c r="CW38" s="5">
        <v>0</v>
      </c>
      <c r="CX38" s="5">
        <v>0</v>
      </c>
      <c r="CY38" s="5"/>
      <c r="CZ38" s="5"/>
      <c r="DA38" s="189"/>
      <c r="DB38" s="307"/>
      <c r="DC38" s="308"/>
      <c r="DD38" s="343"/>
      <c r="DE38" s="12"/>
      <c r="DF38" s="290" t="s">
        <v>97</v>
      </c>
      <c r="DG38" s="4">
        <v>0</v>
      </c>
      <c r="DH38" s="5">
        <v>0</v>
      </c>
      <c r="DI38" s="5">
        <v>0</v>
      </c>
      <c r="DJ38" s="5">
        <v>0</v>
      </c>
      <c r="DK38" s="5">
        <v>0</v>
      </c>
      <c r="DL38" s="5">
        <v>0</v>
      </c>
      <c r="DM38" s="5">
        <v>0</v>
      </c>
      <c r="DN38" s="5">
        <v>0</v>
      </c>
      <c r="DO38" s="5">
        <v>0</v>
      </c>
      <c r="DP38" s="5">
        <v>0</v>
      </c>
      <c r="DQ38" s="5">
        <v>0</v>
      </c>
      <c r="DR38" s="5"/>
      <c r="DS38" s="5"/>
      <c r="DT38" s="6"/>
      <c r="DU38" s="325"/>
      <c r="DV38" s="308"/>
      <c r="DW38" s="343"/>
      <c r="DX38" s="12"/>
      <c r="DY38" s="290" t="s">
        <v>97</v>
      </c>
      <c r="DZ38" s="4">
        <v>0</v>
      </c>
      <c r="EA38" s="5">
        <v>0</v>
      </c>
      <c r="EB38" s="5">
        <v>0</v>
      </c>
      <c r="EC38" s="5">
        <v>0</v>
      </c>
      <c r="ED38" s="5">
        <v>0</v>
      </c>
      <c r="EE38" s="5">
        <v>0</v>
      </c>
      <c r="EF38" s="5">
        <v>0</v>
      </c>
      <c r="EG38" s="5">
        <v>0</v>
      </c>
      <c r="EH38" s="5">
        <v>0</v>
      </c>
      <c r="EI38" s="5">
        <v>0</v>
      </c>
      <c r="EJ38" s="5">
        <v>0</v>
      </c>
      <c r="EK38" s="5"/>
      <c r="EL38" s="5"/>
      <c r="EM38" s="6"/>
      <c r="EN38" s="307"/>
      <c r="EO38" s="308"/>
      <c r="EP38" s="343"/>
    </row>
    <row r="39" spans="1:146" x14ac:dyDescent="0.2">
      <c r="B39" s="1">
        <f ca="1">IF(ISNUMBER($A38),INDIRECT(ADDRESS($A38+1,COLUMN(System!K$2),1,TRUE,"System")),0)</f>
        <v>0</v>
      </c>
      <c r="C39" s="1">
        <f ca="1">IF(ISNUMBER($A38),INDIRECT(ADDRESS($A38+1,COLUMN(System!L$2),1,TRUE,"System")),0)</f>
        <v>0</v>
      </c>
      <c r="D39" s="1">
        <f ca="1">IF(ISNUMBER($A38),INDIRECT(ADDRESS($A38+1,COLUMN(System!M$2),1,TRUE,"System")),0)</f>
        <v>0</v>
      </c>
      <c r="E39" s="1">
        <f ca="1">IF(ISNUMBER($A38),INDIRECT(ADDRESS($A38+1,COLUMN(System!N$2),1,TRUE,"System")),0)</f>
        <v>0</v>
      </c>
      <c r="F39" s="12"/>
      <c r="J39" s="7">
        <v>0</v>
      </c>
      <c r="K39" s="180">
        <f ca="1">IF(G38=1,12*B38/D38^3,IF(G38="2a",3*B38/D38^3,IF(G38="2b",3*B38/D38^3,0)))</f>
        <v>0</v>
      </c>
      <c r="L39" s="8">
        <f ca="1">K40</f>
        <v>0</v>
      </c>
      <c r="M39" s="7">
        <v>0</v>
      </c>
      <c r="N39" s="1">
        <f ca="1">-K39</f>
        <v>0</v>
      </c>
      <c r="O39" s="8">
        <f ca="1">K43</f>
        <v>0</v>
      </c>
      <c r="P39" s="143">
        <f ca="1">H38</f>
        <v>0</v>
      </c>
      <c r="Q39" s="99">
        <f ca="1">I38</f>
        <v>0</v>
      </c>
      <c r="R39" s="99">
        <v>0</v>
      </c>
      <c r="S39" s="101">
        <v>0</v>
      </c>
      <c r="T39" s="101">
        <v>0</v>
      </c>
      <c r="U39" s="110">
        <v>0</v>
      </c>
      <c r="V39" s="7">
        <f ca="1"/>
        <v>0</v>
      </c>
      <c r="W39" s="180">
        <f ca="1"/>
        <v>0</v>
      </c>
      <c r="X39" s="8">
        <f ca="1"/>
        <v>0</v>
      </c>
      <c r="Y39" s="7">
        <f ca="1"/>
        <v>0</v>
      </c>
      <c r="Z39" s="1">
        <f ca="1"/>
        <v>0</v>
      </c>
      <c r="AA39" s="8">
        <f ca="1"/>
        <v>0</v>
      </c>
      <c r="AB39" s="61">
        <f ca="1">IF(ISNUMBER($A38),INDIRECT("System!" &amp; ADDRESS(A38+1,COLUMN(System!T37))),0)</f>
        <v>0</v>
      </c>
      <c r="AC39" s="301">
        <f ca="1">IF(G38=1,F38*D38/2,IF(G38="2a",F38*3/8*D38,IF(G38="2b",F38*5/8*D38,0)))</f>
        <v>0</v>
      </c>
      <c r="AD39" s="61">
        <f ca="1"/>
        <v>0</v>
      </c>
      <c r="AE39" s="7">
        <f t="shared" ref="AE39:BR39" ca="1" si="71">IF(ABS($C40)=AE$1,SIGN($C40),0)</f>
        <v>0</v>
      </c>
      <c r="AF39" s="1">
        <f t="shared" ca="1" si="71"/>
        <v>0</v>
      </c>
      <c r="AG39" s="1">
        <f t="shared" ca="1" si="71"/>
        <v>0</v>
      </c>
      <c r="AH39" s="1">
        <f t="shared" ca="1" si="71"/>
        <v>0</v>
      </c>
      <c r="AI39" s="1">
        <f t="shared" ca="1" si="71"/>
        <v>0</v>
      </c>
      <c r="AJ39" s="26">
        <f t="shared" ca="1" si="71"/>
        <v>0</v>
      </c>
      <c r="AK39" s="26">
        <f t="shared" ca="1" si="71"/>
        <v>0</v>
      </c>
      <c r="AL39" s="26">
        <f t="shared" ca="1" si="71"/>
        <v>0</v>
      </c>
      <c r="AM39" s="26">
        <f t="shared" ca="1" si="71"/>
        <v>0</v>
      </c>
      <c r="AN39" s="26">
        <f t="shared" ca="1" si="71"/>
        <v>0</v>
      </c>
      <c r="AO39" s="26">
        <f t="shared" ca="1" si="71"/>
        <v>0</v>
      </c>
      <c r="AP39" s="26">
        <f t="shared" ca="1" si="71"/>
        <v>0</v>
      </c>
      <c r="AQ39" s="26">
        <f t="shared" ca="1" si="71"/>
        <v>0</v>
      </c>
      <c r="AR39" s="26">
        <f t="shared" ca="1" si="71"/>
        <v>0</v>
      </c>
      <c r="AS39" s="26">
        <f t="shared" ca="1" si="71"/>
        <v>0</v>
      </c>
      <c r="AT39" s="26">
        <f t="shared" ca="1" si="71"/>
        <v>0</v>
      </c>
      <c r="AU39" s="26">
        <f t="shared" ca="1" si="71"/>
        <v>0</v>
      </c>
      <c r="AV39" s="26">
        <f t="shared" ca="1" si="71"/>
        <v>0</v>
      </c>
      <c r="AW39" s="26">
        <f t="shared" ca="1" si="71"/>
        <v>0</v>
      </c>
      <c r="AX39" s="26">
        <f t="shared" ca="1" si="71"/>
        <v>0</v>
      </c>
      <c r="AY39" s="26">
        <f t="shared" ca="1" si="71"/>
        <v>0</v>
      </c>
      <c r="AZ39" s="26">
        <f t="shared" ca="1" si="71"/>
        <v>0</v>
      </c>
      <c r="BA39" s="26">
        <f t="shared" ca="1" si="71"/>
        <v>0</v>
      </c>
      <c r="BB39" s="26">
        <f t="shared" ca="1" si="71"/>
        <v>0</v>
      </c>
      <c r="BC39" s="26">
        <f t="shared" ca="1" si="71"/>
        <v>0</v>
      </c>
      <c r="BD39" s="26">
        <f t="shared" ca="1" si="71"/>
        <v>0</v>
      </c>
      <c r="BE39" s="26">
        <f t="shared" ca="1" si="71"/>
        <v>0</v>
      </c>
      <c r="BF39" s="26">
        <f t="shared" ca="1" si="71"/>
        <v>0</v>
      </c>
      <c r="BG39" s="26">
        <f t="shared" ca="1" si="71"/>
        <v>0</v>
      </c>
      <c r="BH39" s="26">
        <f t="shared" ca="1" si="71"/>
        <v>0</v>
      </c>
      <c r="BI39" s="26">
        <f t="shared" ca="1" si="71"/>
        <v>0</v>
      </c>
      <c r="BJ39" s="26">
        <f t="shared" ca="1" si="71"/>
        <v>0</v>
      </c>
      <c r="BK39" s="26">
        <f t="shared" ca="1" si="71"/>
        <v>0</v>
      </c>
      <c r="BL39" s="26">
        <f t="shared" ca="1" si="71"/>
        <v>0</v>
      </c>
      <c r="BM39" s="26">
        <f t="shared" ca="1" si="71"/>
        <v>0</v>
      </c>
      <c r="BN39" s="26">
        <f t="shared" ca="1" si="71"/>
        <v>0</v>
      </c>
      <c r="BO39" s="26">
        <f t="shared" ca="1" si="71"/>
        <v>0</v>
      </c>
      <c r="BP39" s="26">
        <f t="shared" ca="1" si="71"/>
        <v>0</v>
      </c>
      <c r="BQ39" s="26">
        <f t="shared" ca="1" si="71"/>
        <v>0</v>
      </c>
      <c r="BR39" s="26">
        <f t="shared" ca="1" si="71"/>
        <v>0</v>
      </c>
      <c r="BS39" s="282">
        <f ca="1">IF(ISNUMBER($A38),IF(INDEX(B40:G40,2)&lt;&gt;0,SIGN(INDEX(B40:G40,2))*INDIRECT(ADDRESS(1+ABS(INDEX(B40:G40,2)),COLUMN(Ksys!$B$1),1,TRUE,"Ksys")),0)+AB39,0)</f>
        <v>0</v>
      </c>
      <c r="BT39" s="284">
        <f ca="1"/>
        <v>0</v>
      </c>
      <c r="BU39" s="284">
        <f ca="1"/>
        <v>0</v>
      </c>
      <c r="BV39" s="284">
        <f ca="1"/>
        <v>0</v>
      </c>
      <c r="BW39" s="291" t="s">
        <v>100</v>
      </c>
      <c r="BX39" s="272">
        <f t="shared" ref="BX39:CH39" ca="1" si="72" xml:space="preserve">  IF(ISNUMBER($A38),$BT39*(1-BX$1) + $BT42*BX$1 + ((1-BX$1)-(1-BX$1)^3)*$D38^2/6*$BV40/$B38 + (BX$1-(BX$1)^3)*$D38^2/6*$BV43/$B38 + (BX$1-2*(BX$1)^3+(BX$1)^4)*$D38^2/3*$F38*$D38^2/8/$B38,0)</f>
        <v>0</v>
      </c>
      <c r="BY39" s="173">
        <f t="shared" ca="1" si="72"/>
        <v>0</v>
      </c>
      <c r="BZ39" s="173">
        <f t="shared" ca="1" si="72"/>
        <v>0</v>
      </c>
      <c r="CA39" s="173">
        <f t="shared" ca="1" si="72"/>
        <v>0</v>
      </c>
      <c r="CB39" s="173">
        <f t="shared" ca="1" si="72"/>
        <v>0</v>
      </c>
      <c r="CC39" s="173">
        <f t="shared" ca="1" si="72"/>
        <v>0</v>
      </c>
      <c r="CD39" s="173">
        <f t="shared" ca="1" si="72"/>
        <v>0</v>
      </c>
      <c r="CE39" s="173">
        <f t="shared" ca="1" si="72"/>
        <v>0</v>
      </c>
      <c r="CF39" s="173">
        <f t="shared" ca="1" si="72"/>
        <v>0</v>
      </c>
      <c r="CG39" s="173">
        <f t="shared" ca="1" si="72"/>
        <v>0</v>
      </c>
      <c r="CH39" s="289">
        <f t="shared" ca="1" si="72"/>
        <v>0</v>
      </c>
      <c r="CI39" s="344"/>
      <c r="CJ39" s="344"/>
      <c r="CK39" s="312"/>
      <c r="CL39" s="12"/>
      <c r="CM39" s="291" t="s">
        <v>100</v>
      </c>
      <c r="CN39" s="7">
        <f t="shared" ref="CN39:CX39" ca="1" si="73" xml:space="preserve">  IF(ISNUMBER($A38),$BV40*(1-CN$1) + $BV43*CN$1  + CN$1*(1-CN$1)*$F38*$D38^2/2,0)</f>
        <v>0</v>
      </c>
      <c r="CO39" s="1">
        <f t="shared" ca="1" si="73"/>
        <v>0</v>
      </c>
      <c r="CP39" s="1">
        <f t="shared" ca="1" si="73"/>
        <v>0</v>
      </c>
      <c r="CQ39" s="1">
        <f t="shared" ca="1" si="73"/>
        <v>0</v>
      </c>
      <c r="CR39" s="1">
        <f t="shared" ca="1" si="73"/>
        <v>0</v>
      </c>
      <c r="CS39" s="1">
        <f t="shared" ca="1" si="73"/>
        <v>0</v>
      </c>
      <c r="CT39" s="1">
        <f t="shared" ca="1" si="73"/>
        <v>0</v>
      </c>
      <c r="CU39" s="1">
        <f t="shared" ca="1" si="73"/>
        <v>0</v>
      </c>
      <c r="CV39" s="1">
        <f t="shared" ca="1" si="73"/>
        <v>0</v>
      </c>
      <c r="CW39" s="1">
        <f t="shared" ca="1" si="73"/>
        <v>0</v>
      </c>
      <c r="CX39" s="1">
        <f t="shared" ca="1" si="73"/>
        <v>0</v>
      </c>
      <c r="CY39" s="1"/>
      <c r="CZ39" s="1"/>
      <c r="DA39" s="26"/>
      <c r="DB39" s="309"/>
      <c r="DC39" s="310"/>
      <c r="DD39" s="345"/>
      <c r="DE39" s="12"/>
      <c r="DF39" s="291" t="s">
        <v>100</v>
      </c>
      <c r="DG39" s="7">
        <f t="shared" ref="DG39:DQ39" ca="1" si="74" xml:space="preserve">  IF(ISNUMBER($A38),$BV39*(1-DG$1) + $BV42*DG$1,0)</f>
        <v>0</v>
      </c>
      <c r="DH39" s="1">
        <f t="shared" ca="1" si="74"/>
        <v>0</v>
      </c>
      <c r="DI39" s="1">
        <f t="shared" ca="1" si="74"/>
        <v>0</v>
      </c>
      <c r="DJ39" s="1">
        <f t="shared" ca="1" si="74"/>
        <v>0</v>
      </c>
      <c r="DK39" s="1">
        <f t="shared" ca="1" si="74"/>
        <v>0</v>
      </c>
      <c r="DL39" s="1">
        <f t="shared" ca="1" si="74"/>
        <v>0</v>
      </c>
      <c r="DM39" s="1">
        <f t="shared" ca="1" si="74"/>
        <v>0</v>
      </c>
      <c r="DN39" s="1">
        <f t="shared" ca="1" si="74"/>
        <v>0</v>
      </c>
      <c r="DO39" s="1">
        <f t="shared" ca="1" si="74"/>
        <v>0</v>
      </c>
      <c r="DP39" s="1">
        <f t="shared" ca="1" si="74"/>
        <v>0</v>
      </c>
      <c r="DQ39" s="1">
        <f t="shared" ca="1" si="74"/>
        <v>0</v>
      </c>
      <c r="DR39" s="1"/>
      <c r="DS39" s="1"/>
      <c r="DT39" s="8"/>
      <c r="DU39" s="12"/>
      <c r="DV39" s="310"/>
      <c r="DW39" s="345"/>
      <c r="DX39" s="12"/>
      <c r="DY39" s="291" t="s">
        <v>100</v>
      </c>
      <c r="DZ39" s="7">
        <f t="shared" ref="DZ39:EJ39" ca="1" si="75" xml:space="preserve">  IF(ISNUMBER($A38),$BV38*(1-DZ$1) + $BV41*DZ$1,0)</f>
        <v>0</v>
      </c>
      <c r="EA39" s="1">
        <f t="shared" ca="1" si="75"/>
        <v>0</v>
      </c>
      <c r="EB39" s="1">
        <f t="shared" ca="1" si="75"/>
        <v>0</v>
      </c>
      <c r="EC39" s="1">
        <f t="shared" ca="1" si="75"/>
        <v>0</v>
      </c>
      <c r="ED39" s="1">
        <f t="shared" ca="1" si="75"/>
        <v>0</v>
      </c>
      <c r="EE39" s="1">
        <f t="shared" ca="1" si="75"/>
        <v>0</v>
      </c>
      <c r="EF39" s="1">
        <f t="shared" ca="1" si="75"/>
        <v>0</v>
      </c>
      <c r="EG39" s="1">
        <f t="shared" ca="1" si="75"/>
        <v>0</v>
      </c>
      <c r="EH39" s="1">
        <f t="shared" ca="1" si="75"/>
        <v>0</v>
      </c>
      <c r="EI39" s="1">
        <f t="shared" ca="1" si="75"/>
        <v>0</v>
      </c>
      <c r="EJ39" s="1">
        <f t="shared" ca="1" si="75"/>
        <v>0</v>
      </c>
      <c r="EK39" s="1"/>
      <c r="EL39" s="1"/>
      <c r="EM39" s="8"/>
      <c r="EN39" s="309"/>
      <c r="EO39" s="310"/>
      <c r="EP39" s="345"/>
    </row>
    <row r="40" spans="1:146" ht="13.5" thickBot="1" x14ac:dyDescent="0.25">
      <c r="B40" s="1">
        <f ca="1">IF(ISNUMBER($A38),INDIRECT("System!" &amp; ADDRESS($A38 +1,COLUMN(System!Y37))),0)</f>
        <v>0</v>
      </c>
      <c r="C40" s="1">
        <f ca="1">IF(ISNUMBER($A38),INDIRECT("System!" &amp; ADDRESS($A38 +1,COLUMN(System!Z37))),0)</f>
        <v>0</v>
      </c>
      <c r="D40" s="1">
        <f ca="1">IF(ISNUMBER($A38),INDIRECT("System!" &amp; ADDRESS($A38 +1,COLUMN(System!AA37))),0)</f>
        <v>0</v>
      </c>
      <c r="E40" s="1">
        <f ca="1">IF(ISNUMBER($A38),INDIRECT("System!" &amp; ADDRESS($A38 +1,COLUMN(System!AB37))),0)</f>
        <v>0</v>
      </c>
      <c r="F40" s="1">
        <f ca="1">IF(ISNUMBER($A38),INDIRECT("System!" &amp; ADDRESS($A38 +1,COLUMN(System!AC37))),0)</f>
        <v>0</v>
      </c>
      <c r="G40" s="1">
        <f ca="1">IF(ISNUMBER($A38),INDIRECT("System!" &amp; ADDRESS($A38 +1,COLUMN(System!AD37))),0)</f>
        <v>0</v>
      </c>
      <c r="J40" s="9">
        <v>0</v>
      </c>
      <c r="K40" s="10">
        <f ca="1">IF(G38=1,-6*B38/D38^2,IF(G38="2a",0,IF(G38="2b",-3*B38/D38^2,0)))</f>
        <v>0</v>
      </c>
      <c r="L40" s="181">
        <f ca="1">IF(G38=1,4*B38/D38,IF(G38="2a",0,IF(G38="2b",3*B38/D38,0)))</f>
        <v>0</v>
      </c>
      <c r="M40" s="9">
        <v>0</v>
      </c>
      <c r="N40" s="10">
        <f ca="1">L42</f>
        <v>0</v>
      </c>
      <c r="O40" s="146">
        <f ca="1">L43</f>
        <v>0</v>
      </c>
      <c r="P40" s="143">
        <v>0</v>
      </c>
      <c r="Q40" s="99">
        <v>0</v>
      </c>
      <c r="R40" s="99">
        <v>1</v>
      </c>
      <c r="S40" s="101">
        <v>0</v>
      </c>
      <c r="T40" s="101">
        <v>0</v>
      </c>
      <c r="U40" s="110">
        <v>0</v>
      </c>
      <c r="V40" s="9">
        <f ca="1"/>
        <v>0</v>
      </c>
      <c r="W40" s="10">
        <f ca="1"/>
        <v>0</v>
      </c>
      <c r="X40" s="181">
        <f ca="1"/>
        <v>0</v>
      </c>
      <c r="Y40" s="9">
        <f ca="1"/>
        <v>0</v>
      </c>
      <c r="Z40" s="10">
        <f ca="1"/>
        <v>0</v>
      </c>
      <c r="AA40" s="146">
        <f ca="1"/>
        <v>0</v>
      </c>
      <c r="AB40" s="61">
        <f ca="1">IF(ISNUMBER($A38),INDIRECT("System!" &amp; ADDRESS(A38+1,COLUMN(System!U37))),0)</f>
        <v>0</v>
      </c>
      <c r="AC40" s="301">
        <f ca="1">IF(G38=1,-F38*D38^2/12,IF(G38="2a",0,IF(G38="2b",-F38*D38^2/8,0)))</f>
        <v>0</v>
      </c>
      <c r="AD40" s="61">
        <f ca="1"/>
        <v>0</v>
      </c>
      <c r="AE40" s="7">
        <f t="shared" ref="AE40:BR40" ca="1" si="76">IF(ABS($D40)=AE$1,SIGN($D40),0)</f>
        <v>0</v>
      </c>
      <c r="AF40" s="1">
        <f t="shared" ca="1" si="76"/>
        <v>0</v>
      </c>
      <c r="AG40" s="1">
        <f t="shared" ca="1" si="76"/>
        <v>0</v>
      </c>
      <c r="AH40" s="1">
        <f t="shared" ca="1" si="76"/>
        <v>0</v>
      </c>
      <c r="AI40" s="1">
        <f t="shared" ca="1" si="76"/>
        <v>0</v>
      </c>
      <c r="AJ40" s="26">
        <f t="shared" ca="1" si="76"/>
        <v>0</v>
      </c>
      <c r="AK40" s="26">
        <f t="shared" ca="1" si="76"/>
        <v>0</v>
      </c>
      <c r="AL40" s="26">
        <f t="shared" ca="1" si="76"/>
        <v>0</v>
      </c>
      <c r="AM40" s="26">
        <f t="shared" ca="1" si="76"/>
        <v>0</v>
      </c>
      <c r="AN40" s="26">
        <f t="shared" ca="1" si="76"/>
        <v>0</v>
      </c>
      <c r="AO40" s="26">
        <f t="shared" ca="1" si="76"/>
        <v>0</v>
      </c>
      <c r="AP40" s="26">
        <f t="shared" ca="1" si="76"/>
        <v>0</v>
      </c>
      <c r="AQ40" s="26">
        <f t="shared" ca="1" si="76"/>
        <v>0</v>
      </c>
      <c r="AR40" s="26">
        <f t="shared" ca="1" si="76"/>
        <v>0</v>
      </c>
      <c r="AS40" s="26">
        <f t="shared" ca="1" si="76"/>
        <v>0</v>
      </c>
      <c r="AT40" s="26">
        <f t="shared" ca="1" si="76"/>
        <v>0</v>
      </c>
      <c r="AU40" s="26">
        <f t="shared" ca="1" si="76"/>
        <v>0</v>
      </c>
      <c r="AV40" s="26">
        <f t="shared" ca="1" si="76"/>
        <v>0</v>
      </c>
      <c r="AW40" s="26">
        <f t="shared" ca="1" si="76"/>
        <v>0</v>
      </c>
      <c r="AX40" s="26">
        <f t="shared" ca="1" si="76"/>
        <v>0</v>
      </c>
      <c r="AY40" s="26">
        <f t="shared" ca="1" si="76"/>
        <v>0</v>
      </c>
      <c r="AZ40" s="26">
        <f t="shared" ca="1" si="76"/>
        <v>0</v>
      </c>
      <c r="BA40" s="26">
        <f t="shared" ca="1" si="76"/>
        <v>0</v>
      </c>
      <c r="BB40" s="26">
        <f t="shared" ca="1" si="76"/>
        <v>0</v>
      </c>
      <c r="BC40" s="26">
        <f t="shared" ca="1" si="76"/>
        <v>0</v>
      </c>
      <c r="BD40" s="26">
        <f t="shared" ca="1" si="76"/>
        <v>0</v>
      </c>
      <c r="BE40" s="26">
        <f t="shared" ca="1" si="76"/>
        <v>0</v>
      </c>
      <c r="BF40" s="26">
        <f t="shared" ca="1" si="76"/>
        <v>0</v>
      </c>
      <c r="BG40" s="26">
        <f t="shared" ca="1" si="76"/>
        <v>0</v>
      </c>
      <c r="BH40" s="26">
        <f t="shared" ca="1" si="76"/>
        <v>0</v>
      </c>
      <c r="BI40" s="26">
        <f t="shared" ca="1" si="76"/>
        <v>0</v>
      </c>
      <c r="BJ40" s="26">
        <f t="shared" ca="1" si="76"/>
        <v>0</v>
      </c>
      <c r="BK40" s="26">
        <f t="shared" ca="1" si="76"/>
        <v>0</v>
      </c>
      <c r="BL40" s="26">
        <f t="shared" ca="1" si="76"/>
        <v>0</v>
      </c>
      <c r="BM40" s="26">
        <f t="shared" ca="1" si="76"/>
        <v>0</v>
      </c>
      <c r="BN40" s="26">
        <f t="shared" ca="1" si="76"/>
        <v>0</v>
      </c>
      <c r="BO40" s="26">
        <f t="shared" ca="1" si="76"/>
        <v>0</v>
      </c>
      <c r="BP40" s="26">
        <f t="shared" ca="1" si="76"/>
        <v>0</v>
      </c>
      <c r="BQ40" s="26">
        <f t="shared" ca="1" si="76"/>
        <v>0</v>
      </c>
      <c r="BR40" s="26">
        <f t="shared" ca="1" si="76"/>
        <v>0</v>
      </c>
      <c r="BS40" s="282">
        <f ca="1">IF(ISNUMBER($A38),IF(INDEX(B40:G40,3)&lt;&gt;0,SIGN(INDEX(B40:G40,3))*INDIRECT(ADDRESS(1+ABS(INDEX(B40:G40,3)),COLUMN(Ksys!$B$1),1,TRUE,"Ksys")),0)+AB40,0)</f>
        <v>0</v>
      </c>
      <c r="BT40" s="284">
        <f ca="1"/>
        <v>0</v>
      </c>
      <c r="BU40" s="284">
        <f ca="1"/>
        <v>0</v>
      </c>
      <c r="BV40" s="284">
        <f ca="1"/>
        <v>0</v>
      </c>
      <c r="BW40" s="291" t="s">
        <v>96</v>
      </c>
      <c r="BX40" s="7">
        <f t="array" aca="1" ref="BX40:BX41" ca="1">IF(ISNUMBER($A38),MMULT(TRANSPOSE($P38:$Q39),BX38:BX39),0)</f>
        <v>0</v>
      </c>
      <c r="BY40" s="1">
        <f t="array" aca="1" ref="BY40:BY41" ca="1">IF(ISNUMBER($A38),MMULT(TRANSPOSE($P38:$Q39),BY38:BY39),0)</f>
        <v>0</v>
      </c>
      <c r="BZ40" s="1">
        <f t="array" aca="1" ref="BZ40:BZ41" ca="1">IF(ISNUMBER($A38),MMULT(TRANSPOSE($P38:$Q39),BZ38:BZ39),0)</f>
        <v>0</v>
      </c>
      <c r="CA40" s="1">
        <f t="array" aca="1" ref="CA40:CA41" ca="1">IF(ISNUMBER($A38),MMULT(TRANSPOSE($P38:$Q39),CA38:CA39),0)</f>
        <v>0</v>
      </c>
      <c r="CB40" s="1">
        <f t="array" aca="1" ref="CB40:CB41" ca="1">IF(ISNUMBER($A38),MMULT(TRANSPOSE($P38:$Q39),CB38:CB39),0)</f>
        <v>0</v>
      </c>
      <c r="CC40" s="1">
        <f t="array" aca="1" ref="CC40:CC41" ca="1">IF(ISNUMBER($A38),MMULT(TRANSPOSE($P38:$Q39),CC38:CC39),0)</f>
        <v>0</v>
      </c>
      <c r="CD40" s="1">
        <f t="array" aca="1" ref="CD40:CD41" ca="1">IF(ISNUMBER($A38),MMULT(TRANSPOSE($P38:$Q39),CD38:CD39),0)</f>
        <v>0</v>
      </c>
      <c r="CE40" s="1">
        <f t="array" aca="1" ref="CE40:CE41" ca="1">IF(ISNUMBER($A38),MMULT(TRANSPOSE($P38:$Q39),CE38:CE39),0)</f>
        <v>0</v>
      </c>
      <c r="CF40" s="1">
        <f t="array" aca="1" ref="CF40:CF41" ca="1">IF(ISNUMBER($A38),MMULT(TRANSPOSE($P38:$Q39),CF38:CF39),0)</f>
        <v>0</v>
      </c>
      <c r="CG40" s="1">
        <f t="array" aca="1" ref="CG40:CG41" ca="1">IF(ISNUMBER($A38),MMULT(TRANSPOSE($P38:$Q39),CG38:CG39),0)</f>
        <v>0</v>
      </c>
      <c r="CH40" s="8">
        <f t="array" aca="1" ref="CH40:CH41" ca="1">IF(ISNUMBER($A38),MMULT(TRANSPOSE($P38:$Q39),CH38:CH39),0)</f>
        <v>0</v>
      </c>
      <c r="CI40" s="345"/>
      <c r="CJ40" s="345"/>
      <c r="CK40" s="444">
        <f ca="1">MAX(MAX(BX40:CH41),ABS(MIN(BX40:CH41)))</f>
        <v>0</v>
      </c>
      <c r="CL40" s="12"/>
      <c r="CM40" s="291" t="s">
        <v>96</v>
      </c>
      <c r="CN40" s="7">
        <f t="array" aca="1" ref="CN40:CN41" ca="1">IF(ISNUMBER($A38),MMULT(TRANSPOSE($P38:$Q39),CN38:CN39),0)</f>
        <v>0</v>
      </c>
      <c r="CO40" s="1">
        <f t="array" aca="1" ref="CO40:CO41" ca="1">IF(ISNUMBER($A38),MMULT(TRANSPOSE($P38:$Q39),CO38:CO39),0)</f>
        <v>0</v>
      </c>
      <c r="CP40" s="1">
        <f t="array" aca="1" ref="CP40:CP41" ca="1">IF(ISNUMBER($A38),MMULT(TRANSPOSE($P38:$Q39),CP38:CP39),0)</f>
        <v>0</v>
      </c>
      <c r="CQ40" s="1">
        <f t="array" aca="1" ref="CQ40:CQ41" ca="1">IF(ISNUMBER($A38),MMULT(TRANSPOSE($P38:$Q39),CQ38:CQ39),0)</f>
        <v>0</v>
      </c>
      <c r="CR40" s="1">
        <f t="array" aca="1" ref="CR40:CR41" ca="1">IF(ISNUMBER($A38),MMULT(TRANSPOSE($P38:$Q39),CR38:CR39),0)</f>
        <v>0</v>
      </c>
      <c r="CS40" s="1">
        <f t="array" aca="1" ref="CS40:CS41" ca="1">IF(ISNUMBER($A38),MMULT(TRANSPOSE($P38:$Q39),CS38:CS39),0)</f>
        <v>0</v>
      </c>
      <c r="CT40" s="1">
        <f t="array" aca="1" ref="CT40:CT41" ca="1">IF(ISNUMBER($A38),MMULT(TRANSPOSE($P38:$Q39),CT38:CT39),0)</f>
        <v>0</v>
      </c>
      <c r="CU40" s="1">
        <f t="array" aca="1" ref="CU40:CU41" ca="1">IF(ISNUMBER($A38),MMULT(TRANSPOSE($P38:$Q39),CU38:CU39),0)</f>
        <v>0</v>
      </c>
      <c r="CV40" s="1">
        <f t="array" aca="1" ref="CV40:CV41" ca="1">IF(ISNUMBER($A38),MMULT(TRANSPOSE($P38:$Q39),CV38:CV39),0)</f>
        <v>0</v>
      </c>
      <c r="CW40" s="1">
        <f t="array" aca="1" ref="CW40:CW41" ca="1">IF(ISNUMBER($A38),MMULT(TRANSPOSE($P38:$Q39),CW38:CW39),0)</f>
        <v>0</v>
      </c>
      <c r="CX40" s="1">
        <f t="array" aca="1" ref="CX40:CX41" ca="1">IF(ISNUMBER($A38),MMULT(TRANSPOSE($P38:$Q39),CX38:CX39),0)</f>
        <v>0</v>
      </c>
      <c r="CY40" s="1"/>
      <c r="CZ40" s="1"/>
      <c r="DA40" s="26"/>
      <c r="DB40" s="309"/>
      <c r="DC40" s="310"/>
      <c r="DD40" s="345"/>
      <c r="DE40" s="12"/>
      <c r="DF40" s="291" t="s">
        <v>96</v>
      </c>
      <c r="DG40" s="7">
        <f t="array" aca="1" ref="DG40:DG41" ca="1">IF(ISNUMBER($A38),MMULT(TRANSPOSE($P38:$Q39),DG38:DG39),0)</f>
        <v>0</v>
      </c>
      <c r="DH40" s="1">
        <f t="array" aca="1" ref="DH40:DH41" ca="1">IF(ISNUMBER($A38),MMULT(TRANSPOSE($P38:$Q39),DH38:DH39),0)</f>
        <v>0</v>
      </c>
      <c r="DI40" s="1">
        <f t="array" aca="1" ref="DI40:DI41" ca="1">IF(ISNUMBER($A38),MMULT(TRANSPOSE($P38:$Q39),DI38:DI39),0)</f>
        <v>0</v>
      </c>
      <c r="DJ40" s="1">
        <f t="array" aca="1" ref="DJ40:DJ41" ca="1">IF(ISNUMBER($A38),MMULT(TRANSPOSE($P38:$Q39),DJ38:DJ39),0)</f>
        <v>0</v>
      </c>
      <c r="DK40" s="1">
        <f t="array" aca="1" ref="DK40:DK41" ca="1">IF(ISNUMBER($A38),MMULT(TRANSPOSE($P38:$Q39),DK38:DK39),0)</f>
        <v>0</v>
      </c>
      <c r="DL40" s="1">
        <f t="array" aca="1" ref="DL40:DL41" ca="1">IF(ISNUMBER($A38),MMULT(TRANSPOSE($P38:$Q39),DL38:DL39),0)</f>
        <v>0</v>
      </c>
      <c r="DM40" s="1">
        <f t="array" aca="1" ref="DM40:DM41" ca="1">IF(ISNUMBER($A38),MMULT(TRANSPOSE($P38:$Q39),DM38:DM39),0)</f>
        <v>0</v>
      </c>
      <c r="DN40" s="1">
        <f t="array" aca="1" ref="DN40:DN41" ca="1">IF(ISNUMBER($A38),MMULT(TRANSPOSE($P38:$Q39),DN38:DN39),0)</f>
        <v>0</v>
      </c>
      <c r="DO40" s="1">
        <f t="array" aca="1" ref="DO40:DO41" ca="1">IF(ISNUMBER($A38),MMULT(TRANSPOSE($P38:$Q39),DO38:DO39),0)</f>
        <v>0</v>
      </c>
      <c r="DP40" s="1">
        <f t="array" aca="1" ref="DP40:DP41" ca="1">IF(ISNUMBER($A38),MMULT(TRANSPOSE($P38:$Q39),DP38:DP39),0)</f>
        <v>0</v>
      </c>
      <c r="DQ40" s="1">
        <f t="array" aca="1" ref="DQ40:DQ41" ca="1">IF(ISNUMBER($A38),MMULT(TRANSPOSE($P38:$Q39),DQ38:DQ39),0)</f>
        <v>0</v>
      </c>
      <c r="DR40" s="1"/>
      <c r="DS40" s="1"/>
      <c r="DT40" s="8"/>
      <c r="DU40" s="12"/>
      <c r="DV40" s="310"/>
      <c r="DW40" s="345"/>
      <c r="DX40" s="12"/>
      <c r="DY40" s="291" t="s">
        <v>96</v>
      </c>
      <c r="DZ40" s="7">
        <f t="array" aca="1" ref="DZ40:DZ41" ca="1">IF(ISNUMBER($A38),MMULT(TRANSPOSE($P38:$Q39),DZ38:DZ39),0)</f>
        <v>0</v>
      </c>
      <c r="EA40" s="1">
        <f t="array" aca="1" ref="EA40:EA41" ca="1">IF(ISNUMBER($A38),MMULT(TRANSPOSE($P38:$Q39),EA38:EA39),0)</f>
        <v>0</v>
      </c>
      <c r="EB40" s="1">
        <f t="array" aca="1" ref="EB40:EB41" ca="1">IF(ISNUMBER($A38),MMULT(TRANSPOSE($P38:$Q39),EB38:EB39),0)</f>
        <v>0</v>
      </c>
      <c r="EC40" s="1">
        <f t="array" aca="1" ref="EC40:EC41" ca="1">IF(ISNUMBER($A38),MMULT(TRANSPOSE($P38:$Q39),EC38:EC39),0)</f>
        <v>0</v>
      </c>
      <c r="ED40" s="1">
        <f t="array" aca="1" ref="ED40:ED41" ca="1">IF(ISNUMBER($A38),MMULT(TRANSPOSE($P38:$Q39),ED38:ED39),0)</f>
        <v>0</v>
      </c>
      <c r="EE40" s="1">
        <f t="array" aca="1" ref="EE40:EE41" ca="1">IF(ISNUMBER($A38),MMULT(TRANSPOSE($P38:$Q39),EE38:EE39),0)</f>
        <v>0</v>
      </c>
      <c r="EF40" s="1">
        <f t="array" aca="1" ref="EF40:EF41" ca="1">IF(ISNUMBER($A38),MMULT(TRANSPOSE($P38:$Q39),EF38:EF39),0)</f>
        <v>0</v>
      </c>
      <c r="EG40" s="1">
        <f t="array" aca="1" ref="EG40:EG41" ca="1">IF(ISNUMBER($A38),MMULT(TRANSPOSE($P38:$Q39),EG38:EG39),0)</f>
        <v>0</v>
      </c>
      <c r="EH40" s="1">
        <f t="array" aca="1" ref="EH40:EH41" ca="1">IF(ISNUMBER($A38),MMULT(TRANSPOSE($P38:$Q39),EH38:EH39),0)</f>
        <v>0</v>
      </c>
      <c r="EI40" s="1">
        <f t="array" aca="1" ref="EI40:EI41" ca="1">IF(ISNUMBER($A38),MMULT(TRANSPOSE($P38:$Q39),EI38:EI39),0)</f>
        <v>0</v>
      </c>
      <c r="EJ40" s="1">
        <f t="array" aca="1" ref="EJ40:EJ41" ca="1">IF(ISNUMBER($A38),MMULT(TRANSPOSE($P38:$Q39),EJ38:EJ39),0)</f>
        <v>0</v>
      </c>
      <c r="EK40" s="1"/>
      <c r="EL40" s="1"/>
      <c r="EM40" s="8"/>
      <c r="EN40" s="309"/>
      <c r="EO40" s="310"/>
      <c r="EP40" s="345"/>
    </row>
    <row r="41" spans="1:146" x14ac:dyDescent="0.2">
      <c r="E41" s="12"/>
      <c r="F41" s="12"/>
      <c r="J41" s="4">
        <f ca="1">-J38</f>
        <v>0</v>
      </c>
      <c r="K41" s="5">
        <v>0</v>
      </c>
      <c r="L41" s="6">
        <v>0</v>
      </c>
      <c r="M41" s="179">
        <f ca="1">J38</f>
        <v>0</v>
      </c>
      <c r="N41" s="5">
        <v>0</v>
      </c>
      <c r="O41" s="6">
        <v>0</v>
      </c>
      <c r="P41" s="184">
        <v>0</v>
      </c>
      <c r="Q41" s="101">
        <v>0</v>
      </c>
      <c r="R41" s="101">
        <v>0</v>
      </c>
      <c r="S41" s="99">
        <f ca="1">I38</f>
        <v>0</v>
      </c>
      <c r="T41" s="99">
        <f ca="1">-H38</f>
        <v>0</v>
      </c>
      <c r="U41" s="100">
        <v>0</v>
      </c>
      <c r="V41" s="4">
        <f ca="1"/>
        <v>0</v>
      </c>
      <c r="W41" s="5">
        <f ca="1"/>
        <v>0</v>
      </c>
      <c r="X41" s="6">
        <f ca="1"/>
        <v>0</v>
      </c>
      <c r="Y41" s="179">
        <f ca="1"/>
        <v>0</v>
      </c>
      <c r="Z41" s="5">
        <f ca="1"/>
        <v>0</v>
      </c>
      <c r="AA41" s="6">
        <f ca="1"/>
        <v>0</v>
      </c>
      <c r="AB41" s="61">
        <f ca="1">IF(ISNUMBER($A38),INDIRECT("System!" &amp; ADDRESS(A38+1,COLUMN(System!V37))),0)</f>
        <v>0</v>
      </c>
      <c r="AC41" s="301">
        <f ca="1">IF(ISNUMBER(E38),E38*D38/2,0)</f>
        <v>0</v>
      </c>
      <c r="AD41" s="61">
        <f ca="1"/>
        <v>0</v>
      </c>
      <c r="AE41" s="7">
        <f t="shared" ref="AE41:BR41" ca="1" si="77">IF(ABS($E40)=AE$1,SIGN($E40),0)</f>
        <v>0</v>
      </c>
      <c r="AF41" s="1">
        <f t="shared" ca="1" si="77"/>
        <v>0</v>
      </c>
      <c r="AG41" s="1">
        <f t="shared" ca="1" si="77"/>
        <v>0</v>
      </c>
      <c r="AH41" s="1">
        <f t="shared" ca="1" si="77"/>
        <v>0</v>
      </c>
      <c r="AI41" s="1">
        <f t="shared" ca="1" si="77"/>
        <v>0</v>
      </c>
      <c r="AJ41" s="26">
        <f t="shared" ca="1" si="77"/>
        <v>0</v>
      </c>
      <c r="AK41" s="26">
        <f t="shared" ca="1" si="77"/>
        <v>0</v>
      </c>
      <c r="AL41" s="26">
        <f t="shared" ca="1" si="77"/>
        <v>0</v>
      </c>
      <c r="AM41" s="26">
        <f t="shared" ca="1" si="77"/>
        <v>0</v>
      </c>
      <c r="AN41" s="26">
        <f t="shared" ca="1" si="77"/>
        <v>0</v>
      </c>
      <c r="AO41" s="26">
        <f t="shared" ca="1" si="77"/>
        <v>0</v>
      </c>
      <c r="AP41" s="26">
        <f t="shared" ca="1" si="77"/>
        <v>0</v>
      </c>
      <c r="AQ41" s="26">
        <f t="shared" ca="1" si="77"/>
        <v>0</v>
      </c>
      <c r="AR41" s="26">
        <f t="shared" ca="1" si="77"/>
        <v>0</v>
      </c>
      <c r="AS41" s="26">
        <f t="shared" ca="1" si="77"/>
        <v>0</v>
      </c>
      <c r="AT41" s="26">
        <f t="shared" ca="1" si="77"/>
        <v>0</v>
      </c>
      <c r="AU41" s="26">
        <f t="shared" ca="1" si="77"/>
        <v>0</v>
      </c>
      <c r="AV41" s="26">
        <f t="shared" ca="1" si="77"/>
        <v>0</v>
      </c>
      <c r="AW41" s="26">
        <f t="shared" ca="1" si="77"/>
        <v>0</v>
      </c>
      <c r="AX41" s="26">
        <f t="shared" ca="1" si="77"/>
        <v>0</v>
      </c>
      <c r="AY41" s="26">
        <f t="shared" ca="1" si="77"/>
        <v>0</v>
      </c>
      <c r="AZ41" s="26">
        <f t="shared" ca="1" si="77"/>
        <v>0</v>
      </c>
      <c r="BA41" s="26">
        <f t="shared" ca="1" si="77"/>
        <v>0</v>
      </c>
      <c r="BB41" s="26">
        <f t="shared" ca="1" si="77"/>
        <v>0</v>
      </c>
      <c r="BC41" s="26">
        <f t="shared" ca="1" si="77"/>
        <v>0</v>
      </c>
      <c r="BD41" s="26">
        <f t="shared" ca="1" si="77"/>
        <v>0</v>
      </c>
      <c r="BE41" s="26">
        <f t="shared" ca="1" si="77"/>
        <v>0</v>
      </c>
      <c r="BF41" s="26">
        <f t="shared" ca="1" si="77"/>
        <v>0</v>
      </c>
      <c r="BG41" s="26">
        <f t="shared" ca="1" si="77"/>
        <v>0</v>
      </c>
      <c r="BH41" s="26">
        <f t="shared" ca="1" si="77"/>
        <v>0</v>
      </c>
      <c r="BI41" s="26">
        <f t="shared" ca="1" si="77"/>
        <v>0</v>
      </c>
      <c r="BJ41" s="26">
        <f t="shared" ca="1" si="77"/>
        <v>0</v>
      </c>
      <c r="BK41" s="26">
        <f t="shared" ca="1" si="77"/>
        <v>0</v>
      </c>
      <c r="BL41" s="26">
        <f t="shared" ca="1" si="77"/>
        <v>0</v>
      </c>
      <c r="BM41" s="26">
        <f t="shared" ca="1" si="77"/>
        <v>0</v>
      </c>
      <c r="BN41" s="26">
        <f t="shared" ca="1" si="77"/>
        <v>0</v>
      </c>
      <c r="BO41" s="26">
        <f t="shared" ca="1" si="77"/>
        <v>0</v>
      </c>
      <c r="BP41" s="26">
        <f t="shared" ca="1" si="77"/>
        <v>0</v>
      </c>
      <c r="BQ41" s="26">
        <f t="shared" ca="1" si="77"/>
        <v>0</v>
      </c>
      <c r="BR41" s="26">
        <f t="shared" ca="1" si="77"/>
        <v>0</v>
      </c>
      <c r="BS41" s="282">
        <f ca="1">IF(ISNUMBER($A38),IF(INDEX(B40:G40,4)&lt;&gt;0,SIGN(INDEX(B40:G40,4))*INDIRECT(ADDRESS(1+ABS(INDEX(B40:G40,4)),COLUMN(Ksys!$B$1),1,TRUE,"Ksys")),0)+AB41,0)</f>
        <v>0</v>
      </c>
      <c r="BT41" s="284">
        <f ca="1"/>
        <v>0</v>
      </c>
      <c r="BU41" s="284">
        <f ca="1"/>
        <v>0</v>
      </c>
      <c r="BV41" s="284">
        <f t="array" aca="1" ref="BV41:BV43" ca="1">MMULT(J41:O43,BT38:BT43)-AC41:AC43</f>
        <v>0</v>
      </c>
      <c r="BW41" s="292" t="s">
        <v>101</v>
      </c>
      <c r="BX41" s="7">
        <f ca="1"/>
        <v>0</v>
      </c>
      <c r="BY41" s="1">
        <f ca="1"/>
        <v>0</v>
      </c>
      <c r="BZ41" s="1">
        <f ca="1"/>
        <v>0</v>
      </c>
      <c r="CA41" s="1">
        <f ca="1"/>
        <v>0</v>
      </c>
      <c r="CB41" s="1">
        <f ca="1"/>
        <v>0</v>
      </c>
      <c r="CC41" s="1">
        <f ca="1"/>
        <v>0</v>
      </c>
      <c r="CD41" s="1">
        <f ca="1"/>
        <v>0</v>
      </c>
      <c r="CE41" s="1">
        <f ca="1"/>
        <v>0</v>
      </c>
      <c r="CF41" s="1">
        <f ca="1"/>
        <v>0</v>
      </c>
      <c r="CG41" s="1">
        <f ca="1"/>
        <v>0</v>
      </c>
      <c r="CH41" s="8">
        <f ca="1"/>
        <v>0</v>
      </c>
      <c r="CI41" s="344" t="s">
        <v>1</v>
      </c>
      <c r="CJ41" s="344" t="s">
        <v>111</v>
      </c>
      <c r="CK41" s="310"/>
      <c r="CL41" s="12"/>
      <c r="CM41" s="292" t="s">
        <v>101</v>
      </c>
      <c r="CN41" s="7">
        <f ca="1"/>
        <v>0</v>
      </c>
      <c r="CO41" s="1">
        <f ca="1"/>
        <v>0</v>
      </c>
      <c r="CP41" s="1">
        <f ca="1"/>
        <v>0</v>
      </c>
      <c r="CQ41" s="1">
        <f ca="1"/>
        <v>0</v>
      </c>
      <c r="CR41" s="1">
        <f ca="1"/>
        <v>0</v>
      </c>
      <c r="CS41" s="1">
        <f ca="1"/>
        <v>0</v>
      </c>
      <c r="CT41" s="1">
        <f ca="1"/>
        <v>0</v>
      </c>
      <c r="CU41" s="1">
        <f ca="1"/>
        <v>0</v>
      </c>
      <c r="CV41" s="1">
        <f ca="1"/>
        <v>0</v>
      </c>
      <c r="CW41" s="1">
        <f ca="1"/>
        <v>0</v>
      </c>
      <c r="CX41" s="1">
        <f ca="1"/>
        <v>0</v>
      </c>
      <c r="CY41" s="1"/>
      <c r="CZ41" s="1"/>
      <c r="DA41" s="26"/>
      <c r="DB41" s="311" t="s">
        <v>1</v>
      </c>
      <c r="DC41" s="312" t="s">
        <v>111</v>
      </c>
      <c r="DD41" s="61">
        <f ca="1">MAX(MAX(CN40:CX41),ABS(MIN(CN40:CX41)))</f>
        <v>0</v>
      </c>
      <c r="DE41" s="12"/>
      <c r="DF41" s="292" t="s">
        <v>101</v>
      </c>
      <c r="DG41" s="7">
        <f ca="1"/>
        <v>0</v>
      </c>
      <c r="DH41" s="1">
        <f ca="1"/>
        <v>0</v>
      </c>
      <c r="DI41" s="1">
        <f ca="1"/>
        <v>0</v>
      </c>
      <c r="DJ41" s="1">
        <f ca="1"/>
        <v>0</v>
      </c>
      <c r="DK41" s="1">
        <f ca="1"/>
        <v>0</v>
      </c>
      <c r="DL41" s="1">
        <f ca="1"/>
        <v>0</v>
      </c>
      <c r="DM41" s="1">
        <f ca="1"/>
        <v>0</v>
      </c>
      <c r="DN41" s="1">
        <f ca="1"/>
        <v>0</v>
      </c>
      <c r="DO41" s="1">
        <f ca="1"/>
        <v>0</v>
      </c>
      <c r="DP41" s="1">
        <f ca="1"/>
        <v>0</v>
      </c>
      <c r="DQ41" s="1">
        <f ca="1"/>
        <v>0</v>
      </c>
      <c r="DR41" s="1"/>
      <c r="DS41" s="1"/>
      <c r="DT41" s="8"/>
      <c r="DU41" s="314" t="s">
        <v>1</v>
      </c>
      <c r="DV41" s="312" t="s">
        <v>111</v>
      </c>
      <c r="DW41" s="349">
        <f ca="1">MAX(MAX(DG40:DQ41),ABS(MIN(DG40:DQ41)))</f>
        <v>0</v>
      </c>
      <c r="DX41" s="12"/>
      <c r="DY41" s="292" t="s">
        <v>101</v>
      </c>
      <c r="DZ41" s="7">
        <f ca="1"/>
        <v>0</v>
      </c>
      <c r="EA41" s="1">
        <f ca="1"/>
        <v>0</v>
      </c>
      <c r="EB41" s="1">
        <f ca="1"/>
        <v>0</v>
      </c>
      <c r="EC41" s="1">
        <f ca="1"/>
        <v>0</v>
      </c>
      <c r="ED41" s="1">
        <f ca="1"/>
        <v>0</v>
      </c>
      <c r="EE41" s="1">
        <f ca="1"/>
        <v>0</v>
      </c>
      <c r="EF41" s="1">
        <f ca="1"/>
        <v>0</v>
      </c>
      <c r="EG41" s="1">
        <f ca="1"/>
        <v>0</v>
      </c>
      <c r="EH41" s="1">
        <f ca="1"/>
        <v>0</v>
      </c>
      <c r="EI41" s="1">
        <f ca="1"/>
        <v>0</v>
      </c>
      <c r="EJ41" s="1">
        <f ca="1"/>
        <v>0</v>
      </c>
      <c r="EK41" s="1"/>
      <c r="EL41" s="1"/>
      <c r="EM41" s="8"/>
      <c r="EN41" s="311" t="s">
        <v>1</v>
      </c>
      <c r="EO41" s="312" t="s">
        <v>111</v>
      </c>
      <c r="EP41" s="61">
        <f ca="1">MAX(MAX(DZ40:EJ41),ABS(MIN(DZ40:EJ41)))</f>
        <v>0</v>
      </c>
    </row>
    <row r="42" spans="1:146" x14ac:dyDescent="0.2">
      <c r="E42" s="1" t="str">
        <f ca="1">IF(ISNUMBER(A38),"" &amp; ADDRESS(ROW(A38),COLUMN($AD$1)) &amp; ":" &amp; ADDRESS(ROW(A43),COLUMN($AD$1)) &amp; "","")</f>
        <v/>
      </c>
      <c r="F42" s="1" t="str">
        <f ca="1">IF(ISNUMBER(A38),"" &amp; ADDRESS(ROW(A38),COLUMN($V$1)) &amp; ":" &amp; ADDRESS(ROW(A43),COLUMN($AA$1)) &amp; "","")</f>
        <v/>
      </c>
      <c r="G42" s="1" t="str">
        <f ca="1">IF(ISNUMBER(A38),"" &amp; ADDRESS(ROW(A38),COLUMN($AE$1)) &amp; ":" &amp; ADDRESS(ROW(A43),COLUMN($AD$1)+$C$6) &amp; "","")</f>
        <v/>
      </c>
      <c r="J42" s="7">
        <v>0</v>
      </c>
      <c r="K42" s="1">
        <f ca="1">-K39</f>
        <v>0</v>
      </c>
      <c r="L42" s="8">
        <f ca="1">IF(G38=1,6*B38/D38^2,IF(G38="2a",0,IF(G38="2b",3*B38/D38^2,0)))</f>
        <v>0</v>
      </c>
      <c r="M42" s="7">
        <v>0</v>
      </c>
      <c r="N42" s="180">
        <f ca="1">K39</f>
        <v>0</v>
      </c>
      <c r="O42" s="8">
        <f ca="1">N43</f>
        <v>0</v>
      </c>
      <c r="P42" s="184">
        <v>0</v>
      </c>
      <c r="Q42" s="101">
        <v>0</v>
      </c>
      <c r="R42" s="101">
        <v>0</v>
      </c>
      <c r="S42" s="99">
        <f ca="1">H38</f>
        <v>0</v>
      </c>
      <c r="T42" s="99">
        <f ca="1">I38</f>
        <v>0</v>
      </c>
      <c r="U42" s="100">
        <v>0</v>
      </c>
      <c r="V42" s="7">
        <f ca="1"/>
        <v>0</v>
      </c>
      <c r="W42" s="1">
        <f ca="1"/>
        <v>0</v>
      </c>
      <c r="X42" s="8">
        <f ca="1"/>
        <v>0</v>
      </c>
      <c r="Y42" s="7">
        <f ca="1"/>
        <v>0</v>
      </c>
      <c r="Z42" s="180">
        <f ca="1"/>
        <v>0</v>
      </c>
      <c r="AA42" s="8">
        <f ca="1"/>
        <v>0</v>
      </c>
      <c r="AB42" s="61">
        <f ca="1">IF(ISNUMBER($A38),INDIRECT("System!" &amp; ADDRESS(A38+1,COLUMN(System!W37))),0)</f>
        <v>0</v>
      </c>
      <c r="AC42" s="301">
        <f ca="1">IF(G38=1,F38*D38/2,IF(G38="2a",F38*5/8*D38,IF(G38="2b",F38*3/8*D38,0)))</f>
        <v>0</v>
      </c>
      <c r="AD42" s="61">
        <f ca="1"/>
        <v>0</v>
      </c>
      <c r="AE42" s="7">
        <f t="shared" ref="AE42:BR42" ca="1" si="78">IF(ABS($F40)=AE$1,SIGN($F40),0)</f>
        <v>0</v>
      </c>
      <c r="AF42" s="1">
        <f t="shared" ca="1" si="78"/>
        <v>0</v>
      </c>
      <c r="AG42" s="1">
        <f t="shared" ca="1" si="78"/>
        <v>0</v>
      </c>
      <c r="AH42" s="1">
        <f t="shared" ca="1" si="78"/>
        <v>0</v>
      </c>
      <c r="AI42" s="1">
        <f t="shared" ca="1" si="78"/>
        <v>0</v>
      </c>
      <c r="AJ42" s="26">
        <f t="shared" ca="1" si="78"/>
        <v>0</v>
      </c>
      <c r="AK42" s="26">
        <f t="shared" ca="1" si="78"/>
        <v>0</v>
      </c>
      <c r="AL42" s="26">
        <f t="shared" ca="1" si="78"/>
        <v>0</v>
      </c>
      <c r="AM42" s="26">
        <f t="shared" ca="1" si="78"/>
        <v>0</v>
      </c>
      <c r="AN42" s="26">
        <f t="shared" ca="1" si="78"/>
        <v>0</v>
      </c>
      <c r="AO42" s="26">
        <f t="shared" ca="1" si="78"/>
        <v>0</v>
      </c>
      <c r="AP42" s="26">
        <f t="shared" ca="1" si="78"/>
        <v>0</v>
      </c>
      <c r="AQ42" s="26">
        <f t="shared" ca="1" si="78"/>
        <v>0</v>
      </c>
      <c r="AR42" s="26">
        <f t="shared" ca="1" si="78"/>
        <v>0</v>
      </c>
      <c r="AS42" s="26">
        <f t="shared" ca="1" si="78"/>
        <v>0</v>
      </c>
      <c r="AT42" s="26">
        <f t="shared" ca="1" si="78"/>
        <v>0</v>
      </c>
      <c r="AU42" s="26">
        <f t="shared" ca="1" si="78"/>
        <v>0</v>
      </c>
      <c r="AV42" s="26">
        <f t="shared" ca="1" si="78"/>
        <v>0</v>
      </c>
      <c r="AW42" s="26">
        <f t="shared" ca="1" si="78"/>
        <v>0</v>
      </c>
      <c r="AX42" s="26">
        <f t="shared" ca="1" si="78"/>
        <v>0</v>
      </c>
      <c r="AY42" s="26">
        <f t="shared" ca="1" si="78"/>
        <v>0</v>
      </c>
      <c r="AZ42" s="26">
        <f t="shared" ca="1" si="78"/>
        <v>0</v>
      </c>
      <c r="BA42" s="26">
        <f t="shared" ca="1" si="78"/>
        <v>0</v>
      </c>
      <c r="BB42" s="26">
        <f t="shared" ca="1" si="78"/>
        <v>0</v>
      </c>
      <c r="BC42" s="26">
        <f t="shared" ca="1" si="78"/>
        <v>0</v>
      </c>
      <c r="BD42" s="26">
        <f t="shared" ca="1" si="78"/>
        <v>0</v>
      </c>
      <c r="BE42" s="26">
        <f t="shared" ca="1" si="78"/>
        <v>0</v>
      </c>
      <c r="BF42" s="26">
        <f t="shared" ca="1" si="78"/>
        <v>0</v>
      </c>
      <c r="BG42" s="26">
        <f t="shared" ca="1" si="78"/>
        <v>0</v>
      </c>
      <c r="BH42" s="26">
        <f t="shared" ca="1" si="78"/>
        <v>0</v>
      </c>
      <c r="BI42" s="26">
        <f t="shared" ca="1" si="78"/>
        <v>0</v>
      </c>
      <c r="BJ42" s="26">
        <f t="shared" ca="1" si="78"/>
        <v>0</v>
      </c>
      <c r="BK42" s="26">
        <f t="shared" ca="1" si="78"/>
        <v>0</v>
      </c>
      <c r="BL42" s="26">
        <f t="shared" ca="1" si="78"/>
        <v>0</v>
      </c>
      <c r="BM42" s="26">
        <f t="shared" ca="1" si="78"/>
        <v>0</v>
      </c>
      <c r="BN42" s="26">
        <f t="shared" ca="1" si="78"/>
        <v>0</v>
      </c>
      <c r="BO42" s="26">
        <f t="shared" ca="1" si="78"/>
        <v>0</v>
      </c>
      <c r="BP42" s="26">
        <f t="shared" ca="1" si="78"/>
        <v>0</v>
      </c>
      <c r="BQ42" s="26">
        <f t="shared" ca="1" si="78"/>
        <v>0</v>
      </c>
      <c r="BR42" s="26">
        <f t="shared" ca="1" si="78"/>
        <v>0</v>
      </c>
      <c r="BS42" s="282">
        <f ca="1">IF(ISNUMBER($A38),IF(INDEX(B40:G40,5)&lt;&gt;0,SIGN(INDEX(B40:G40,5))*INDIRECT(ADDRESS(1+ABS(INDEX(B40:G40,5)),COLUMN(Ksys!$B$1),1,TRUE,"Ksys")),0)+AB42,0)</f>
        <v>0</v>
      </c>
      <c r="BT42" s="284">
        <f ca="1"/>
        <v>0</v>
      </c>
      <c r="BU42" s="284">
        <f ca="1"/>
        <v>0</v>
      </c>
      <c r="BV42" s="284">
        <f ca="1"/>
        <v>0</v>
      </c>
      <c r="BW42" s="293" t="s">
        <v>102</v>
      </c>
      <c r="BX42" s="216">
        <f ca="1">IF(ISNUMBER($A38),$B39*(1-BX$1) + $C39*BX$1 + Knoten!$S$5*BX40,KnotenData!$H$2)</f>
        <v>0.5</v>
      </c>
      <c r="BY42" s="206">
        <f ca="1">IF(ISNUMBER($A38),$B39*(1-BY$1) + $C39*BY$1 + Knoten!$S$5*BY40,KnotenData!$H$2)</f>
        <v>0.5</v>
      </c>
      <c r="BZ42" s="206">
        <f ca="1">IF(ISNUMBER($A38),$B39*(1-BZ$1) + $C39*BZ$1 + Knoten!$S$5*BZ40,KnotenData!$H$2)</f>
        <v>0.5</v>
      </c>
      <c r="CA42" s="206">
        <f ca="1">IF(ISNUMBER($A38),$B39*(1-CA$1) + $C39*CA$1 + Knoten!$S$5*CA40,KnotenData!$H$2)</f>
        <v>0.5</v>
      </c>
      <c r="CB42" s="206">
        <f ca="1">IF(ISNUMBER($A38),$B39*(1-CB$1) + $C39*CB$1 + Knoten!$S$5*CB40,KnotenData!$H$2)</f>
        <v>0.5</v>
      </c>
      <c r="CC42" s="206">
        <f ca="1">IF(ISNUMBER($A38),$B39*(1-CC$1) + $C39*CC$1 + Knoten!$S$5*CC40,KnotenData!$H$2)</f>
        <v>0.5</v>
      </c>
      <c r="CD42" s="206">
        <f ca="1">IF(ISNUMBER($A38),$B39*(1-CD$1) + $C39*CD$1 + Knoten!$S$5*CD40,KnotenData!$H$2)</f>
        <v>0.5</v>
      </c>
      <c r="CE42" s="206">
        <f ca="1">IF(ISNUMBER($A38),$B39*(1-CE$1) + $C39*CE$1 + Knoten!$S$5*CE40,KnotenData!$H$2)</f>
        <v>0.5</v>
      </c>
      <c r="CF42" s="206">
        <f ca="1">IF(ISNUMBER($A38),$B39*(1-CF$1) + $C39*CF$1 + Knoten!$S$5*CF40,KnotenData!$H$2)</f>
        <v>0.5</v>
      </c>
      <c r="CG42" s="206">
        <f ca="1">IF(ISNUMBER($A38),$B39*(1-CG$1) + $C39*CG$1 + Knoten!$S$5*CG40,KnotenData!$H$2)</f>
        <v>0.5</v>
      </c>
      <c r="CH42" s="217">
        <f ca="1">IF(ISNUMBER($A38),$B39*(1-CH$1) + $C39*CH$1 + Knoten!$S$5*CH40,KnotenData!$H$2)</f>
        <v>0.5</v>
      </c>
      <c r="CI42" s="447">
        <f ca="1">MIN(BX42:CH42)</f>
        <v>0.5</v>
      </c>
      <c r="CJ42" s="447">
        <f ca="1">MIN(BX43:CH43)</f>
        <v>0.47499999999999998</v>
      </c>
      <c r="CK42" s="445"/>
      <c r="CL42" s="12"/>
      <c r="CM42" s="293" t="s">
        <v>102</v>
      </c>
      <c r="CN42" s="216">
        <f ca="1">IF(ISNUMBER($A38),$B39*(1-CN$1) + $C39*CN$1 + Momente!$D$6*CN40,KnotenData!$H$2)</f>
        <v>0.5</v>
      </c>
      <c r="CO42" s="206">
        <f ca="1">IF(ISNUMBER($A38),$B39*(1-CO$1) + $C39*CO$1 + Momente!$D$6*CO40,KnotenData!$H$2)</f>
        <v>0.5</v>
      </c>
      <c r="CP42" s="206">
        <f ca="1">IF(ISNUMBER($A38),$B39*(1-CP$1) + $C39*CP$1 + Momente!$D$6*CP40,KnotenData!$H$2)</f>
        <v>0.5</v>
      </c>
      <c r="CQ42" s="206">
        <f ca="1">IF(ISNUMBER($A38),$B39*(1-CQ$1) + $C39*CQ$1 + Momente!$D$6*CQ40,KnotenData!$H$2)</f>
        <v>0.5</v>
      </c>
      <c r="CR42" s="206">
        <f ca="1">IF(ISNUMBER($A38),$B39*(1-CR$1) + $C39*CR$1 + Momente!$D$6*CR40,KnotenData!$H$2)</f>
        <v>0.5</v>
      </c>
      <c r="CS42" s="206">
        <f ca="1">IF(ISNUMBER($A38),$B39*(1-CS$1) + $C39*CS$1 + Momente!$D$6*CS40,KnotenData!$H$2)</f>
        <v>0.5</v>
      </c>
      <c r="CT42" s="206">
        <f ca="1">IF(ISNUMBER($A38),$B39*(1-CT$1) + $C39*CT$1 + Momente!$D$6*CT40,KnotenData!$H$2)</f>
        <v>0.5</v>
      </c>
      <c r="CU42" s="206">
        <f ca="1">IF(ISNUMBER($A38),$B39*(1-CU$1) + $C39*CU$1 + Momente!$D$6*CU40,KnotenData!$H$2)</f>
        <v>0.5</v>
      </c>
      <c r="CV42" s="206">
        <f ca="1">IF(ISNUMBER($A38),$B39*(1-CV$1) + $C39*CV$1 + Momente!$D$6*CV40,KnotenData!$H$2)</f>
        <v>0.5</v>
      </c>
      <c r="CW42" s="206">
        <f ca="1">IF(ISNUMBER($A38),$B39*(1-CW$1) + $C39*CW$1 + Momente!$D$6*CW40,KnotenData!$H$2)</f>
        <v>0.5</v>
      </c>
      <c r="CX42" s="206">
        <f ca="1">IF(ISNUMBER($A38),$B39*(1-CX$1) + $C39*CX$1 + Momente!$D$6*CX40,KnotenData!$H$2)</f>
        <v>0.5</v>
      </c>
      <c r="CY42" s="206">
        <f ca="1">IF(ISNUMBER($A38),$C39,KnotenData!$H$2)</f>
        <v>0.5</v>
      </c>
      <c r="CZ42" s="206">
        <f ca="1">IF(ISNUMBER($A38),$B39,KnotenData!$H$2)</f>
        <v>0.5</v>
      </c>
      <c r="DA42" s="305">
        <f ca="1">IF(ISNUMBER($A38),CN42,KnotenData!$H$2)</f>
        <v>0.5</v>
      </c>
      <c r="DB42" s="7">
        <f ca="1">MIN(CN42:DA42)</f>
        <v>0.5</v>
      </c>
      <c r="DC42" s="8">
        <f ca="1">MIN(CN43:DA43)</f>
        <v>0.47499999999999998</v>
      </c>
      <c r="DD42" s="345"/>
      <c r="DE42" s="12"/>
      <c r="DF42" s="293" t="s">
        <v>102</v>
      </c>
      <c r="DG42" s="216">
        <f ca="1">IF(ISNUMBER($A38),$B39*(1-DG$1) + $C39*DG$1 + Querkräfte!$D$6*DG40,KnotenData!$H$2)</f>
        <v>0.5</v>
      </c>
      <c r="DH42" s="206">
        <f ca="1">IF(ISNUMBER($A38),$B39*(1-DH$1) + $C39*DH$1 + Querkräfte!$D$6*DH40,KnotenData!$H$2)</f>
        <v>0.5</v>
      </c>
      <c r="DI42" s="206">
        <f ca="1">IF(ISNUMBER($A38),$B39*(1-DI$1) + $C39*DI$1 + Querkräfte!$D$6*DI40,KnotenData!$H$2)</f>
        <v>0.5</v>
      </c>
      <c r="DJ42" s="206">
        <f ca="1">IF(ISNUMBER($A38),$B39*(1-DJ$1) + $C39*DJ$1 + Querkräfte!$D$6*DJ40,KnotenData!$H$2)</f>
        <v>0.5</v>
      </c>
      <c r="DK42" s="206">
        <f ca="1">IF(ISNUMBER($A38),$B39*(1-DK$1) + $C39*DK$1 + Querkräfte!$D$6*DK40,KnotenData!$H$2)</f>
        <v>0.5</v>
      </c>
      <c r="DL42" s="206">
        <f ca="1">IF(ISNUMBER($A38),$B39*(1-DL$1) + $C39*DL$1 + Querkräfte!$D$6*DL40,KnotenData!$H$2)</f>
        <v>0.5</v>
      </c>
      <c r="DM42" s="206">
        <f ca="1">IF(ISNUMBER($A38),$B39*(1-DM$1) + $C39*DM$1 + Querkräfte!$D$6*DM40,KnotenData!$H$2)</f>
        <v>0.5</v>
      </c>
      <c r="DN42" s="206">
        <f ca="1">IF(ISNUMBER($A38),$B39*(1-DN$1) + $C39*DN$1 + Querkräfte!$D$6*DN40,KnotenData!$H$2)</f>
        <v>0.5</v>
      </c>
      <c r="DO42" s="206">
        <f ca="1">IF(ISNUMBER($A38),$B39*(1-DO$1) + $C39*DO$1 + Querkräfte!$D$6*DO40,KnotenData!$H$2)</f>
        <v>0.5</v>
      </c>
      <c r="DP42" s="206">
        <f ca="1">IF(ISNUMBER($A38),$B39*(1-DP$1) + $C39*DP$1 + Querkräfte!$D$6*DP40,KnotenData!$H$2)</f>
        <v>0.5</v>
      </c>
      <c r="DQ42" s="206">
        <f ca="1">IF(ISNUMBER($A38),$B39*(1-DQ$1) + $C39*DQ$1 + Querkräfte!$D$6*DQ40,KnotenData!$H$2)</f>
        <v>0.5</v>
      </c>
      <c r="DR42" s="206">
        <f ca="1">IF(ISNUMBER($A38),$C39,KnotenData!$H$2)</f>
        <v>0.5</v>
      </c>
      <c r="DS42" s="206">
        <f ca="1">IF(ISNUMBER($A38),$B39,KnotenData!$H$2)</f>
        <v>0.5</v>
      </c>
      <c r="DT42" s="217">
        <f ca="1">IF(ISNUMBER($A38),DG42,KnotenData!$H$2)</f>
        <v>0.5</v>
      </c>
      <c r="DU42" s="145">
        <f ca="1">MIN(DG42:DQ42)</f>
        <v>0.5</v>
      </c>
      <c r="DV42" s="8">
        <f ca="1">MIN(DG43:DQ43)</f>
        <v>0.47499999999999998</v>
      </c>
      <c r="DW42" s="345"/>
      <c r="DX42" s="12"/>
      <c r="DY42" s="293" t="s">
        <v>102</v>
      </c>
      <c r="DZ42" s="216">
        <f ca="1">IF(ISNUMBER($A38),$B39*(1-DZ$1) + $C39*DZ$1 + Normalkräfte!$D$6*DZ40,KnotenData!$H$2)</f>
        <v>0.5</v>
      </c>
      <c r="EA42" s="206">
        <f ca="1">IF(ISNUMBER($A38),$B39*(1-EA$1) + $C39*EA$1 + Normalkräfte!$D$6*EA40,KnotenData!$H$2)</f>
        <v>0.5</v>
      </c>
      <c r="EB42" s="206">
        <f ca="1">IF(ISNUMBER($A38),$B39*(1-EB$1) + $C39*EB$1 + Normalkräfte!$D$6*EB40,KnotenData!$H$2)</f>
        <v>0.5</v>
      </c>
      <c r="EC42" s="206">
        <f ca="1">IF(ISNUMBER($A38),$B39*(1-EC$1) + $C39*EC$1 + Normalkräfte!$D$6*EC40,KnotenData!$H$2)</f>
        <v>0.5</v>
      </c>
      <c r="ED42" s="206">
        <f ca="1">IF(ISNUMBER($A38),$B39*(1-ED$1) + $C39*ED$1 + Normalkräfte!$D$6*ED40,KnotenData!$H$2)</f>
        <v>0.5</v>
      </c>
      <c r="EE42" s="206">
        <f ca="1">IF(ISNUMBER($A38),$B39*(1-EE$1) + $C39*EE$1 + Normalkräfte!$D$6*EE40,KnotenData!$H$2)</f>
        <v>0.5</v>
      </c>
      <c r="EF42" s="206">
        <f ca="1">IF(ISNUMBER($A38),$B39*(1-EF$1) + $C39*EF$1 + Normalkräfte!$D$6*EF40,KnotenData!$H$2)</f>
        <v>0.5</v>
      </c>
      <c r="EG42" s="206">
        <f ca="1">IF(ISNUMBER($A38),$B39*(1-EG$1) + $C39*EG$1 + Normalkräfte!$D$6*EG40,KnotenData!$H$2)</f>
        <v>0.5</v>
      </c>
      <c r="EH42" s="206">
        <f ca="1">IF(ISNUMBER($A38),$B39*(1-EH$1) + $C39*EH$1 + Normalkräfte!$D$6*EH40,KnotenData!$H$2)</f>
        <v>0.5</v>
      </c>
      <c r="EI42" s="206">
        <f ca="1">IF(ISNUMBER($A38),$B39*(1-EI$1) + $C39*EI$1 + Normalkräfte!$D$6*EI40,KnotenData!$H$2)</f>
        <v>0.5</v>
      </c>
      <c r="EJ42" s="206">
        <f ca="1">IF(ISNUMBER($A38),$B39*(1-EJ$1) + $C39*EJ$1 + Normalkräfte!$D$6*EJ40,KnotenData!$H$2)</f>
        <v>0.5</v>
      </c>
      <c r="EK42" s="256">
        <f ca="1">IF(ISNUMBER($A38),$C39,KnotenData!$H$2)</f>
        <v>0.5</v>
      </c>
      <c r="EL42" s="206">
        <f ca="1">IF(ISNUMBER($A38),$B39,KnotenData!$H$2)</f>
        <v>0.5</v>
      </c>
      <c r="EM42" s="217">
        <f ca="1">IF(ISNUMBER($A38),DZ42,KnotenData!$H$2)</f>
        <v>0.5</v>
      </c>
      <c r="EN42" s="7">
        <f ca="1">MIN(DZ42:EJ42)</f>
        <v>0.5</v>
      </c>
      <c r="EO42" s="8">
        <f ca="1">MIN(DZ43:EJ43)</f>
        <v>0.47499999999999998</v>
      </c>
      <c r="EP42" s="345"/>
    </row>
    <row r="43" spans="1:146" ht="13.5" thickBot="1" x14ac:dyDescent="0.25">
      <c r="E43" s="12"/>
      <c r="F43" s="12"/>
      <c r="J43" s="9">
        <v>0</v>
      </c>
      <c r="K43" s="10">
        <f ca="1">IF(G38=1,-6*B38/D38^2,IF(G38="2a",-3*B38/D38^2,IF(G38="2b",0,0)))</f>
        <v>0</v>
      </c>
      <c r="L43" s="146">
        <f ca="1">IF(G38=1,2*B38/D38,IF(G38="2a",0,IF(G38="2b",0,0)))</f>
        <v>0</v>
      </c>
      <c r="M43" s="9">
        <v>0</v>
      </c>
      <c r="N43" s="10">
        <f ca="1">-K43</f>
        <v>0</v>
      </c>
      <c r="O43" s="181">
        <f ca="1">IF(G38=1,4*B38/D38,IF(G38="2a",3*B38/D38,IF(G38="2b",0,0)))</f>
        <v>0</v>
      </c>
      <c r="P43" s="185">
        <v>0</v>
      </c>
      <c r="Q43" s="103">
        <v>0</v>
      </c>
      <c r="R43" s="103">
        <v>0</v>
      </c>
      <c r="S43" s="111">
        <v>0</v>
      </c>
      <c r="T43" s="111">
        <v>0</v>
      </c>
      <c r="U43" s="112">
        <v>1</v>
      </c>
      <c r="V43" s="9">
        <f ca="1"/>
        <v>0</v>
      </c>
      <c r="W43" s="10">
        <f ca="1"/>
        <v>0</v>
      </c>
      <c r="X43" s="146">
        <f ca="1"/>
        <v>0</v>
      </c>
      <c r="Y43" s="9">
        <f ca="1"/>
        <v>0</v>
      </c>
      <c r="Z43" s="10">
        <f ca="1"/>
        <v>0</v>
      </c>
      <c r="AA43" s="181">
        <f ca="1"/>
        <v>0</v>
      </c>
      <c r="AB43" s="62">
        <f ca="1">IF(ISNUMBER($A38),INDIRECT("System!" &amp; ADDRESS(A38+1,COLUMN(System!X37))),0)</f>
        <v>0</v>
      </c>
      <c r="AC43" s="302">
        <f ca="1">IF(G38=1,F38*D38^2/12,IF(G38="2a",F38*D38^2/8,IF(G38="2b",0,0)))</f>
        <v>0</v>
      </c>
      <c r="AD43" s="62">
        <f ca="1"/>
        <v>0</v>
      </c>
      <c r="AE43" s="9">
        <f t="shared" ref="AE43:BR43" ca="1" si="79">IF(ABS($G40)=AE$1,SIGN($G40),0)</f>
        <v>0</v>
      </c>
      <c r="AF43" s="10">
        <f t="shared" ca="1" si="79"/>
        <v>0</v>
      </c>
      <c r="AG43" s="10">
        <f t="shared" ca="1" si="79"/>
        <v>0</v>
      </c>
      <c r="AH43" s="10">
        <f t="shared" ca="1" si="79"/>
        <v>0</v>
      </c>
      <c r="AI43" s="10">
        <f t="shared" ca="1" si="79"/>
        <v>0</v>
      </c>
      <c r="AJ43" s="188">
        <f t="shared" ca="1" si="79"/>
        <v>0</v>
      </c>
      <c r="AK43" s="188">
        <f t="shared" ca="1" si="79"/>
        <v>0</v>
      </c>
      <c r="AL43" s="188">
        <f t="shared" ca="1" si="79"/>
        <v>0</v>
      </c>
      <c r="AM43" s="188">
        <f t="shared" ca="1" si="79"/>
        <v>0</v>
      </c>
      <c r="AN43" s="188">
        <f t="shared" ca="1" si="79"/>
        <v>0</v>
      </c>
      <c r="AO43" s="188">
        <f t="shared" ca="1" si="79"/>
        <v>0</v>
      </c>
      <c r="AP43" s="188">
        <f t="shared" ca="1" si="79"/>
        <v>0</v>
      </c>
      <c r="AQ43" s="188">
        <f t="shared" ca="1" si="79"/>
        <v>0</v>
      </c>
      <c r="AR43" s="188">
        <f t="shared" ca="1" si="79"/>
        <v>0</v>
      </c>
      <c r="AS43" s="188">
        <f t="shared" ca="1" si="79"/>
        <v>0</v>
      </c>
      <c r="AT43" s="188">
        <f t="shared" ca="1" si="79"/>
        <v>0</v>
      </c>
      <c r="AU43" s="188">
        <f t="shared" ca="1" si="79"/>
        <v>0</v>
      </c>
      <c r="AV43" s="188">
        <f t="shared" ca="1" si="79"/>
        <v>0</v>
      </c>
      <c r="AW43" s="188">
        <f t="shared" ca="1" si="79"/>
        <v>0</v>
      </c>
      <c r="AX43" s="188">
        <f t="shared" ca="1" si="79"/>
        <v>0</v>
      </c>
      <c r="AY43" s="188">
        <f t="shared" ca="1" si="79"/>
        <v>0</v>
      </c>
      <c r="AZ43" s="188">
        <f t="shared" ca="1" si="79"/>
        <v>0</v>
      </c>
      <c r="BA43" s="188">
        <f t="shared" ca="1" si="79"/>
        <v>0</v>
      </c>
      <c r="BB43" s="188">
        <f t="shared" ca="1" si="79"/>
        <v>0</v>
      </c>
      <c r="BC43" s="188">
        <f t="shared" ca="1" si="79"/>
        <v>0</v>
      </c>
      <c r="BD43" s="188">
        <f t="shared" ca="1" si="79"/>
        <v>0</v>
      </c>
      <c r="BE43" s="188">
        <f t="shared" ca="1" si="79"/>
        <v>0</v>
      </c>
      <c r="BF43" s="188">
        <f t="shared" ca="1" si="79"/>
        <v>0</v>
      </c>
      <c r="BG43" s="188">
        <f t="shared" ca="1" si="79"/>
        <v>0</v>
      </c>
      <c r="BH43" s="188">
        <f t="shared" ca="1" si="79"/>
        <v>0</v>
      </c>
      <c r="BI43" s="188">
        <f t="shared" ca="1" si="79"/>
        <v>0</v>
      </c>
      <c r="BJ43" s="188">
        <f t="shared" ca="1" si="79"/>
        <v>0</v>
      </c>
      <c r="BK43" s="188">
        <f t="shared" ca="1" si="79"/>
        <v>0</v>
      </c>
      <c r="BL43" s="188">
        <f t="shared" ca="1" si="79"/>
        <v>0</v>
      </c>
      <c r="BM43" s="188">
        <f t="shared" ca="1" si="79"/>
        <v>0</v>
      </c>
      <c r="BN43" s="188">
        <f t="shared" ca="1" si="79"/>
        <v>0</v>
      </c>
      <c r="BO43" s="188">
        <f t="shared" ca="1" si="79"/>
        <v>0</v>
      </c>
      <c r="BP43" s="188">
        <f t="shared" ca="1" si="79"/>
        <v>0</v>
      </c>
      <c r="BQ43" s="188">
        <f t="shared" ca="1" si="79"/>
        <v>0</v>
      </c>
      <c r="BR43" s="188">
        <f t="shared" ca="1" si="79"/>
        <v>0</v>
      </c>
      <c r="BS43" s="283">
        <f ca="1">IF(ISNUMBER($A38),IF(INDEX(B40:G40,6)&lt;&gt;0,SIGN(INDEX(B40:G40,6))*INDIRECT(ADDRESS(1+ABS(INDEX(B40:G40,6)),COLUMN(Ksys!$B$1),1,TRUE,"Ksys")),0)+AB43,0)</f>
        <v>0</v>
      </c>
      <c r="BT43" s="178">
        <f ca="1"/>
        <v>0</v>
      </c>
      <c r="BU43" s="178">
        <f ca="1"/>
        <v>0</v>
      </c>
      <c r="BV43" s="178">
        <f ca="1"/>
        <v>0</v>
      </c>
      <c r="BW43" s="294" t="s">
        <v>103</v>
      </c>
      <c r="BX43" s="218">
        <f ca="1">IF(ISNUMBER($A38),$D39*(1-BX$1) + $E39*BX$1 + Knoten!$S$5*BX41,KnotenData!$H$3)</f>
        <v>0.47499999999999998</v>
      </c>
      <c r="BY43" s="295">
        <f ca="1">IF(ISNUMBER($A38),$D39*(1-BY$1) + $E39*BY$1 + Knoten!$S$5*BY41,KnotenData!$H$3)</f>
        <v>0.47499999999999998</v>
      </c>
      <c r="BZ43" s="295">
        <f ca="1">IF(ISNUMBER($A38),$D39*(1-BZ$1) + $E39*BZ$1 + Knoten!$S$5*BZ41,KnotenData!$H$3)</f>
        <v>0.47499999999999998</v>
      </c>
      <c r="CA43" s="295">
        <f ca="1">IF(ISNUMBER($A38),$D39*(1-CA$1) + $E39*CA$1 + Knoten!$S$5*CA41,KnotenData!$H$3)</f>
        <v>0.47499999999999998</v>
      </c>
      <c r="CB43" s="295">
        <f ca="1">IF(ISNUMBER($A38),$D39*(1-CB$1) + $E39*CB$1 + Knoten!$S$5*CB41,KnotenData!$H$3)</f>
        <v>0.47499999999999998</v>
      </c>
      <c r="CC43" s="295">
        <f ca="1">IF(ISNUMBER($A38),$D39*(1-CC$1) + $E39*CC$1 + Knoten!$S$5*CC41,KnotenData!$H$3)</f>
        <v>0.47499999999999998</v>
      </c>
      <c r="CD43" s="295">
        <f ca="1">IF(ISNUMBER($A38),$D39*(1-CD$1) + $E39*CD$1 + Knoten!$S$5*CD41,KnotenData!$H$3)</f>
        <v>0.47499999999999998</v>
      </c>
      <c r="CE43" s="295">
        <f ca="1">IF(ISNUMBER($A38),$D39*(1-CE$1) + $E39*CE$1 + Knoten!$S$5*CE41,KnotenData!$H$3)</f>
        <v>0.47499999999999998</v>
      </c>
      <c r="CF43" s="295">
        <f ca="1">IF(ISNUMBER($A38),$D39*(1-CF$1) + $E39*CF$1 + Knoten!$S$5*CF41,KnotenData!$H$3)</f>
        <v>0.47499999999999998</v>
      </c>
      <c r="CG43" s="295">
        <f ca="1">IF(ISNUMBER($A38),$D39*(1-CG$1) + $E39*CG$1 + Knoten!$S$5*CG41,KnotenData!$H$3)</f>
        <v>0.47499999999999998</v>
      </c>
      <c r="CH43" s="219">
        <f ca="1">IF(ISNUMBER($A38),$D39*(1-CH$1) + $E39*CH$1 + Knoten!$S$5*CH41,KnotenData!$H$3)</f>
        <v>0.47499999999999998</v>
      </c>
      <c r="CI43" s="449">
        <f ca="1">MAX(BX42:CH42)</f>
        <v>0.5</v>
      </c>
      <c r="CJ43" s="448">
        <f ca="1">MAX(BX43:CH43)</f>
        <v>0.47499999999999998</v>
      </c>
      <c r="CK43" s="446"/>
      <c r="CL43" s="12">
        <v>7</v>
      </c>
      <c r="CM43" s="294" t="s">
        <v>103</v>
      </c>
      <c r="CN43" s="218">
        <f ca="1">IF(ISNUMBER($A38),$D39*(1-CN$1) + $E39*CN$1 + Momente!$D$6*CN41,KnotenData!$H$3)</f>
        <v>0.47499999999999998</v>
      </c>
      <c r="CO43" s="295">
        <f ca="1">IF(ISNUMBER($A38),$D39*(1-CO$1) + $E39*CO$1 + Momente!$D$6*CO41,KnotenData!$H$3)</f>
        <v>0.47499999999999998</v>
      </c>
      <c r="CP43" s="295">
        <f ca="1">IF(ISNUMBER($A38),$D39*(1-CP$1) + $E39*CP$1 + Momente!$D$6*CP41,KnotenData!$H$3)</f>
        <v>0.47499999999999998</v>
      </c>
      <c r="CQ43" s="295">
        <f ca="1">IF(ISNUMBER($A38),$D39*(1-CQ$1) + $E39*CQ$1 + Momente!$D$6*CQ41,KnotenData!$H$3)</f>
        <v>0.47499999999999998</v>
      </c>
      <c r="CR43" s="295">
        <f ca="1">IF(ISNUMBER($A38),$D39*(1-CR$1) + $E39*CR$1 + Momente!$D$6*CR41,KnotenData!$H$3)</f>
        <v>0.47499999999999998</v>
      </c>
      <c r="CS43" s="295">
        <f ca="1">IF(ISNUMBER($A38),$D39*(1-CS$1) + $E39*CS$1 + Momente!$D$6*CS41,KnotenData!$H$3)</f>
        <v>0.47499999999999998</v>
      </c>
      <c r="CT43" s="295">
        <f ca="1">IF(ISNUMBER($A38),$D39*(1-CT$1) + $E39*CT$1 + Momente!$D$6*CT41,KnotenData!$H$3)</f>
        <v>0.47499999999999998</v>
      </c>
      <c r="CU43" s="295">
        <f ca="1">IF(ISNUMBER($A38),$D39*(1-CU$1) + $E39*CU$1 + Momente!$D$6*CU41,KnotenData!$H$3)</f>
        <v>0.47499999999999998</v>
      </c>
      <c r="CV43" s="295">
        <f ca="1">IF(ISNUMBER($A38),$D39*(1-CV$1) + $E39*CV$1 + Momente!$D$6*CV41,KnotenData!$H$3)</f>
        <v>0.47499999999999998</v>
      </c>
      <c r="CW43" s="295">
        <f ca="1">IF(ISNUMBER($A38),$D39*(1-CW$1) + $E39*CW$1 + Momente!$D$6*CW41,KnotenData!$H$3)</f>
        <v>0.47499999999999998</v>
      </c>
      <c r="CX43" s="295">
        <f ca="1">IF(ISNUMBER($A38),$D39*(1-CX$1) + $E39*CX$1 + Momente!$D$6*CX41,KnotenData!$H$3)</f>
        <v>0.47499999999999998</v>
      </c>
      <c r="CY43" s="295">
        <f ca="1">IF(ISNUMBER($A38),$E39,KnotenData!$H$3)</f>
        <v>0.47499999999999998</v>
      </c>
      <c r="CZ43" s="295">
        <f ca="1">IF(ISNUMBER($A38),$D39,KnotenData!$H$3)</f>
        <v>0.47499999999999998</v>
      </c>
      <c r="DA43" s="306">
        <f ca="1">IF(ISNUMBER($A38),CN43,KnotenData!$H$3)</f>
        <v>0.47499999999999998</v>
      </c>
      <c r="DB43" s="9">
        <f ca="1">MAX(CN42:DA42)</f>
        <v>0.5</v>
      </c>
      <c r="DC43" s="146">
        <f ca="1">MAX(CN43:DA43)</f>
        <v>0.47499999999999998</v>
      </c>
      <c r="DD43" s="346"/>
      <c r="DE43" s="12">
        <v>7</v>
      </c>
      <c r="DF43" s="294" t="s">
        <v>103</v>
      </c>
      <c r="DG43" s="218">
        <f ca="1">IF(ISNUMBER($A38),$D39*(1-DG$1) + $E39*DG$1 + Querkräfte!$D$6*DG41,KnotenData!$H$3)</f>
        <v>0.47499999999999998</v>
      </c>
      <c r="DH43" s="295">
        <f ca="1">IF(ISNUMBER($A38),$D39*(1-DH$1) + $E39*DH$1 + Querkräfte!$D$6*DH41,KnotenData!$H$3)</f>
        <v>0.47499999999999998</v>
      </c>
      <c r="DI43" s="295">
        <f ca="1">IF(ISNUMBER($A38),$D39*(1-DI$1) + $E39*DI$1 + Querkräfte!$D$6*DI41,KnotenData!$H$3)</f>
        <v>0.47499999999999998</v>
      </c>
      <c r="DJ43" s="295">
        <f ca="1">IF(ISNUMBER($A38),$D39*(1-DJ$1) + $E39*DJ$1 + Querkräfte!$D$6*DJ41,KnotenData!$H$3)</f>
        <v>0.47499999999999998</v>
      </c>
      <c r="DK43" s="295">
        <f ca="1">IF(ISNUMBER($A38),$D39*(1-DK$1) + $E39*DK$1 + Querkräfte!$D$6*DK41,KnotenData!$H$3)</f>
        <v>0.47499999999999998</v>
      </c>
      <c r="DL43" s="295">
        <f ca="1">IF(ISNUMBER($A38),$D39*(1-DL$1) + $E39*DL$1 + Querkräfte!$D$6*DL41,KnotenData!$H$3)</f>
        <v>0.47499999999999998</v>
      </c>
      <c r="DM43" s="295">
        <f ca="1">IF(ISNUMBER($A38),$D39*(1-DM$1) + $E39*DM$1 + Querkräfte!$D$6*DM41,KnotenData!$H$3)</f>
        <v>0.47499999999999998</v>
      </c>
      <c r="DN43" s="295">
        <f ca="1">IF(ISNUMBER($A38),$D39*(1-DN$1) + $E39*DN$1 + Querkräfte!$D$6*DN41,KnotenData!$H$3)</f>
        <v>0.47499999999999998</v>
      </c>
      <c r="DO43" s="295">
        <f ca="1">IF(ISNUMBER($A38),$D39*(1-DO$1) + $E39*DO$1 + Querkräfte!$D$6*DO41,KnotenData!$H$3)</f>
        <v>0.47499999999999998</v>
      </c>
      <c r="DP43" s="295">
        <f ca="1">IF(ISNUMBER($A38),$D39*(1-DP$1) + $E39*DP$1 + Querkräfte!$D$6*DP41,KnotenData!$H$3)</f>
        <v>0.47499999999999998</v>
      </c>
      <c r="DQ43" s="295">
        <f ca="1">IF(ISNUMBER($A38),$D39*(1-DQ$1) + $E39*DQ$1 + Querkräfte!$D$6*DQ41,KnotenData!$H$3)</f>
        <v>0.47499999999999998</v>
      </c>
      <c r="DR43" s="295">
        <f ca="1">IF(ISNUMBER($A38),$E39,KnotenData!$H$3)</f>
        <v>0.47499999999999998</v>
      </c>
      <c r="DS43" s="295">
        <f ca="1">IF(ISNUMBER($A38),$D39,KnotenData!$H$3)</f>
        <v>0.47499999999999998</v>
      </c>
      <c r="DT43" s="219">
        <f ca="1">IF(ISNUMBER($A38),DG43,KnotenData!$H$3)</f>
        <v>0.47499999999999998</v>
      </c>
      <c r="DU43" s="11">
        <f ca="1">MAX(DG42:DQ42)</f>
        <v>0.5</v>
      </c>
      <c r="DV43" s="146">
        <f ca="1">MAX(DG43:DQ43)</f>
        <v>0.47499999999999998</v>
      </c>
      <c r="DW43" s="346"/>
      <c r="DX43" s="12">
        <v>7</v>
      </c>
      <c r="DY43" s="294" t="s">
        <v>103</v>
      </c>
      <c r="DZ43" s="218">
        <f ca="1">IF(ISNUMBER($A38),$D39*(1-DZ$1) + $E39*DZ$1 + Normalkräfte!$D$6*DZ41,KnotenData!$H$3)</f>
        <v>0.47499999999999998</v>
      </c>
      <c r="EA43" s="295">
        <f ca="1">IF(ISNUMBER($A38),$D39*(1-EA$1) + $E39*EA$1 + Normalkräfte!$D$6*EA41,KnotenData!$H$3)</f>
        <v>0.47499999999999998</v>
      </c>
      <c r="EB43" s="295">
        <f ca="1">IF(ISNUMBER($A38),$D39*(1-EB$1) + $E39*EB$1 + Normalkräfte!$D$6*EB41,KnotenData!$H$3)</f>
        <v>0.47499999999999998</v>
      </c>
      <c r="EC43" s="295">
        <f ca="1">IF(ISNUMBER($A38),$D39*(1-EC$1) + $E39*EC$1 + Normalkräfte!$D$6*EC41,KnotenData!$H$3)</f>
        <v>0.47499999999999998</v>
      </c>
      <c r="ED43" s="295">
        <f ca="1">IF(ISNUMBER($A38),$D39*(1-ED$1) + $E39*ED$1 + Normalkräfte!$D$6*ED41,KnotenData!$H$3)</f>
        <v>0.47499999999999998</v>
      </c>
      <c r="EE43" s="295">
        <f ca="1">IF(ISNUMBER($A38),$D39*(1-EE$1) + $E39*EE$1 + Normalkräfte!$D$6*EE41,KnotenData!$H$3)</f>
        <v>0.47499999999999998</v>
      </c>
      <c r="EF43" s="295">
        <f ca="1">IF(ISNUMBER($A38),$D39*(1-EF$1) + $E39*EF$1 + Normalkräfte!$D$6*EF41,KnotenData!$H$3)</f>
        <v>0.47499999999999998</v>
      </c>
      <c r="EG43" s="295">
        <f ca="1">IF(ISNUMBER($A38),$D39*(1-EG$1) + $E39*EG$1 + Normalkräfte!$D$6*EG41,KnotenData!$H$3)</f>
        <v>0.47499999999999998</v>
      </c>
      <c r="EH43" s="295">
        <f ca="1">IF(ISNUMBER($A38),$D39*(1-EH$1) + $E39*EH$1 + Normalkräfte!$D$6*EH41,KnotenData!$H$3)</f>
        <v>0.47499999999999998</v>
      </c>
      <c r="EI43" s="295">
        <f ca="1">IF(ISNUMBER($A38),$D39*(1-EI$1) + $E39*EI$1 + Normalkräfte!$D$6*EI41,KnotenData!$H$3)</f>
        <v>0.47499999999999998</v>
      </c>
      <c r="EJ43" s="295">
        <f ca="1">IF(ISNUMBER($A38),$D39*(1-EJ$1) + $E39*EJ$1 + Normalkräfte!$D$6*EJ41,KnotenData!$H$3)</f>
        <v>0.47499999999999998</v>
      </c>
      <c r="EK43" s="295">
        <f ca="1">IF(ISNUMBER($A38),$E39,KnotenData!$H$3)</f>
        <v>0.47499999999999998</v>
      </c>
      <c r="EL43" s="295">
        <f ca="1">IF(ISNUMBER($A38),$D39,KnotenData!$H$3)</f>
        <v>0.47499999999999998</v>
      </c>
      <c r="EM43" s="219">
        <f ca="1">IF(ISNUMBER($A38),DZ43,KnotenData!$H$3)</f>
        <v>0.47499999999999998</v>
      </c>
      <c r="EN43" s="9">
        <f ca="1">MAX(DZ42:EJ42)</f>
        <v>0.5</v>
      </c>
      <c r="EO43" s="146">
        <f ca="1">MAX(DZ43:EJ43)</f>
        <v>0.47499999999999998</v>
      </c>
      <c r="EP43" s="346"/>
    </row>
    <row r="44" spans="1:146" x14ac:dyDescent="0.2">
      <c r="A44" s="205" t="str">
        <f ca="1">IF(ISNUMBER(INDIRECT("System!C" &amp;(ROW(A44)+4)/6+1)),INDIRECT("System!B"&amp;(ROW(A44)+4)/6+1),"")</f>
        <v/>
      </c>
      <c r="B44" s="206">
        <f ca="1">IF(ISNUMBER(A44),INDIRECT("System!" &amp; ADDRESS(A44 +1,COLUMN(System!E43))),0)</f>
        <v>0</v>
      </c>
      <c r="C44" s="206">
        <f ca="1">IF(ISNUMBER(A44),INDIRECT("System!" &amp; ADDRESS(A44 +1,COLUMN(System!F43))),0)</f>
        <v>0</v>
      </c>
      <c r="D44" s="209">
        <f ca="1">IF(ISNUMBER(A44),INDIRECT("System!" &amp; ADDRESS(A44 +1,COLUMN(System!O43))),0)</f>
        <v>0</v>
      </c>
      <c r="E44" s="208" t="str">
        <f ca="1">IF(ISNUMBER(A44),INDIRECT("System!" &amp; ADDRESS(A44 +1,COLUMN(System!G43))),"")</f>
        <v/>
      </c>
      <c r="F44" s="208" t="str">
        <f ca="1">IF(ISNUMBER(A44),INDIRECT("System!" &amp; ADDRESS(A44 +1,COLUMN(System!H43))),"")</f>
        <v/>
      </c>
      <c r="G44" s="261" t="str">
        <f ca="1">IF(ISNUMBER(A44),INDIRECT("System!" &amp; ADDRESS(A44 +1,COLUMN(System!I43))),"")</f>
        <v/>
      </c>
      <c r="H44" s="207">
        <f ca="1">IF(ISNUMBER($A44),INDIRECT("System!" &amp; ADDRESS($A44 +1,COLUMN(System!Q43))),0)</f>
        <v>0</v>
      </c>
      <c r="I44" s="209">
        <f ca="1">IF(ISNUMBER($A44),INDIRECT("System!" &amp; ADDRESS($A44 +1,COLUMN(System!R43))),0)</f>
        <v>0</v>
      </c>
      <c r="J44" s="179">
        <f ca="1">IF(ISNUMBER(A44),C44/D44,0)</f>
        <v>0</v>
      </c>
      <c r="K44" s="5">
        <v>0</v>
      </c>
      <c r="L44" s="6">
        <v>0</v>
      </c>
      <c r="M44" s="4">
        <f ca="1">-J44</f>
        <v>0</v>
      </c>
      <c r="N44" s="5">
        <v>0</v>
      </c>
      <c r="O44" s="6">
        <v>0</v>
      </c>
      <c r="P44" s="141">
        <f ca="1">I44</f>
        <v>0</v>
      </c>
      <c r="Q44" s="142">
        <f ca="1">-H44</f>
        <v>0</v>
      </c>
      <c r="R44" s="142">
        <v>0</v>
      </c>
      <c r="S44" s="182">
        <v>0</v>
      </c>
      <c r="T44" s="182">
        <v>0</v>
      </c>
      <c r="U44" s="183">
        <v>0</v>
      </c>
      <c r="V44" s="179">
        <f t="array" aca="1" ref="V44:AA49" ca="1">MMULT(TRANSPOSE(P44:U49),MMULT(J44:O49,P44:U49))</f>
        <v>0</v>
      </c>
      <c r="W44" s="5">
        <f ca="1"/>
        <v>0</v>
      </c>
      <c r="X44" s="6">
        <f ca="1"/>
        <v>0</v>
      </c>
      <c r="Y44" s="4">
        <f ca="1"/>
        <v>0</v>
      </c>
      <c r="Z44" s="5">
        <f ca="1"/>
        <v>0</v>
      </c>
      <c r="AA44" s="6">
        <f ca="1"/>
        <v>0</v>
      </c>
      <c r="AB44" s="60">
        <f ca="1">IF(ISNUMBER($A44),INDIRECT("System!" &amp; ADDRESS(A44+1,COLUMN(System!S43))),0)</f>
        <v>0</v>
      </c>
      <c r="AC44" s="299">
        <f ca="1">IF(ISNUMBER(E44),E44*D44/2,0)</f>
        <v>0</v>
      </c>
      <c r="AD44" s="60">
        <f t="array" aca="1" ref="AD44:AD49" ca="1">MMULT(TRANSPOSE(P44:U49),AC44:AC49) - MMULT(V44:AA49,AB44:AB49)</f>
        <v>0</v>
      </c>
      <c r="AE44" s="4">
        <f t="shared" ref="AE44:BR44" ca="1" si="80">IF(ABS($B46)=AE$1,SIGN($B46),0)</f>
        <v>0</v>
      </c>
      <c r="AF44" s="5">
        <f t="shared" ca="1" si="80"/>
        <v>0</v>
      </c>
      <c r="AG44" s="5">
        <f t="shared" ca="1" si="80"/>
        <v>0</v>
      </c>
      <c r="AH44" s="5">
        <f t="shared" ca="1" si="80"/>
        <v>0</v>
      </c>
      <c r="AI44" s="5">
        <f t="shared" ca="1" si="80"/>
        <v>0</v>
      </c>
      <c r="AJ44" s="189">
        <f t="shared" ca="1" si="80"/>
        <v>0</v>
      </c>
      <c r="AK44" s="189">
        <f t="shared" ca="1" si="80"/>
        <v>0</v>
      </c>
      <c r="AL44" s="189">
        <f t="shared" ca="1" si="80"/>
        <v>0</v>
      </c>
      <c r="AM44" s="189">
        <f t="shared" ca="1" si="80"/>
        <v>0</v>
      </c>
      <c r="AN44" s="189">
        <f t="shared" ca="1" si="80"/>
        <v>0</v>
      </c>
      <c r="AO44" s="189">
        <f t="shared" ca="1" si="80"/>
        <v>0</v>
      </c>
      <c r="AP44" s="189">
        <f t="shared" ca="1" si="80"/>
        <v>0</v>
      </c>
      <c r="AQ44" s="189">
        <f t="shared" ca="1" si="80"/>
        <v>0</v>
      </c>
      <c r="AR44" s="189">
        <f t="shared" ca="1" si="80"/>
        <v>0</v>
      </c>
      <c r="AS44" s="189">
        <f t="shared" ca="1" si="80"/>
        <v>0</v>
      </c>
      <c r="AT44" s="189">
        <f t="shared" ca="1" si="80"/>
        <v>0</v>
      </c>
      <c r="AU44" s="189">
        <f t="shared" ca="1" si="80"/>
        <v>0</v>
      </c>
      <c r="AV44" s="189">
        <f t="shared" ca="1" si="80"/>
        <v>0</v>
      </c>
      <c r="AW44" s="189">
        <f t="shared" ca="1" si="80"/>
        <v>0</v>
      </c>
      <c r="AX44" s="189">
        <f t="shared" ca="1" si="80"/>
        <v>0</v>
      </c>
      <c r="AY44" s="189">
        <f t="shared" ca="1" si="80"/>
        <v>0</v>
      </c>
      <c r="AZ44" s="189">
        <f t="shared" ca="1" si="80"/>
        <v>0</v>
      </c>
      <c r="BA44" s="189">
        <f t="shared" ca="1" si="80"/>
        <v>0</v>
      </c>
      <c r="BB44" s="189">
        <f t="shared" ca="1" si="80"/>
        <v>0</v>
      </c>
      <c r="BC44" s="189">
        <f t="shared" ca="1" si="80"/>
        <v>0</v>
      </c>
      <c r="BD44" s="189">
        <f t="shared" ca="1" si="80"/>
        <v>0</v>
      </c>
      <c r="BE44" s="189">
        <f t="shared" ca="1" si="80"/>
        <v>0</v>
      </c>
      <c r="BF44" s="189">
        <f t="shared" ca="1" si="80"/>
        <v>0</v>
      </c>
      <c r="BG44" s="189">
        <f t="shared" ca="1" si="80"/>
        <v>0</v>
      </c>
      <c r="BH44" s="189">
        <f t="shared" ca="1" si="80"/>
        <v>0</v>
      </c>
      <c r="BI44" s="189">
        <f t="shared" ca="1" si="80"/>
        <v>0</v>
      </c>
      <c r="BJ44" s="189">
        <f t="shared" ca="1" si="80"/>
        <v>0</v>
      </c>
      <c r="BK44" s="189">
        <f t="shared" ca="1" si="80"/>
        <v>0</v>
      </c>
      <c r="BL44" s="189">
        <f t="shared" ca="1" si="80"/>
        <v>0</v>
      </c>
      <c r="BM44" s="189">
        <f t="shared" ca="1" si="80"/>
        <v>0</v>
      </c>
      <c r="BN44" s="189">
        <f t="shared" ca="1" si="80"/>
        <v>0</v>
      </c>
      <c r="BO44" s="189">
        <f t="shared" ca="1" si="80"/>
        <v>0</v>
      </c>
      <c r="BP44" s="189">
        <f t="shared" ca="1" si="80"/>
        <v>0</v>
      </c>
      <c r="BQ44" s="189">
        <f t="shared" ca="1" si="80"/>
        <v>0</v>
      </c>
      <c r="BR44" s="189">
        <f t="shared" ca="1" si="80"/>
        <v>0</v>
      </c>
      <c r="BS44" s="281">
        <f ca="1">IF(ISNUMBER($A44),IF(INDEX(B46:G46,1)&lt;&gt;0,SIGN(INDEX(B46:G46,1))*INDIRECT(ADDRESS(1+ABS(INDEX(B46:G46,1)),COLUMN(Ksys!$B$1),1,TRUE,"Ksys")),0)+AB44,0)</f>
        <v>0</v>
      </c>
      <c r="BT44" s="60">
        <f t="array" aca="1" ref="BT44:BT49" ca="1">MMULT(P44:U49,BS44:BS49)</f>
        <v>0</v>
      </c>
      <c r="BU44" s="60">
        <f t="array" aca="1" ref="BU44:BU49" ca="1">MMULT(J44:O49,BT44:BT49)-AC44:AC49</f>
        <v>0</v>
      </c>
      <c r="BV44" s="60">
        <f t="array" aca="1" ref="BV44:BV46" ca="1">-(MMULT(J44:O46,BT44:BT49)-AC44:AC46)</f>
        <v>0</v>
      </c>
      <c r="BW44" s="286" t="s">
        <v>97</v>
      </c>
      <c r="BX44" s="4">
        <f t="shared" ref="BX44:CH44" ca="1" si="81">IF(ISNUMBER($A44),$BT44*(1-BX$1) + $BT47*BX$1,0)</f>
        <v>0</v>
      </c>
      <c r="BY44" s="5">
        <f t="shared" ca="1" si="81"/>
        <v>0</v>
      </c>
      <c r="BZ44" s="5">
        <f t="shared" ca="1" si="81"/>
        <v>0</v>
      </c>
      <c r="CA44" s="5">
        <f t="shared" ca="1" si="81"/>
        <v>0</v>
      </c>
      <c r="CB44" s="5">
        <f t="shared" ca="1" si="81"/>
        <v>0</v>
      </c>
      <c r="CC44" s="5">
        <f t="shared" ca="1" si="81"/>
        <v>0</v>
      </c>
      <c r="CD44" s="5">
        <f t="shared" ca="1" si="81"/>
        <v>0</v>
      </c>
      <c r="CE44" s="5">
        <f t="shared" ca="1" si="81"/>
        <v>0</v>
      </c>
      <c r="CF44" s="5">
        <f t="shared" ca="1" si="81"/>
        <v>0</v>
      </c>
      <c r="CG44" s="5">
        <f t="shared" ca="1" si="81"/>
        <v>0</v>
      </c>
      <c r="CH44" s="6">
        <f t="shared" ca="1" si="81"/>
        <v>0</v>
      </c>
      <c r="CI44" s="343"/>
      <c r="CJ44" s="343"/>
      <c r="CK44" s="308"/>
      <c r="CL44" s="12"/>
      <c r="CM44" s="290" t="s">
        <v>97</v>
      </c>
      <c r="CN44" s="4">
        <v>0</v>
      </c>
      <c r="CO44" s="5">
        <v>0</v>
      </c>
      <c r="CP44" s="5">
        <v>0</v>
      </c>
      <c r="CQ44" s="5">
        <v>0</v>
      </c>
      <c r="CR44" s="5">
        <v>0</v>
      </c>
      <c r="CS44" s="5">
        <v>0</v>
      </c>
      <c r="CT44" s="5">
        <v>0</v>
      </c>
      <c r="CU44" s="5">
        <v>0</v>
      </c>
      <c r="CV44" s="5">
        <v>0</v>
      </c>
      <c r="CW44" s="5">
        <v>0</v>
      </c>
      <c r="CX44" s="5">
        <v>0</v>
      </c>
      <c r="CY44" s="5"/>
      <c r="CZ44" s="5"/>
      <c r="DA44" s="189"/>
      <c r="DB44" s="307"/>
      <c r="DC44" s="308"/>
      <c r="DD44" s="343"/>
      <c r="DE44" s="12"/>
      <c r="DF44" s="290" t="s">
        <v>97</v>
      </c>
      <c r="DG44" s="4">
        <v>0</v>
      </c>
      <c r="DH44" s="5">
        <v>0</v>
      </c>
      <c r="DI44" s="5">
        <v>0</v>
      </c>
      <c r="DJ44" s="5">
        <v>0</v>
      </c>
      <c r="DK44" s="5">
        <v>0</v>
      </c>
      <c r="DL44" s="5">
        <v>0</v>
      </c>
      <c r="DM44" s="5">
        <v>0</v>
      </c>
      <c r="DN44" s="5">
        <v>0</v>
      </c>
      <c r="DO44" s="5">
        <v>0</v>
      </c>
      <c r="DP44" s="5">
        <v>0</v>
      </c>
      <c r="DQ44" s="5">
        <v>0</v>
      </c>
      <c r="DR44" s="5"/>
      <c r="DS44" s="5"/>
      <c r="DT44" s="6"/>
      <c r="DU44" s="325"/>
      <c r="DV44" s="308"/>
      <c r="DW44" s="343"/>
      <c r="DX44" s="12"/>
      <c r="DY44" s="290" t="s">
        <v>97</v>
      </c>
      <c r="DZ44" s="4">
        <v>0</v>
      </c>
      <c r="EA44" s="5">
        <v>0</v>
      </c>
      <c r="EB44" s="5">
        <v>0</v>
      </c>
      <c r="EC44" s="5">
        <v>0</v>
      </c>
      <c r="ED44" s="5">
        <v>0</v>
      </c>
      <c r="EE44" s="5">
        <v>0</v>
      </c>
      <c r="EF44" s="5">
        <v>0</v>
      </c>
      <c r="EG44" s="5">
        <v>0</v>
      </c>
      <c r="EH44" s="5">
        <v>0</v>
      </c>
      <c r="EI44" s="5">
        <v>0</v>
      </c>
      <c r="EJ44" s="5">
        <v>0</v>
      </c>
      <c r="EK44" s="5"/>
      <c r="EL44" s="5"/>
      <c r="EM44" s="6"/>
      <c r="EN44" s="307"/>
      <c r="EO44" s="308"/>
      <c r="EP44" s="343"/>
    </row>
    <row r="45" spans="1:146" x14ac:dyDescent="0.2">
      <c r="B45" s="1">
        <f ca="1">IF(ISNUMBER($A44),INDIRECT(ADDRESS($A44+1,COLUMN(System!K$2),1,TRUE,"System")),0)</f>
        <v>0</v>
      </c>
      <c r="C45" s="1">
        <f ca="1">IF(ISNUMBER($A44),INDIRECT(ADDRESS($A44+1,COLUMN(System!L$2),1,TRUE,"System")),0)</f>
        <v>0</v>
      </c>
      <c r="D45" s="1">
        <f ca="1">IF(ISNUMBER($A44),INDIRECT(ADDRESS($A44+1,COLUMN(System!M$2),1,TRUE,"System")),0)</f>
        <v>0</v>
      </c>
      <c r="E45" s="1">
        <f ca="1">IF(ISNUMBER($A44),INDIRECT(ADDRESS($A44+1,COLUMN(System!N$2),1,TRUE,"System")),0)</f>
        <v>0</v>
      </c>
      <c r="F45" s="12"/>
      <c r="J45" s="7">
        <v>0</v>
      </c>
      <c r="K45" s="180">
        <f ca="1">IF(G44=1,12*B44/D44^3,IF(G44="2a",3*B44/D44^3,IF(G44="2b",3*B44/D44^3,0)))</f>
        <v>0</v>
      </c>
      <c r="L45" s="8">
        <f ca="1">K46</f>
        <v>0</v>
      </c>
      <c r="M45" s="7">
        <v>0</v>
      </c>
      <c r="N45" s="1">
        <f ca="1">-K45</f>
        <v>0</v>
      </c>
      <c r="O45" s="8">
        <f ca="1">K49</f>
        <v>0</v>
      </c>
      <c r="P45" s="143">
        <f ca="1">H44</f>
        <v>0</v>
      </c>
      <c r="Q45" s="99">
        <f ca="1">I44</f>
        <v>0</v>
      </c>
      <c r="R45" s="99">
        <v>0</v>
      </c>
      <c r="S45" s="101">
        <v>0</v>
      </c>
      <c r="T45" s="101">
        <v>0</v>
      </c>
      <c r="U45" s="110">
        <v>0</v>
      </c>
      <c r="V45" s="7">
        <f ca="1"/>
        <v>0</v>
      </c>
      <c r="W45" s="180">
        <f ca="1"/>
        <v>0</v>
      </c>
      <c r="X45" s="8">
        <f ca="1"/>
        <v>0</v>
      </c>
      <c r="Y45" s="7">
        <f ca="1"/>
        <v>0</v>
      </c>
      <c r="Z45" s="1">
        <f ca="1"/>
        <v>0</v>
      </c>
      <c r="AA45" s="8">
        <f ca="1"/>
        <v>0</v>
      </c>
      <c r="AB45" s="61">
        <f ca="1">IF(ISNUMBER($A44),INDIRECT("System!" &amp; ADDRESS(A44+1,COLUMN(System!T43))),0)</f>
        <v>0</v>
      </c>
      <c r="AC45" s="301">
        <f ca="1">IF(G44=1,F44*D44/2,IF(G44="2a",F44*3/8*D44,IF(G44="2b",F44*5/8*D44,0)))</f>
        <v>0</v>
      </c>
      <c r="AD45" s="61">
        <f ca="1"/>
        <v>0</v>
      </c>
      <c r="AE45" s="7">
        <f t="shared" ref="AE45:BR45" ca="1" si="82">IF(ABS($C46)=AE$1,SIGN($C46),0)</f>
        <v>0</v>
      </c>
      <c r="AF45" s="1">
        <f t="shared" ca="1" si="82"/>
        <v>0</v>
      </c>
      <c r="AG45" s="1">
        <f t="shared" ca="1" si="82"/>
        <v>0</v>
      </c>
      <c r="AH45" s="1">
        <f t="shared" ca="1" si="82"/>
        <v>0</v>
      </c>
      <c r="AI45" s="1">
        <f t="shared" ca="1" si="82"/>
        <v>0</v>
      </c>
      <c r="AJ45" s="26">
        <f t="shared" ca="1" si="82"/>
        <v>0</v>
      </c>
      <c r="AK45" s="26">
        <f t="shared" ca="1" si="82"/>
        <v>0</v>
      </c>
      <c r="AL45" s="26">
        <f t="shared" ca="1" si="82"/>
        <v>0</v>
      </c>
      <c r="AM45" s="26">
        <f t="shared" ca="1" si="82"/>
        <v>0</v>
      </c>
      <c r="AN45" s="26">
        <f t="shared" ca="1" si="82"/>
        <v>0</v>
      </c>
      <c r="AO45" s="26">
        <f t="shared" ca="1" si="82"/>
        <v>0</v>
      </c>
      <c r="AP45" s="26">
        <f t="shared" ca="1" si="82"/>
        <v>0</v>
      </c>
      <c r="AQ45" s="26">
        <f t="shared" ca="1" si="82"/>
        <v>0</v>
      </c>
      <c r="AR45" s="26">
        <f t="shared" ca="1" si="82"/>
        <v>0</v>
      </c>
      <c r="AS45" s="26">
        <f t="shared" ca="1" si="82"/>
        <v>0</v>
      </c>
      <c r="AT45" s="26">
        <f t="shared" ca="1" si="82"/>
        <v>0</v>
      </c>
      <c r="AU45" s="26">
        <f t="shared" ca="1" si="82"/>
        <v>0</v>
      </c>
      <c r="AV45" s="26">
        <f t="shared" ca="1" si="82"/>
        <v>0</v>
      </c>
      <c r="AW45" s="26">
        <f t="shared" ca="1" si="82"/>
        <v>0</v>
      </c>
      <c r="AX45" s="26">
        <f t="shared" ca="1" si="82"/>
        <v>0</v>
      </c>
      <c r="AY45" s="26">
        <f t="shared" ca="1" si="82"/>
        <v>0</v>
      </c>
      <c r="AZ45" s="26">
        <f t="shared" ca="1" si="82"/>
        <v>0</v>
      </c>
      <c r="BA45" s="26">
        <f t="shared" ca="1" si="82"/>
        <v>0</v>
      </c>
      <c r="BB45" s="26">
        <f t="shared" ca="1" si="82"/>
        <v>0</v>
      </c>
      <c r="BC45" s="26">
        <f t="shared" ca="1" si="82"/>
        <v>0</v>
      </c>
      <c r="BD45" s="26">
        <f t="shared" ca="1" si="82"/>
        <v>0</v>
      </c>
      <c r="BE45" s="26">
        <f t="shared" ca="1" si="82"/>
        <v>0</v>
      </c>
      <c r="BF45" s="26">
        <f t="shared" ca="1" si="82"/>
        <v>0</v>
      </c>
      <c r="BG45" s="26">
        <f t="shared" ca="1" si="82"/>
        <v>0</v>
      </c>
      <c r="BH45" s="26">
        <f t="shared" ca="1" si="82"/>
        <v>0</v>
      </c>
      <c r="BI45" s="26">
        <f t="shared" ca="1" si="82"/>
        <v>0</v>
      </c>
      <c r="BJ45" s="26">
        <f t="shared" ca="1" si="82"/>
        <v>0</v>
      </c>
      <c r="BK45" s="26">
        <f t="shared" ca="1" si="82"/>
        <v>0</v>
      </c>
      <c r="BL45" s="26">
        <f t="shared" ca="1" si="82"/>
        <v>0</v>
      </c>
      <c r="BM45" s="26">
        <f t="shared" ca="1" si="82"/>
        <v>0</v>
      </c>
      <c r="BN45" s="26">
        <f t="shared" ca="1" si="82"/>
        <v>0</v>
      </c>
      <c r="BO45" s="26">
        <f t="shared" ca="1" si="82"/>
        <v>0</v>
      </c>
      <c r="BP45" s="26">
        <f t="shared" ca="1" si="82"/>
        <v>0</v>
      </c>
      <c r="BQ45" s="26">
        <f t="shared" ca="1" si="82"/>
        <v>0</v>
      </c>
      <c r="BR45" s="26">
        <f t="shared" ca="1" si="82"/>
        <v>0</v>
      </c>
      <c r="BS45" s="282">
        <f ca="1">IF(ISNUMBER($A44),IF(INDEX(B46:G46,2)&lt;&gt;0,SIGN(INDEX(B46:G46,2))*INDIRECT(ADDRESS(1+ABS(INDEX(B46:G46,2)),COLUMN(Ksys!$B$1),1,TRUE,"Ksys")),0)+AB45,0)</f>
        <v>0</v>
      </c>
      <c r="BT45" s="61">
        <f ca="1"/>
        <v>0</v>
      </c>
      <c r="BU45" s="61">
        <f ca="1"/>
        <v>0</v>
      </c>
      <c r="BV45" s="61">
        <f ca="1"/>
        <v>0</v>
      </c>
      <c r="BW45" s="287" t="s">
        <v>100</v>
      </c>
      <c r="BX45" s="272">
        <f t="shared" ref="BX45:CH45" ca="1" si="83" xml:space="preserve">  IF(ISNUMBER($A44),$BT45*(1-BX$1) + $BT48*BX$1 + ((1-BX$1)-(1-BX$1)^3)*$D44^2/6*$BV46/$B44 + (BX$1-(BX$1)^3)*$D44^2/6*$BV49/$B44 + (BX$1-2*(BX$1)^3+(BX$1)^4)*$D44^2/3*$F44*$D44^2/8/$B44,0)</f>
        <v>0</v>
      </c>
      <c r="BY45" s="173">
        <f t="shared" ca="1" si="83"/>
        <v>0</v>
      </c>
      <c r="BZ45" s="173">
        <f t="shared" ca="1" si="83"/>
        <v>0</v>
      </c>
      <c r="CA45" s="173">
        <f t="shared" ca="1" si="83"/>
        <v>0</v>
      </c>
      <c r="CB45" s="173">
        <f t="shared" ca="1" si="83"/>
        <v>0</v>
      </c>
      <c r="CC45" s="173">
        <f t="shared" ca="1" si="83"/>
        <v>0</v>
      </c>
      <c r="CD45" s="173">
        <f t="shared" ca="1" si="83"/>
        <v>0</v>
      </c>
      <c r="CE45" s="173">
        <f t="shared" ca="1" si="83"/>
        <v>0</v>
      </c>
      <c r="CF45" s="173">
        <f t="shared" ca="1" si="83"/>
        <v>0</v>
      </c>
      <c r="CG45" s="173">
        <f t="shared" ca="1" si="83"/>
        <v>0</v>
      </c>
      <c r="CH45" s="289">
        <f t="shared" ca="1" si="83"/>
        <v>0</v>
      </c>
      <c r="CI45" s="344"/>
      <c r="CJ45" s="344"/>
      <c r="CK45" s="312"/>
      <c r="CL45" s="12"/>
      <c r="CM45" s="291" t="s">
        <v>100</v>
      </c>
      <c r="CN45" s="7">
        <f t="shared" ref="CN45:CX45" ca="1" si="84" xml:space="preserve">  IF(ISNUMBER($A44),$BV46*(1-CN$1) + $BV49*CN$1  + CN$1*(1-CN$1)*$F44*$D44^2/2,0)</f>
        <v>0</v>
      </c>
      <c r="CO45" s="1">
        <f t="shared" ca="1" si="84"/>
        <v>0</v>
      </c>
      <c r="CP45" s="1">
        <f t="shared" ca="1" si="84"/>
        <v>0</v>
      </c>
      <c r="CQ45" s="1">
        <f t="shared" ca="1" si="84"/>
        <v>0</v>
      </c>
      <c r="CR45" s="1">
        <f t="shared" ca="1" si="84"/>
        <v>0</v>
      </c>
      <c r="CS45" s="1">
        <f t="shared" ca="1" si="84"/>
        <v>0</v>
      </c>
      <c r="CT45" s="1">
        <f t="shared" ca="1" si="84"/>
        <v>0</v>
      </c>
      <c r="CU45" s="1">
        <f t="shared" ca="1" si="84"/>
        <v>0</v>
      </c>
      <c r="CV45" s="1">
        <f t="shared" ca="1" si="84"/>
        <v>0</v>
      </c>
      <c r="CW45" s="1">
        <f t="shared" ca="1" si="84"/>
        <v>0</v>
      </c>
      <c r="CX45" s="1">
        <f t="shared" ca="1" si="84"/>
        <v>0</v>
      </c>
      <c r="CY45" s="1"/>
      <c r="CZ45" s="1"/>
      <c r="DA45" s="26"/>
      <c r="DB45" s="309"/>
      <c r="DC45" s="310"/>
      <c r="DD45" s="345"/>
      <c r="DE45" s="12"/>
      <c r="DF45" s="291" t="s">
        <v>100</v>
      </c>
      <c r="DG45" s="7">
        <f t="shared" ref="DG45:DQ45" ca="1" si="85" xml:space="preserve">  IF(ISNUMBER($A44),$BV45*(1-DG$1) + $BV48*DG$1,0)</f>
        <v>0</v>
      </c>
      <c r="DH45" s="1">
        <f t="shared" ca="1" si="85"/>
        <v>0</v>
      </c>
      <c r="DI45" s="1">
        <f t="shared" ca="1" si="85"/>
        <v>0</v>
      </c>
      <c r="DJ45" s="1">
        <f t="shared" ca="1" si="85"/>
        <v>0</v>
      </c>
      <c r="DK45" s="1">
        <f t="shared" ca="1" si="85"/>
        <v>0</v>
      </c>
      <c r="DL45" s="1">
        <f t="shared" ca="1" si="85"/>
        <v>0</v>
      </c>
      <c r="DM45" s="1">
        <f t="shared" ca="1" si="85"/>
        <v>0</v>
      </c>
      <c r="DN45" s="1">
        <f t="shared" ca="1" si="85"/>
        <v>0</v>
      </c>
      <c r="DO45" s="1">
        <f t="shared" ca="1" si="85"/>
        <v>0</v>
      </c>
      <c r="DP45" s="1">
        <f t="shared" ca="1" si="85"/>
        <v>0</v>
      </c>
      <c r="DQ45" s="1">
        <f t="shared" ca="1" si="85"/>
        <v>0</v>
      </c>
      <c r="DR45" s="1"/>
      <c r="DS45" s="1"/>
      <c r="DT45" s="8"/>
      <c r="DU45" s="12"/>
      <c r="DV45" s="310"/>
      <c r="DW45" s="345"/>
      <c r="DX45" s="12"/>
      <c r="DY45" s="291" t="s">
        <v>100</v>
      </c>
      <c r="DZ45" s="7">
        <f t="shared" ref="DZ45:EJ45" ca="1" si="86" xml:space="preserve">  IF(ISNUMBER($A44),$BV44*(1-DZ$1) + $BV47*DZ$1,0)</f>
        <v>0</v>
      </c>
      <c r="EA45" s="1">
        <f t="shared" ca="1" si="86"/>
        <v>0</v>
      </c>
      <c r="EB45" s="1">
        <f t="shared" ca="1" si="86"/>
        <v>0</v>
      </c>
      <c r="EC45" s="1">
        <f t="shared" ca="1" si="86"/>
        <v>0</v>
      </c>
      <c r="ED45" s="1">
        <f t="shared" ca="1" si="86"/>
        <v>0</v>
      </c>
      <c r="EE45" s="1">
        <f t="shared" ca="1" si="86"/>
        <v>0</v>
      </c>
      <c r="EF45" s="1">
        <f t="shared" ca="1" si="86"/>
        <v>0</v>
      </c>
      <c r="EG45" s="1">
        <f t="shared" ca="1" si="86"/>
        <v>0</v>
      </c>
      <c r="EH45" s="1">
        <f t="shared" ca="1" si="86"/>
        <v>0</v>
      </c>
      <c r="EI45" s="1">
        <f t="shared" ca="1" si="86"/>
        <v>0</v>
      </c>
      <c r="EJ45" s="1">
        <f t="shared" ca="1" si="86"/>
        <v>0</v>
      </c>
      <c r="EK45" s="1"/>
      <c r="EL45" s="1"/>
      <c r="EM45" s="8"/>
      <c r="EN45" s="309"/>
      <c r="EO45" s="310"/>
      <c r="EP45" s="345"/>
    </row>
    <row r="46" spans="1:146" ht="13.5" thickBot="1" x14ac:dyDescent="0.25">
      <c r="B46" s="1">
        <f ca="1">IF(ISNUMBER($A44),INDIRECT("System!" &amp; ADDRESS($A44 +1,COLUMN(System!Y43))),0)</f>
        <v>0</v>
      </c>
      <c r="C46" s="1">
        <f ca="1">IF(ISNUMBER($A44),INDIRECT("System!" &amp; ADDRESS($A44 +1,COLUMN(System!Z43))),0)</f>
        <v>0</v>
      </c>
      <c r="D46" s="1">
        <f ca="1">IF(ISNUMBER($A44),INDIRECT("System!" &amp; ADDRESS($A44 +1,COLUMN(System!AA43))),0)</f>
        <v>0</v>
      </c>
      <c r="E46" s="1">
        <f ca="1">IF(ISNUMBER($A44),INDIRECT("System!" &amp; ADDRESS($A44 +1,COLUMN(System!AB43))),0)</f>
        <v>0</v>
      </c>
      <c r="F46" s="1">
        <f ca="1">IF(ISNUMBER($A44),INDIRECT("System!" &amp; ADDRESS($A44 +1,COLUMN(System!AC43))),0)</f>
        <v>0</v>
      </c>
      <c r="G46" s="1">
        <f ca="1">IF(ISNUMBER($A44),INDIRECT("System!" &amp; ADDRESS($A44 +1,COLUMN(System!AD43))),0)</f>
        <v>0</v>
      </c>
      <c r="J46" s="9">
        <v>0</v>
      </c>
      <c r="K46" s="10">
        <f ca="1">IF(G44=1,-6*B44/D44^2,IF(G44="2a",0,IF(G44="2b",-3*B44/D44^2,0)))</f>
        <v>0</v>
      </c>
      <c r="L46" s="181">
        <f ca="1">IF(G44=1,4*B44/D44,IF(G44="2a",0,IF(G44="2b",3*B44/D44,0)))</f>
        <v>0</v>
      </c>
      <c r="M46" s="9">
        <v>0</v>
      </c>
      <c r="N46" s="10">
        <f ca="1">L48</f>
        <v>0</v>
      </c>
      <c r="O46" s="146">
        <f ca="1">L49</f>
        <v>0</v>
      </c>
      <c r="P46" s="143">
        <v>0</v>
      </c>
      <c r="Q46" s="99">
        <v>0</v>
      </c>
      <c r="R46" s="99">
        <v>1</v>
      </c>
      <c r="S46" s="101">
        <v>0</v>
      </c>
      <c r="T46" s="101">
        <v>0</v>
      </c>
      <c r="U46" s="110">
        <v>0</v>
      </c>
      <c r="V46" s="9">
        <f ca="1"/>
        <v>0</v>
      </c>
      <c r="W46" s="10">
        <f ca="1"/>
        <v>0</v>
      </c>
      <c r="X46" s="181">
        <f ca="1"/>
        <v>0</v>
      </c>
      <c r="Y46" s="9">
        <f ca="1"/>
        <v>0</v>
      </c>
      <c r="Z46" s="10">
        <f ca="1"/>
        <v>0</v>
      </c>
      <c r="AA46" s="146">
        <f ca="1"/>
        <v>0</v>
      </c>
      <c r="AB46" s="61">
        <f ca="1">IF(ISNUMBER($A44),INDIRECT("System!" &amp; ADDRESS(A44+1,COLUMN(System!U43))),0)</f>
        <v>0</v>
      </c>
      <c r="AC46" s="301">
        <f ca="1">IF(G44=1,-F44*D44^2/12,IF(G44="2a",0,IF(G44="2b",-F44*D44^2/8,0)))</f>
        <v>0</v>
      </c>
      <c r="AD46" s="61">
        <f ca="1"/>
        <v>0</v>
      </c>
      <c r="AE46" s="7">
        <f t="shared" ref="AE46:BR46" ca="1" si="87">IF(ABS($D46)=AE$1,SIGN($D46),0)</f>
        <v>0</v>
      </c>
      <c r="AF46" s="1">
        <f t="shared" ca="1" si="87"/>
        <v>0</v>
      </c>
      <c r="AG46" s="1">
        <f t="shared" ca="1" si="87"/>
        <v>0</v>
      </c>
      <c r="AH46" s="1">
        <f t="shared" ca="1" si="87"/>
        <v>0</v>
      </c>
      <c r="AI46" s="1">
        <f t="shared" ca="1" si="87"/>
        <v>0</v>
      </c>
      <c r="AJ46" s="26">
        <f t="shared" ca="1" si="87"/>
        <v>0</v>
      </c>
      <c r="AK46" s="26">
        <f t="shared" ca="1" si="87"/>
        <v>0</v>
      </c>
      <c r="AL46" s="26">
        <f t="shared" ca="1" si="87"/>
        <v>0</v>
      </c>
      <c r="AM46" s="26">
        <f t="shared" ca="1" si="87"/>
        <v>0</v>
      </c>
      <c r="AN46" s="26">
        <f t="shared" ca="1" si="87"/>
        <v>0</v>
      </c>
      <c r="AO46" s="26">
        <f t="shared" ca="1" si="87"/>
        <v>0</v>
      </c>
      <c r="AP46" s="26">
        <f t="shared" ca="1" si="87"/>
        <v>0</v>
      </c>
      <c r="AQ46" s="26">
        <f t="shared" ca="1" si="87"/>
        <v>0</v>
      </c>
      <c r="AR46" s="26">
        <f t="shared" ca="1" si="87"/>
        <v>0</v>
      </c>
      <c r="AS46" s="26">
        <f t="shared" ca="1" si="87"/>
        <v>0</v>
      </c>
      <c r="AT46" s="26">
        <f t="shared" ca="1" si="87"/>
        <v>0</v>
      </c>
      <c r="AU46" s="26">
        <f t="shared" ca="1" si="87"/>
        <v>0</v>
      </c>
      <c r="AV46" s="26">
        <f t="shared" ca="1" si="87"/>
        <v>0</v>
      </c>
      <c r="AW46" s="26">
        <f t="shared" ca="1" si="87"/>
        <v>0</v>
      </c>
      <c r="AX46" s="26">
        <f t="shared" ca="1" si="87"/>
        <v>0</v>
      </c>
      <c r="AY46" s="26">
        <f t="shared" ca="1" si="87"/>
        <v>0</v>
      </c>
      <c r="AZ46" s="26">
        <f t="shared" ca="1" si="87"/>
        <v>0</v>
      </c>
      <c r="BA46" s="26">
        <f t="shared" ca="1" si="87"/>
        <v>0</v>
      </c>
      <c r="BB46" s="26">
        <f t="shared" ca="1" si="87"/>
        <v>0</v>
      </c>
      <c r="BC46" s="26">
        <f t="shared" ca="1" si="87"/>
        <v>0</v>
      </c>
      <c r="BD46" s="26">
        <f t="shared" ca="1" si="87"/>
        <v>0</v>
      </c>
      <c r="BE46" s="26">
        <f t="shared" ca="1" si="87"/>
        <v>0</v>
      </c>
      <c r="BF46" s="26">
        <f t="shared" ca="1" si="87"/>
        <v>0</v>
      </c>
      <c r="BG46" s="26">
        <f t="shared" ca="1" si="87"/>
        <v>0</v>
      </c>
      <c r="BH46" s="26">
        <f t="shared" ca="1" si="87"/>
        <v>0</v>
      </c>
      <c r="BI46" s="26">
        <f t="shared" ca="1" si="87"/>
        <v>0</v>
      </c>
      <c r="BJ46" s="26">
        <f t="shared" ca="1" si="87"/>
        <v>0</v>
      </c>
      <c r="BK46" s="26">
        <f t="shared" ca="1" si="87"/>
        <v>0</v>
      </c>
      <c r="BL46" s="26">
        <f t="shared" ca="1" si="87"/>
        <v>0</v>
      </c>
      <c r="BM46" s="26">
        <f t="shared" ca="1" si="87"/>
        <v>0</v>
      </c>
      <c r="BN46" s="26">
        <f t="shared" ca="1" si="87"/>
        <v>0</v>
      </c>
      <c r="BO46" s="26">
        <f t="shared" ca="1" si="87"/>
        <v>0</v>
      </c>
      <c r="BP46" s="26">
        <f t="shared" ca="1" si="87"/>
        <v>0</v>
      </c>
      <c r="BQ46" s="26">
        <f t="shared" ca="1" si="87"/>
        <v>0</v>
      </c>
      <c r="BR46" s="26">
        <f t="shared" ca="1" si="87"/>
        <v>0</v>
      </c>
      <c r="BS46" s="282">
        <f ca="1">IF(ISNUMBER($A44),IF(INDEX(B46:G46,3)&lt;&gt;0,SIGN(INDEX(B46:G46,3))*INDIRECT(ADDRESS(1+ABS(INDEX(B46:G46,3)),COLUMN(Ksys!$B$1),1,TRUE,"Ksys")),0)+AB46,0)</f>
        <v>0</v>
      </c>
      <c r="BT46" s="61">
        <f ca="1"/>
        <v>0</v>
      </c>
      <c r="BU46" s="61">
        <f ca="1"/>
        <v>0</v>
      </c>
      <c r="BV46" s="61">
        <f ca="1"/>
        <v>0</v>
      </c>
      <c r="BW46" s="287" t="s">
        <v>96</v>
      </c>
      <c r="BX46" s="7">
        <f t="array" aca="1" ref="BX46:BX47" ca="1">IF(ISNUMBER($A44),MMULT(TRANSPOSE($P44:$Q45),BX44:BX45),0)</f>
        <v>0</v>
      </c>
      <c r="BY46" s="1">
        <f t="array" aca="1" ref="BY46:BY47" ca="1">IF(ISNUMBER($A44),MMULT(TRANSPOSE($P44:$Q45),BY44:BY45),0)</f>
        <v>0</v>
      </c>
      <c r="BZ46" s="1">
        <f t="array" aca="1" ref="BZ46:BZ47" ca="1">IF(ISNUMBER($A44),MMULT(TRANSPOSE($P44:$Q45),BZ44:BZ45),0)</f>
        <v>0</v>
      </c>
      <c r="CA46" s="1">
        <f t="array" aca="1" ref="CA46:CA47" ca="1">IF(ISNUMBER($A44),MMULT(TRANSPOSE($P44:$Q45),CA44:CA45),0)</f>
        <v>0</v>
      </c>
      <c r="CB46" s="1">
        <f t="array" aca="1" ref="CB46:CB47" ca="1">IF(ISNUMBER($A44),MMULT(TRANSPOSE($P44:$Q45),CB44:CB45),0)</f>
        <v>0</v>
      </c>
      <c r="CC46" s="1">
        <f t="array" aca="1" ref="CC46:CC47" ca="1">IF(ISNUMBER($A44),MMULT(TRANSPOSE($P44:$Q45),CC44:CC45),0)</f>
        <v>0</v>
      </c>
      <c r="CD46" s="1">
        <f t="array" aca="1" ref="CD46:CD47" ca="1">IF(ISNUMBER($A44),MMULT(TRANSPOSE($P44:$Q45),CD44:CD45),0)</f>
        <v>0</v>
      </c>
      <c r="CE46" s="1">
        <f t="array" aca="1" ref="CE46:CE47" ca="1">IF(ISNUMBER($A44),MMULT(TRANSPOSE($P44:$Q45),CE44:CE45),0)</f>
        <v>0</v>
      </c>
      <c r="CF46" s="1">
        <f t="array" aca="1" ref="CF46:CF47" ca="1">IF(ISNUMBER($A44),MMULT(TRANSPOSE($P44:$Q45),CF44:CF45),0)</f>
        <v>0</v>
      </c>
      <c r="CG46" s="1">
        <f t="array" aca="1" ref="CG46:CG47" ca="1">IF(ISNUMBER($A44),MMULT(TRANSPOSE($P44:$Q45),CG44:CG45),0)</f>
        <v>0</v>
      </c>
      <c r="CH46" s="8">
        <f t="array" aca="1" ref="CH46:CH47" ca="1">IF(ISNUMBER($A44),MMULT(TRANSPOSE($P44:$Q45),CH44:CH45),0)</f>
        <v>0</v>
      </c>
      <c r="CI46" s="345"/>
      <c r="CJ46" s="345"/>
      <c r="CK46" s="444">
        <f ca="1">MAX(MAX(BX46:CH47),ABS(MIN(BX46:CH47)))</f>
        <v>0</v>
      </c>
      <c r="CL46" s="12"/>
      <c r="CM46" s="291" t="s">
        <v>96</v>
      </c>
      <c r="CN46" s="7">
        <f t="array" aca="1" ref="CN46:CN47" ca="1">IF(ISNUMBER($A44),MMULT(TRANSPOSE($P44:$Q45),CN44:CN45),0)</f>
        <v>0</v>
      </c>
      <c r="CO46" s="1">
        <f t="array" aca="1" ref="CO46:CO47" ca="1">IF(ISNUMBER($A44),MMULT(TRANSPOSE($P44:$Q45),CO44:CO45),0)</f>
        <v>0</v>
      </c>
      <c r="CP46" s="1">
        <f t="array" aca="1" ref="CP46:CP47" ca="1">IF(ISNUMBER($A44),MMULT(TRANSPOSE($P44:$Q45),CP44:CP45),0)</f>
        <v>0</v>
      </c>
      <c r="CQ46" s="1">
        <f t="array" aca="1" ref="CQ46:CQ47" ca="1">IF(ISNUMBER($A44),MMULT(TRANSPOSE($P44:$Q45),CQ44:CQ45),0)</f>
        <v>0</v>
      </c>
      <c r="CR46" s="1">
        <f t="array" aca="1" ref="CR46:CR47" ca="1">IF(ISNUMBER($A44),MMULT(TRANSPOSE($P44:$Q45),CR44:CR45),0)</f>
        <v>0</v>
      </c>
      <c r="CS46" s="1">
        <f t="array" aca="1" ref="CS46:CS47" ca="1">IF(ISNUMBER($A44),MMULT(TRANSPOSE($P44:$Q45),CS44:CS45),0)</f>
        <v>0</v>
      </c>
      <c r="CT46" s="1">
        <f t="array" aca="1" ref="CT46:CT47" ca="1">IF(ISNUMBER($A44),MMULT(TRANSPOSE($P44:$Q45),CT44:CT45),0)</f>
        <v>0</v>
      </c>
      <c r="CU46" s="1">
        <f t="array" aca="1" ref="CU46:CU47" ca="1">IF(ISNUMBER($A44),MMULT(TRANSPOSE($P44:$Q45),CU44:CU45),0)</f>
        <v>0</v>
      </c>
      <c r="CV46" s="1">
        <f t="array" aca="1" ref="CV46:CV47" ca="1">IF(ISNUMBER($A44),MMULT(TRANSPOSE($P44:$Q45),CV44:CV45),0)</f>
        <v>0</v>
      </c>
      <c r="CW46" s="1">
        <f t="array" aca="1" ref="CW46:CW47" ca="1">IF(ISNUMBER($A44),MMULT(TRANSPOSE($P44:$Q45),CW44:CW45),0)</f>
        <v>0</v>
      </c>
      <c r="CX46" s="1">
        <f t="array" aca="1" ref="CX46:CX47" ca="1">IF(ISNUMBER($A44),MMULT(TRANSPOSE($P44:$Q45),CX44:CX45),0)</f>
        <v>0</v>
      </c>
      <c r="CY46" s="1"/>
      <c r="CZ46" s="1"/>
      <c r="DA46" s="26"/>
      <c r="DB46" s="309"/>
      <c r="DC46" s="310"/>
      <c r="DD46" s="345"/>
      <c r="DE46" s="12"/>
      <c r="DF46" s="291" t="s">
        <v>96</v>
      </c>
      <c r="DG46" s="7">
        <f t="array" aca="1" ref="DG46:DG47" ca="1">IF(ISNUMBER($A44),MMULT(TRANSPOSE($P44:$Q45),DG44:DG45),0)</f>
        <v>0</v>
      </c>
      <c r="DH46" s="1">
        <f t="array" aca="1" ref="DH46:DH47" ca="1">IF(ISNUMBER($A44),MMULT(TRANSPOSE($P44:$Q45),DH44:DH45),0)</f>
        <v>0</v>
      </c>
      <c r="DI46" s="1">
        <f t="array" aca="1" ref="DI46:DI47" ca="1">IF(ISNUMBER($A44),MMULT(TRANSPOSE($P44:$Q45),DI44:DI45),0)</f>
        <v>0</v>
      </c>
      <c r="DJ46" s="1">
        <f t="array" aca="1" ref="DJ46:DJ47" ca="1">IF(ISNUMBER($A44),MMULT(TRANSPOSE($P44:$Q45),DJ44:DJ45),0)</f>
        <v>0</v>
      </c>
      <c r="DK46" s="1">
        <f t="array" aca="1" ref="DK46:DK47" ca="1">IF(ISNUMBER($A44),MMULT(TRANSPOSE($P44:$Q45),DK44:DK45),0)</f>
        <v>0</v>
      </c>
      <c r="DL46" s="1">
        <f t="array" aca="1" ref="DL46:DL47" ca="1">IF(ISNUMBER($A44),MMULT(TRANSPOSE($P44:$Q45),DL44:DL45),0)</f>
        <v>0</v>
      </c>
      <c r="DM46" s="1">
        <f t="array" aca="1" ref="DM46:DM47" ca="1">IF(ISNUMBER($A44),MMULT(TRANSPOSE($P44:$Q45),DM44:DM45),0)</f>
        <v>0</v>
      </c>
      <c r="DN46" s="1">
        <f t="array" aca="1" ref="DN46:DN47" ca="1">IF(ISNUMBER($A44),MMULT(TRANSPOSE($P44:$Q45),DN44:DN45),0)</f>
        <v>0</v>
      </c>
      <c r="DO46" s="1">
        <f t="array" aca="1" ref="DO46:DO47" ca="1">IF(ISNUMBER($A44),MMULT(TRANSPOSE($P44:$Q45),DO44:DO45),0)</f>
        <v>0</v>
      </c>
      <c r="DP46" s="1">
        <f t="array" aca="1" ref="DP46:DP47" ca="1">IF(ISNUMBER($A44),MMULT(TRANSPOSE($P44:$Q45),DP44:DP45),0)</f>
        <v>0</v>
      </c>
      <c r="DQ46" s="1">
        <f t="array" aca="1" ref="DQ46:DQ47" ca="1">IF(ISNUMBER($A44),MMULT(TRANSPOSE($P44:$Q45),DQ44:DQ45),0)</f>
        <v>0</v>
      </c>
      <c r="DR46" s="1"/>
      <c r="DS46" s="1"/>
      <c r="DT46" s="8"/>
      <c r="DU46" s="12"/>
      <c r="DV46" s="310"/>
      <c r="DW46" s="345"/>
      <c r="DX46" s="12"/>
      <c r="DY46" s="291" t="s">
        <v>96</v>
      </c>
      <c r="DZ46" s="7">
        <f t="array" aca="1" ref="DZ46:DZ47" ca="1">IF(ISNUMBER($A44),MMULT(TRANSPOSE($P44:$Q45),DZ44:DZ45),0)</f>
        <v>0</v>
      </c>
      <c r="EA46" s="1">
        <f t="array" aca="1" ref="EA46:EA47" ca="1">IF(ISNUMBER($A44),MMULT(TRANSPOSE($P44:$Q45),EA44:EA45),0)</f>
        <v>0</v>
      </c>
      <c r="EB46" s="1">
        <f t="array" aca="1" ref="EB46:EB47" ca="1">IF(ISNUMBER($A44),MMULT(TRANSPOSE($P44:$Q45),EB44:EB45),0)</f>
        <v>0</v>
      </c>
      <c r="EC46" s="1">
        <f t="array" aca="1" ref="EC46:EC47" ca="1">IF(ISNUMBER($A44),MMULT(TRANSPOSE($P44:$Q45),EC44:EC45),0)</f>
        <v>0</v>
      </c>
      <c r="ED46" s="1">
        <f t="array" aca="1" ref="ED46:ED47" ca="1">IF(ISNUMBER($A44),MMULT(TRANSPOSE($P44:$Q45),ED44:ED45),0)</f>
        <v>0</v>
      </c>
      <c r="EE46" s="1">
        <f t="array" aca="1" ref="EE46:EE47" ca="1">IF(ISNUMBER($A44),MMULT(TRANSPOSE($P44:$Q45),EE44:EE45),0)</f>
        <v>0</v>
      </c>
      <c r="EF46" s="1">
        <f t="array" aca="1" ref="EF46:EF47" ca="1">IF(ISNUMBER($A44),MMULT(TRANSPOSE($P44:$Q45),EF44:EF45),0)</f>
        <v>0</v>
      </c>
      <c r="EG46" s="1">
        <f t="array" aca="1" ref="EG46:EG47" ca="1">IF(ISNUMBER($A44),MMULT(TRANSPOSE($P44:$Q45),EG44:EG45),0)</f>
        <v>0</v>
      </c>
      <c r="EH46" s="1">
        <f t="array" aca="1" ref="EH46:EH47" ca="1">IF(ISNUMBER($A44),MMULT(TRANSPOSE($P44:$Q45),EH44:EH45),0)</f>
        <v>0</v>
      </c>
      <c r="EI46" s="1">
        <f t="array" aca="1" ref="EI46:EI47" ca="1">IF(ISNUMBER($A44),MMULT(TRANSPOSE($P44:$Q45),EI44:EI45),0)</f>
        <v>0</v>
      </c>
      <c r="EJ46" s="1">
        <f t="array" aca="1" ref="EJ46:EJ47" ca="1">IF(ISNUMBER($A44),MMULT(TRANSPOSE($P44:$Q45),EJ44:EJ45),0)</f>
        <v>0</v>
      </c>
      <c r="EK46" s="1"/>
      <c r="EL46" s="1"/>
      <c r="EM46" s="8"/>
      <c r="EN46" s="309"/>
      <c r="EO46" s="310"/>
      <c r="EP46" s="345"/>
    </row>
    <row r="47" spans="1:146" x14ac:dyDescent="0.2">
      <c r="E47" s="12"/>
      <c r="F47" s="12"/>
      <c r="J47" s="4">
        <f ca="1">-J44</f>
        <v>0</v>
      </c>
      <c r="K47" s="5">
        <v>0</v>
      </c>
      <c r="L47" s="6">
        <v>0</v>
      </c>
      <c r="M47" s="179">
        <f ca="1">J44</f>
        <v>0</v>
      </c>
      <c r="N47" s="5">
        <v>0</v>
      </c>
      <c r="O47" s="6">
        <v>0</v>
      </c>
      <c r="P47" s="184">
        <v>0</v>
      </c>
      <c r="Q47" s="101">
        <v>0</v>
      </c>
      <c r="R47" s="101">
        <v>0</v>
      </c>
      <c r="S47" s="99">
        <f ca="1">I44</f>
        <v>0</v>
      </c>
      <c r="T47" s="99">
        <f ca="1">-H44</f>
        <v>0</v>
      </c>
      <c r="U47" s="100">
        <v>0</v>
      </c>
      <c r="V47" s="4">
        <f ca="1"/>
        <v>0</v>
      </c>
      <c r="W47" s="5">
        <f ca="1"/>
        <v>0</v>
      </c>
      <c r="X47" s="6">
        <f ca="1"/>
        <v>0</v>
      </c>
      <c r="Y47" s="179">
        <f ca="1"/>
        <v>0</v>
      </c>
      <c r="Z47" s="5">
        <f ca="1"/>
        <v>0</v>
      </c>
      <c r="AA47" s="6">
        <f ca="1"/>
        <v>0</v>
      </c>
      <c r="AB47" s="61">
        <f ca="1">IF(ISNUMBER($A44),INDIRECT("System!" &amp; ADDRESS(A44+1,COLUMN(System!V43))),0)</f>
        <v>0</v>
      </c>
      <c r="AC47" s="301">
        <f ca="1">IF(ISNUMBER(E44),E44*D44/2,0)</f>
        <v>0</v>
      </c>
      <c r="AD47" s="61">
        <f ca="1"/>
        <v>0</v>
      </c>
      <c r="AE47" s="7">
        <f t="shared" ref="AE47:BR47" ca="1" si="88">IF(ABS($E46)=AE$1,SIGN($E46),0)</f>
        <v>0</v>
      </c>
      <c r="AF47" s="1">
        <f t="shared" ca="1" si="88"/>
        <v>0</v>
      </c>
      <c r="AG47" s="1">
        <f t="shared" ca="1" si="88"/>
        <v>0</v>
      </c>
      <c r="AH47" s="1">
        <f t="shared" ca="1" si="88"/>
        <v>0</v>
      </c>
      <c r="AI47" s="1">
        <f t="shared" ca="1" si="88"/>
        <v>0</v>
      </c>
      <c r="AJ47" s="26">
        <f t="shared" ca="1" si="88"/>
        <v>0</v>
      </c>
      <c r="AK47" s="26">
        <f t="shared" ca="1" si="88"/>
        <v>0</v>
      </c>
      <c r="AL47" s="26">
        <f t="shared" ca="1" si="88"/>
        <v>0</v>
      </c>
      <c r="AM47" s="26">
        <f t="shared" ca="1" si="88"/>
        <v>0</v>
      </c>
      <c r="AN47" s="26">
        <f t="shared" ca="1" si="88"/>
        <v>0</v>
      </c>
      <c r="AO47" s="26">
        <f t="shared" ca="1" si="88"/>
        <v>0</v>
      </c>
      <c r="AP47" s="26">
        <f t="shared" ca="1" si="88"/>
        <v>0</v>
      </c>
      <c r="AQ47" s="26">
        <f t="shared" ca="1" si="88"/>
        <v>0</v>
      </c>
      <c r="AR47" s="26">
        <f t="shared" ca="1" si="88"/>
        <v>0</v>
      </c>
      <c r="AS47" s="26">
        <f t="shared" ca="1" si="88"/>
        <v>0</v>
      </c>
      <c r="AT47" s="26">
        <f t="shared" ca="1" si="88"/>
        <v>0</v>
      </c>
      <c r="AU47" s="26">
        <f t="shared" ca="1" si="88"/>
        <v>0</v>
      </c>
      <c r="AV47" s="26">
        <f t="shared" ca="1" si="88"/>
        <v>0</v>
      </c>
      <c r="AW47" s="26">
        <f t="shared" ca="1" si="88"/>
        <v>0</v>
      </c>
      <c r="AX47" s="26">
        <f t="shared" ca="1" si="88"/>
        <v>0</v>
      </c>
      <c r="AY47" s="26">
        <f t="shared" ca="1" si="88"/>
        <v>0</v>
      </c>
      <c r="AZ47" s="26">
        <f t="shared" ca="1" si="88"/>
        <v>0</v>
      </c>
      <c r="BA47" s="26">
        <f t="shared" ca="1" si="88"/>
        <v>0</v>
      </c>
      <c r="BB47" s="26">
        <f t="shared" ca="1" si="88"/>
        <v>0</v>
      </c>
      <c r="BC47" s="26">
        <f t="shared" ca="1" si="88"/>
        <v>0</v>
      </c>
      <c r="BD47" s="26">
        <f t="shared" ca="1" si="88"/>
        <v>0</v>
      </c>
      <c r="BE47" s="26">
        <f t="shared" ca="1" si="88"/>
        <v>0</v>
      </c>
      <c r="BF47" s="26">
        <f t="shared" ca="1" si="88"/>
        <v>0</v>
      </c>
      <c r="BG47" s="26">
        <f t="shared" ca="1" si="88"/>
        <v>0</v>
      </c>
      <c r="BH47" s="26">
        <f t="shared" ca="1" si="88"/>
        <v>0</v>
      </c>
      <c r="BI47" s="26">
        <f t="shared" ca="1" si="88"/>
        <v>0</v>
      </c>
      <c r="BJ47" s="26">
        <f t="shared" ca="1" si="88"/>
        <v>0</v>
      </c>
      <c r="BK47" s="26">
        <f t="shared" ca="1" si="88"/>
        <v>0</v>
      </c>
      <c r="BL47" s="26">
        <f t="shared" ca="1" si="88"/>
        <v>0</v>
      </c>
      <c r="BM47" s="26">
        <f t="shared" ca="1" si="88"/>
        <v>0</v>
      </c>
      <c r="BN47" s="26">
        <f t="shared" ca="1" si="88"/>
        <v>0</v>
      </c>
      <c r="BO47" s="26">
        <f t="shared" ca="1" si="88"/>
        <v>0</v>
      </c>
      <c r="BP47" s="26">
        <f t="shared" ca="1" si="88"/>
        <v>0</v>
      </c>
      <c r="BQ47" s="26">
        <f t="shared" ca="1" si="88"/>
        <v>0</v>
      </c>
      <c r="BR47" s="26">
        <f t="shared" ca="1" si="88"/>
        <v>0</v>
      </c>
      <c r="BS47" s="282">
        <f ca="1">IF(ISNUMBER($A44),IF(INDEX(B46:G46,4)&lt;&gt;0,SIGN(INDEX(B46:G46,4))*INDIRECT(ADDRESS(1+ABS(INDEX(B46:G46,4)),COLUMN(Ksys!$B$1),1,TRUE,"Ksys")),0)+AB47,0)</f>
        <v>0</v>
      </c>
      <c r="BT47" s="61">
        <f ca="1"/>
        <v>0</v>
      </c>
      <c r="BU47" s="61">
        <f ca="1"/>
        <v>0</v>
      </c>
      <c r="BV47" s="61">
        <f t="array" aca="1" ref="BV47:BV49" ca="1">MMULT(J47:O49,BT44:BT49)-AC47:AC49</f>
        <v>0</v>
      </c>
      <c r="BW47" s="288" t="s">
        <v>101</v>
      </c>
      <c r="BX47" s="7">
        <f ca="1"/>
        <v>0</v>
      </c>
      <c r="BY47" s="1">
        <f ca="1"/>
        <v>0</v>
      </c>
      <c r="BZ47" s="1">
        <f ca="1"/>
        <v>0</v>
      </c>
      <c r="CA47" s="1">
        <f ca="1"/>
        <v>0</v>
      </c>
      <c r="CB47" s="1">
        <f ca="1"/>
        <v>0</v>
      </c>
      <c r="CC47" s="1">
        <f ca="1"/>
        <v>0</v>
      </c>
      <c r="CD47" s="1">
        <f ca="1"/>
        <v>0</v>
      </c>
      <c r="CE47" s="1">
        <f ca="1"/>
        <v>0</v>
      </c>
      <c r="CF47" s="1">
        <f ca="1"/>
        <v>0</v>
      </c>
      <c r="CG47" s="1">
        <f ca="1"/>
        <v>0</v>
      </c>
      <c r="CH47" s="8">
        <f ca="1"/>
        <v>0</v>
      </c>
      <c r="CI47" s="344" t="s">
        <v>1</v>
      </c>
      <c r="CJ47" s="344" t="s">
        <v>111</v>
      </c>
      <c r="CK47" s="310"/>
      <c r="CL47" s="12"/>
      <c r="CM47" s="292" t="s">
        <v>101</v>
      </c>
      <c r="CN47" s="7">
        <f ca="1"/>
        <v>0</v>
      </c>
      <c r="CO47" s="1">
        <f ca="1"/>
        <v>0</v>
      </c>
      <c r="CP47" s="1">
        <f ca="1"/>
        <v>0</v>
      </c>
      <c r="CQ47" s="1">
        <f ca="1"/>
        <v>0</v>
      </c>
      <c r="CR47" s="1">
        <f ca="1"/>
        <v>0</v>
      </c>
      <c r="CS47" s="1">
        <f ca="1"/>
        <v>0</v>
      </c>
      <c r="CT47" s="1">
        <f ca="1"/>
        <v>0</v>
      </c>
      <c r="CU47" s="1">
        <f ca="1"/>
        <v>0</v>
      </c>
      <c r="CV47" s="1">
        <f ca="1"/>
        <v>0</v>
      </c>
      <c r="CW47" s="1">
        <f ca="1"/>
        <v>0</v>
      </c>
      <c r="CX47" s="1">
        <f ca="1"/>
        <v>0</v>
      </c>
      <c r="CY47" s="1"/>
      <c r="CZ47" s="1"/>
      <c r="DA47" s="26"/>
      <c r="DB47" s="311" t="s">
        <v>1</v>
      </c>
      <c r="DC47" s="312" t="s">
        <v>111</v>
      </c>
      <c r="DD47" s="61">
        <f ca="1">MAX(MAX(CN46:CX47),ABS(MIN(CN46:CX47)))</f>
        <v>0</v>
      </c>
      <c r="DE47" s="12"/>
      <c r="DF47" s="292" t="s">
        <v>101</v>
      </c>
      <c r="DG47" s="7">
        <f ca="1"/>
        <v>0</v>
      </c>
      <c r="DH47" s="1">
        <f ca="1"/>
        <v>0</v>
      </c>
      <c r="DI47" s="1">
        <f ca="1"/>
        <v>0</v>
      </c>
      <c r="DJ47" s="1">
        <f ca="1"/>
        <v>0</v>
      </c>
      <c r="DK47" s="1">
        <f ca="1"/>
        <v>0</v>
      </c>
      <c r="DL47" s="1">
        <f ca="1"/>
        <v>0</v>
      </c>
      <c r="DM47" s="1">
        <f ca="1"/>
        <v>0</v>
      </c>
      <c r="DN47" s="1">
        <f ca="1"/>
        <v>0</v>
      </c>
      <c r="DO47" s="1">
        <f ca="1"/>
        <v>0</v>
      </c>
      <c r="DP47" s="1">
        <f ca="1"/>
        <v>0</v>
      </c>
      <c r="DQ47" s="1">
        <f ca="1"/>
        <v>0</v>
      </c>
      <c r="DR47" s="1"/>
      <c r="DS47" s="1"/>
      <c r="DT47" s="8"/>
      <c r="DU47" s="314" t="s">
        <v>1</v>
      </c>
      <c r="DV47" s="312" t="s">
        <v>111</v>
      </c>
      <c r="DW47" s="349">
        <f ca="1">MAX(MAX(DG46:DQ47),ABS(MIN(DG46:DQ47)))</f>
        <v>0</v>
      </c>
      <c r="DX47" s="12"/>
      <c r="DY47" s="292" t="s">
        <v>101</v>
      </c>
      <c r="DZ47" s="7">
        <f ca="1"/>
        <v>0</v>
      </c>
      <c r="EA47" s="1">
        <f ca="1"/>
        <v>0</v>
      </c>
      <c r="EB47" s="1">
        <f ca="1"/>
        <v>0</v>
      </c>
      <c r="EC47" s="1">
        <f ca="1"/>
        <v>0</v>
      </c>
      <c r="ED47" s="1">
        <f ca="1"/>
        <v>0</v>
      </c>
      <c r="EE47" s="1">
        <f ca="1"/>
        <v>0</v>
      </c>
      <c r="EF47" s="1">
        <f ca="1"/>
        <v>0</v>
      </c>
      <c r="EG47" s="1">
        <f ca="1"/>
        <v>0</v>
      </c>
      <c r="EH47" s="1">
        <f ca="1"/>
        <v>0</v>
      </c>
      <c r="EI47" s="1">
        <f ca="1"/>
        <v>0</v>
      </c>
      <c r="EJ47" s="1">
        <f ca="1"/>
        <v>0</v>
      </c>
      <c r="EK47" s="1"/>
      <c r="EL47" s="1"/>
      <c r="EM47" s="8"/>
      <c r="EN47" s="311" t="s">
        <v>1</v>
      </c>
      <c r="EO47" s="312" t="s">
        <v>111</v>
      </c>
      <c r="EP47" s="61">
        <f ca="1">MAX(MAX(DZ46:EJ47),ABS(MIN(DZ46:EJ47)))</f>
        <v>0</v>
      </c>
    </row>
    <row r="48" spans="1:146" x14ac:dyDescent="0.2">
      <c r="E48" s="1" t="str">
        <f ca="1">IF(ISNUMBER(A44),"" &amp; ADDRESS(ROW(A44),COLUMN($AD$1)) &amp; ":" &amp; ADDRESS(ROW(A49),COLUMN($AD$1)) &amp; "","")</f>
        <v/>
      </c>
      <c r="F48" s="1" t="str">
        <f ca="1">IF(ISNUMBER(A44),"" &amp; ADDRESS(ROW(A44),COLUMN($V$1)) &amp; ":" &amp; ADDRESS(ROW(A49),COLUMN($AA$1)) &amp; "","")</f>
        <v/>
      </c>
      <c r="G48" s="1" t="str">
        <f ca="1">IF(ISNUMBER(A44),"" &amp; ADDRESS(ROW(A44),COLUMN($AE$1)) &amp; ":" &amp; ADDRESS(ROW(A49),COLUMN($AD$1)+$C$6) &amp; "","")</f>
        <v/>
      </c>
      <c r="J48" s="7">
        <v>0</v>
      </c>
      <c r="K48" s="1">
        <f ca="1">-K45</f>
        <v>0</v>
      </c>
      <c r="L48" s="8">
        <f ca="1">IF(G44=1,6*B44/D44^2,IF(G44="2a",0,IF(G44="2b",3*B44/D44^2,0)))</f>
        <v>0</v>
      </c>
      <c r="M48" s="7">
        <v>0</v>
      </c>
      <c r="N48" s="180">
        <f ca="1">K45</f>
        <v>0</v>
      </c>
      <c r="O48" s="8">
        <f ca="1">N49</f>
        <v>0</v>
      </c>
      <c r="P48" s="184">
        <v>0</v>
      </c>
      <c r="Q48" s="101">
        <v>0</v>
      </c>
      <c r="R48" s="101">
        <v>0</v>
      </c>
      <c r="S48" s="99">
        <f ca="1">H44</f>
        <v>0</v>
      </c>
      <c r="T48" s="99">
        <f ca="1">I44</f>
        <v>0</v>
      </c>
      <c r="U48" s="100">
        <v>0</v>
      </c>
      <c r="V48" s="7">
        <f ca="1"/>
        <v>0</v>
      </c>
      <c r="W48" s="1">
        <f ca="1"/>
        <v>0</v>
      </c>
      <c r="X48" s="8">
        <f ca="1"/>
        <v>0</v>
      </c>
      <c r="Y48" s="7">
        <f ca="1"/>
        <v>0</v>
      </c>
      <c r="Z48" s="180">
        <f ca="1"/>
        <v>0</v>
      </c>
      <c r="AA48" s="8">
        <f ca="1"/>
        <v>0</v>
      </c>
      <c r="AB48" s="61">
        <f ca="1">IF(ISNUMBER($A44),INDIRECT("System!" &amp; ADDRESS(A44+1,COLUMN(System!W43))),0)</f>
        <v>0</v>
      </c>
      <c r="AC48" s="301">
        <f ca="1">IF(G44=1,F44*D44/2,IF(G44="2a",F44*5/8*D44,IF(G44="2b",F44*3/8*D44,0)))</f>
        <v>0</v>
      </c>
      <c r="AD48" s="61">
        <f ca="1"/>
        <v>0</v>
      </c>
      <c r="AE48" s="7">
        <f t="shared" ref="AE48:BR48" ca="1" si="89">IF(ABS($F46)=AE$1,SIGN($F46),0)</f>
        <v>0</v>
      </c>
      <c r="AF48" s="1">
        <f t="shared" ca="1" si="89"/>
        <v>0</v>
      </c>
      <c r="AG48" s="1">
        <f t="shared" ca="1" si="89"/>
        <v>0</v>
      </c>
      <c r="AH48" s="1">
        <f t="shared" ca="1" si="89"/>
        <v>0</v>
      </c>
      <c r="AI48" s="1">
        <f t="shared" ca="1" si="89"/>
        <v>0</v>
      </c>
      <c r="AJ48" s="26">
        <f t="shared" ca="1" si="89"/>
        <v>0</v>
      </c>
      <c r="AK48" s="26">
        <f t="shared" ca="1" si="89"/>
        <v>0</v>
      </c>
      <c r="AL48" s="26">
        <f t="shared" ca="1" si="89"/>
        <v>0</v>
      </c>
      <c r="AM48" s="26">
        <f t="shared" ca="1" si="89"/>
        <v>0</v>
      </c>
      <c r="AN48" s="26">
        <f t="shared" ca="1" si="89"/>
        <v>0</v>
      </c>
      <c r="AO48" s="26">
        <f t="shared" ca="1" si="89"/>
        <v>0</v>
      </c>
      <c r="AP48" s="26">
        <f t="shared" ca="1" si="89"/>
        <v>0</v>
      </c>
      <c r="AQ48" s="26">
        <f t="shared" ca="1" si="89"/>
        <v>0</v>
      </c>
      <c r="AR48" s="26">
        <f t="shared" ca="1" si="89"/>
        <v>0</v>
      </c>
      <c r="AS48" s="26">
        <f t="shared" ca="1" si="89"/>
        <v>0</v>
      </c>
      <c r="AT48" s="26">
        <f t="shared" ca="1" si="89"/>
        <v>0</v>
      </c>
      <c r="AU48" s="26">
        <f t="shared" ca="1" si="89"/>
        <v>0</v>
      </c>
      <c r="AV48" s="26">
        <f t="shared" ca="1" si="89"/>
        <v>0</v>
      </c>
      <c r="AW48" s="26">
        <f t="shared" ca="1" si="89"/>
        <v>0</v>
      </c>
      <c r="AX48" s="26">
        <f t="shared" ca="1" si="89"/>
        <v>0</v>
      </c>
      <c r="AY48" s="26">
        <f t="shared" ca="1" si="89"/>
        <v>0</v>
      </c>
      <c r="AZ48" s="26">
        <f t="shared" ca="1" si="89"/>
        <v>0</v>
      </c>
      <c r="BA48" s="26">
        <f t="shared" ca="1" si="89"/>
        <v>0</v>
      </c>
      <c r="BB48" s="26">
        <f t="shared" ca="1" si="89"/>
        <v>0</v>
      </c>
      <c r="BC48" s="26">
        <f t="shared" ca="1" si="89"/>
        <v>0</v>
      </c>
      <c r="BD48" s="26">
        <f t="shared" ca="1" si="89"/>
        <v>0</v>
      </c>
      <c r="BE48" s="26">
        <f t="shared" ca="1" si="89"/>
        <v>0</v>
      </c>
      <c r="BF48" s="26">
        <f t="shared" ca="1" si="89"/>
        <v>0</v>
      </c>
      <c r="BG48" s="26">
        <f t="shared" ca="1" si="89"/>
        <v>0</v>
      </c>
      <c r="BH48" s="26">
        <f t="shared" ca="1" si="89"/>
        <v>0</v>
      </c>
      <c r="BI48" s="26">
        <f t="shared" ca="1" si="89"/>
        <v>0</v>
      </c>
      <c r="BJ48" s="26">
        <f t="shared" ca="1" si="89"/>
        <v>0</v>
      </c>
      <c r="BK48" s="26">
        <f t="shared" ca="1" si="89"/>
        <v>0</v>
      </c>
      <c r="BL48" s="26">
        <f t="shared" ca="1" si="89"/>
        <v>0</v>
      </c>
      <c r="BM48" s="26">
        <f t="shared" ca="1" si="89"/>
        <v>0</v>
      </c>
      <c r="BN48" s="26">
        <f t="shared" ca="1" si="89"/>
        <v>0</v>
      </c>
      <c r="BO48" s="26">
        <f t="shared" ca="1" si="89"/>
        <v>0</v>
      </c>
      <c r="BP48" s="26">
        <f t="shared" ca="1" si="89"/>
        <v>0</v>
      </c>
      <c r="BQ48" s="26">
        <f t="shared" ca="1" si="89"/>
        <v>0</v>
      </c>
      <c r="BR48" s="26">
        <f t="shared" ca="1" si="89"/>
        <v>0</v>
      </c>
      <c r="BS48" s="282">
        <f ca="1">IF(ISNUMBER($A44),IF(INDEX(B46:G46,5)&lt;&gt;0,SIGN(INDEX(B46:G46,5))*INDIRECT(ADDRESS(1+ABS(INDEX(B46:G46,5)),COLUMN(Ksys!$B$1),1,TRUE,"Ksys")),0)+AB48,0)</f>
        <v>0</v>
      </c>
      <c r="BT48" s="61">
        <f ca="1"/>
        <v>0</v>
      </c>
      <c r="BU48" s="61">
        <f ca="1"/>
        <v>0</v>
      </c>
      <c r="BV48" s="61">
        <f ca="1"/>
        <v>0</v>
      </c>
      <c r="BW48" s="296" t="s">
        <v>102</v>
      </c>
      <c r="BX48" s="216">
        <f ca="1">IF(ISNUMBER($A44),$B45*(1-BX$1) + $C45*BX$1 + Knoten!$S$5*BX46,KnotenData!$H$2)</f>
        <v>0.5</v>
      </c>
      <c r="BY48" s="206">
        <f ca="1">IF(ISNUMBER($A44),$B45*(1-BY$1) + $C45*BY$1 + Knoten!$S$5*BY46,KnotenData!$H$2)</f>
        <v>0.5</v>
      </c>
      <c r="BZ48" s="206">
        <f ca="1">IF(ISNUMBER($A44),$B45*(1-BZ$1) + $C45*BZ$1 + Knoten!$S$5*BZ46,KnotenData!$H$2)</f>
        <v>0.5</v>
      </c>
      <c r="CA48" s="206">
        <f ca="1">IF(ISNUMBER($A44),$B45*(1-CA$1) + $C45*CA$1 + Knoten!$S$5*CA46,KnotenData!$H$2)</f>
        <v>0.5</v>
      </c>
      <c r="CB48" s="206">
        <f ca="1">IF(ISNUMBER($A44),$B45*(1-CB$1) + $C45*CB$1 + Knoten!$S$5*CB46,KnotenData!$H$2)</f>
        <v>0.5</v>
      </c>
      <c r="CC48" s="206">
        <f ca="1">IF(ISNUMBER($A44),$B45*(1-CC$1) + $C45*CC$1 + Knoten!$S$5*CC46,KnotenData!$H$2)</f>
        <v>0.5</v>
      </c>
      <c r="CD48" s="206">
        <f ca="1">IF(ISNUMBER($A44),$B45*(1-CD$1) + $C45*CD$1 + Knoten!$S$5*CD46,KnotenData!$H$2)</f>
        <v>0.5</v>
      </c>
      <c r="CE48" s="206">
        <f ca="1">IF(ISNUMBER($A44),$B45*(1-CE$1) + $C45*CE$1 + Knoten!$S$5*CE46,KnotenData!$H$2)</f>
        <v>0.5</v>
      </c>
      <c r="CF48" s="206">
        <f ca="1">IF(ISNUMBER($A44),$B45*(1-CF$1) + $C45*CF$1 + Knoten!$S$5*CF46,KnotenData!$H$2)</f>
        <v>0.5</v>
      </c>
      <c r="CG48" s="206">
        <f ca="1">IF(ISNUMBER($A44),$B45*(1-CG$1) + $C45*CG$1 + Knoten!$S$5*CG46,KnotenData!$H$2)</f>
        <v>0.5</v>
      </c>
      <c r="CH48" s="217">
        <f ca="1">IF(ISNUMBER($A44),$B45*(1-CH$1) + $C45*CH$1 + Knoten!$S$5*CH46,KnotenData!$H$2)</f>
        <v>0.5</v>
      </c>
      <c r="CI48" s="447">
        <f ca="1">MIN(BX48:CH48)</f>
        <v>0.5</v>
      </c>
      <c r="CJ48" s="447">
        <f ca="1">MIN(BX49:CH49)</f>
        <v>0.47499999999999998</v>
      </c>
      <c r="CK48" s="445"/>
      <c r="CL48" s="12"/>
      <c r="CM48" s="293" t="s">
        <v>102</v>
      </c>
      <c r="CN48" s="216">
        <f ca="1">IF(ISNUMBER($A44),$B45*(1-CN$1) + $C45*CN$1 + Momente!$D$6*CN46,KnotenData!$H$2)</f>
        <v>0.5</v>
      </c>
      <c r="CO48" s="206">
        <f ca="1">IF(ISNUMBER($A44),$B45*(1-CO$1) + $C45*CO$1 + Momente!$D$6*CO46,KnotenData!$H$2)</f>
        <v>0.5</v>
      </c>
      <c r="CP48" s="206">
        <f ca="1">IF(ISNUMBER($A44),$B45*(1-CP$1) + $C45*CP$1 + Momente!$D$6*CP46,KnotenData!$H$2)</f>
        <v>0.5</v>
      </c>
      <c r="CQ48" s="206">
        <f ca="1">IF(ISNUMBER($A44),$B45*(1-CQ$1) + $C45*CQ$1 + Momente!$D$6*CQ46,KnotenData!$H$2)</f>
        <v>0.5</v>
      </c>
      <c r="CR48" s="206">
        <f ca="1">IF(ISNUMBER($A44),$B45*(1-CR$1) + $C45*CR$1 + Momente!$D$6*CR46,KnotenData!$H$2)</f>
        <v>0.5</v>
      </c>
      <c r="CS48" s="206">
        <f ca="1">IF(ISNUMBER($A44),$B45*(1-CS$1) + $C45*CS$1 + Momente!$D$6*CS46,KnotenData!$H$2)</f>
        <v>0.5</v>
      </c>
      <c r="CT48" s="206">
        <f ca="1">IF(ISNUMBER($A44),$B45*(1-CT$1) + $C45*CT$1 + Momente!$D$6*CT46,KnotenData!$H$2)</f>
        <v>0.5</v>
      </c>
      <c r="CU48" s="206">
        <f ca="1">IF(ISNUMBER($A44),$B45*(1-CU$1) + $C45*CU$1 + Momente!$D$6*CU46,KnotenData!$H$2)</f>
        <v>0.5</v>
      </c>
      <c r="CV48" s="206">
        <f ca="1">IF(ISNUMBER($A44),$B45*(1-CV$1) + $C45*CV$1 + Momente!$D$6*CV46,KnotenData!$H$2)</f>
        <v>0.5</v>
      </c>
      <c r="CW48" s="206">
        <f ca="1">IF(ISNUMBER($A44),$B45*(1-CW$1) + $C45*CW$1 + Momente!$D$6*CW46,KnotenData!$H$2)</f>
        <v>0.5</v>
      </c>
      <c r="CX48" s="206">
        <f ca="1">IF(ISNUMBER($A44),$B45*(1-CX$1) + $C45*CX$1 + Momente!$D$6*CX46,KnotenData!$H$2)</f>
        <v>0.5</v>
      </c>
      <c r="CY48" s="206">
        <f ca="1">IF(ISNUMBER($A44),$C45,KnotenData!$H$2)</f>
        <v>0.5</v>
      </c>
      <c r="CZ48" s="206">
        <f ca="1">IF(ISNUMBER($A44),$B45,KnotenData!$H$2)</f>
        <v>0.5</v>
      </c>
      <c r="DA48" s="305">
        <f ca="1">IF(ISNUMBER($A44),CN48,KnotenData!$H$2)</f>
        <v>0.5</v>
      </c>
      <c r="DB48" s="7">
        <f ca="1">MIN(CN48:DA48)</f>
        <v>0.5</v>
      </c>
      <c r="DC48" s="8">
        <f ca="1">MIN(CN49:DA49)</f>
        <v>0.47499999999999998</v>
      </c>
      <c r="DD48" s="345"/>
      <c r="DE48" s="12"/>
      <c r="DF48" s="293" t="s">
        <v>102</v>
      </c>
      <c r="DG48" s="216">
        <f ca="1">IF(ISNUMBER($A44),$B45*(1-DG$1) + $C45*DG$1 + Querkräfte!$D$6*DG46,KnotenData!$H$2)</f>
        <v>0.5</v>
      </c>
      <c r="DH48" s="206">
        <f ca="1">IF(ISNUMBER($A44),$B45*(1-DH$1) + $C45*DH$1 + Querkräfte!$D$6*DH46,KnotenData!$H$2)</f>
        <v>0.5</v>
      </c>
      <c r="DI48" s="206">
        <f ca="1">IF(ISNUMBER($A44),$B45*(1-DI$1) + $C45*DI$1 + Querkräfte!$D$6*DI46,KnotenData!$H$2)</f>
        <v>0.5</v>
      </c>
      <c r="DJ48" s="206">
        <f ca="1">IF(ISNUMBER($A44),$B45*(1-DJ$1) + $C45*DJ$1 + Querkräfte!$D$6*DJ46,KnotenData!$H$2)</f>
        <v>0.5</v>
      </c>
      <c r="DK48" s="206">
        <f ca="1">IF(ISNUMBER($A44),$B45*(1-DK$1) + $C45*DK$1 + Querkräfte!$D$6*DK46,KnotenData!$H$2)</f>
        <v>0.5</v>
      </c>
      <c r="DL48" s="206">
        <f ca="1">IF(ISNUMBER($A44),$B45*(1-DL$1) + $C45*DL$1 + Querkräfte!$D$6*DL46,KnotenData!$H$2)</f>
        <v>0.5</v>
      </c>
      <c r="DM48" s="206">
        <f ca="1">IF(ISNUMBER($A44),$B45*(1-DM$1) + $C45*DM$1 + Querkräfte!$D$6*DM46,KnotenData!$H$2)</f>
        <v>0.5</v>
      </c>
      <c r="DN48" s="206">
        <f ca="1">IF(ISNUMBER($A44),$B45*(1-DN$1) + $C45*DN$1 + Querkräfte!$D$6*DN46,KnotenData!$H$2)</f>
        <v>0.5</v>
      </c>
      <c r="DO48" s="206">
        <f ca="1">IF(ISNUMBER($A44),$B45*(1-DO$1) + $C45*DO$1 + Querkräfte!$D$6*DO46,KnotenData!$H$2)</f>
        <v>0.5</v>
      </c>
      <c r="DP48" s="206">
        <f ca="1">IF(ISNUMBER($A44),$B45*(1-DP$1) + $C45*DP$1 + Querkräfte!$D$6*DP46,KnotenData!$H$2)</f>
        <v>0.5</v>
      </c>
      <c r="DQ48" s="206">
        <f ca="1">IF(ISNUMBER($A44),$B45*(1-DQ$1) + $C45*DQ$1 + Querkräfte!$D$6*DQ46,KnotenData!$H$2)</f>
        <v>0.5</v>
      </c>
      <c r="DR48" s="206">
        <f ca="1">IF(ISNUMBER($A44),$C45,KnotenData!$H$2)</f>
        <v>0.5</v>
      </c>
      <c r="DS48" s="206">
        <f ca="1">IF(ISNUMBER($A44),$B45,KnotenData!$H$2)</f>
        <v>0.5</v>
      </c>
      <c r="DT48" s="217">
        <f ca="1">IF(ISNUMBER($A44),DG48,KnotenData!$H$2)</f>
        <v>0.5</v>
      </c>
      <c r="DU48" s="145">
        <f ca="1">MIN(DG48:DQ48)</f>
        <v>0.5</v>
      </c>
      <c r="DV48" s="8">
        <f ca="1">MIN(DG49:DQ49)</f>
        <v>0.47499999999999998</v>
      </c>
      <c r="DW48" s="345"/>
      <c r="DX48" s="12"/>
      <c r="DY48" s="293" t="s">
        <v>102</v>
      </c>
      <c r="DZ48" s="216">
        <f ca="1">IF(ISNUMBER($A44),$B45*(1-DZ$1) + $C45*DZ$1 + Normalkräfte!$D$6*DZ46,KnotenData!$H$2)</f>
        <v>0.5</v>
      </c>
      <c r="EA48" s="206">
        <f ca="1">IF(ISNUMBER($A44),$B45*(1-EA$1) + $C45*EA$1 + Normalkräfte!$D$6*EA46,KnotenData!$H$2)</f>
        <v>0.5</v>
      </c>
      <c r="EB48" s="206">
        <f ca="1">IF(ISNUMBER($A44),$B45*(1-EB$1) + $C45*EB$1 + Normalkräfte!$D$6*EB46,KnotenData!$H$2)</f>
        <v>0.5</v>
      </c>
      <c r="EC48" s="206">
        <f ca="1">IF(ISNUMBER($A44),$B45*(1-EC$1) + $C45*EC$1 + Normalkräfte!$D$6*EC46,KnotenData!$H$2)</f>
        <v>0.5</v>
      </c>
      <c r="ED48" s="206">
        <f ca="1">IF(ISNUMBER($A44),$B45*(1-ED$1) + $C45*ED$1 + Normalkräfte!$D$6*ED46,KnotenData!$H$2)</f>
        <v>0.5</v>
      </c>
      <c r="EE48" s="206">
        <f ca="1">IF(ISNUMBER($A44),$B45*(1-EE$1) + $C45*EE$1 + Normalkräfte!$D$6*EE46,KnotenData!$H$2)</f>
        <v>0.5</v>
      </c>
      <c r="EF48" s="206">
        <f ca="1">IF(ISNUMBER($A44),$B45*(1-EF$1) + $C45*EF$1 + Normalkräfte!$D$6*EF46,KnotenData!$H$2)</f>
        <v>0.5</v>
      </c>
      <c r="EG48" s="206">
        <f ca="1">IF(ISNUMBER($A44),$B45*(1-EG$1) + $C45*EG$1 + Normalkräfte!$D$6*EG46,KnotenData!$H$2)</f>
        <v>0.5</v>
      </c>
      <c r="EH48" s="206">
        <f ca="1">IF(ISNUMBER($A44),$B45*(1-EH$1) + $C45*EH$1 + Normalkräfte!$D$6*EH46,KnotenData!$H$2)</f>
        <v>0.5</v>
      </c>
      <c r="EI48" s="206">
        <f ca="1">IF(ISNUMBER($A44),$B45*(1-EI$1) + $C45*EI$1 + Normalkräfte!$D$6*EI46,KnotenData!$H$2)</f>
        <v>0.5</v>
      </c>
      <c r="EJ48" s="206">
        <f ca="1">IF(ISNUMBER($A44),$B45*(1-EJ$1) + $C45*EJ$1 + Normalkräfte!$D$6*EJ46,KnotenData!$H$2)</f>
        <v>0.5</v>
      </c>
      <c r="EK48" s="256">
        <f ca="1">IF(ISNUMBER($A44),$C45,KnotenData!$H$2)</f>
        <v>0.5</v>
      </c>
      <c r="EL48" s="206">
        <f ca="1">IF(ISNUMBER($A44),$B45,KnotenData!$H$2)</f>
        <v>0.5</v>
      </c>
      <c r="EM48" s="217">
        <f ca="1">IF(ISNUMBER($A44),DZ48,KnotenData!$H$2)</f>
        <v>0.5</v>
      </c>
      <c r="EN48" s="7">
        <f ca="1">MIN(DZ48:EJ48)</f>
        <v>0.5</v>
      </c>
      <c r="EO48" s="8">
        <f ca="1">MIN(DZ49:EJ49)</f>
        <v>0.47499999999999998</v>
      </c>
      <c r="EP48" s="345"/>
    </row>
    <row r="49" spans="1:146" ht="13.5" thickBot="1" x14ac:dyDescent="0.25">
      <c r="E49" s="12"/>
      <c r="F49" s="12"/>
      <c r="J49" s="9">
        <v>0</v>
      </c>
      <c r="K49" s="10">
        <f ca="1">IF(G44=1,-6*B44/D44^2,IF(G44="2a",-3*B44/D44^2,IF(G44="2b",0,0)))</f>
        <v>0</v>
      </c>
      <c r="L49" s="146">
        <f ca="1">IF(G44=1,2*B44/D44,IF(G44="2a",0,IF(G44="2b",0,0)))</f>
        <v>0</v>
      </c>
      <c r="M49" s="9">
        <v>0</v>
      </c>
      <c r="N49" s="10">
        <f ca="1">-K49</f>
        <v>0</v>
      </c>
      <c r="O49" s="181">
        <f ca="1">IF(G44=1,4*B44/D44,IF(G44="2a",3*B44/D44,IF(G44="2b",0,0)))</f>
        <v>0</v>
      </c>
      <c r="P49" s="185">
        <v>0</v>
      </c>
      <c r="Q49" s="103">
        <v>0</v>
      </c>
      <c r="R49" s="103">
        <v>0</v>
      </c>
      <c r="S49" s="111">
        <v>0</v>
      </c>
      <c r="T49" s="111">
        <v>0</v>
      </c>
      <c r="U49" s="112">
        <v>1</v>
      </c>
      <c r="V49" s="9">
        <f ca="1"/>
        <v>0</v>
      </c>
      <c r="W49" s="10">
        <f ca="1"/>
        <v>0</v>
      </c>
      <c r="X49" s="146">
        <f ca="1"/>
        <v>0</v>
      </c>
      <c r="Y49" s="9">
        <f ca="1"/>
        <v>0</v>
      </c>
      <c r="Z49" s="10">
        <f ca="1"/>
        <v>0</v>
      </c>
      <c r="AA49" s="181">
        <f ca="1"/>
        <v>0</v>
      </c>
      <c r="AB49" s="62">
        <f ca="1">IF(ISNUMBER($A44),INDIRECT("System!" &amp; ADDRESS(A44+1,COLUMN(System!X43))),0)</f>
        <v>0</v>
      </c>
      <c r="AC49" s="302">
        <f ca="1">IF(G44=1,F44*D44^2/12,IF(G44="2a",F44*D44^2/8,IF(G44="2b",0,0)))</f>
        <v>0</v>
      </c>
      <c r="AD49" s="62">
        <f ca="1"/>
        <v>0</v>
      </c>
      <c r="AE49" s="9">
        <f t="shared" ref="AE49:BR49" ca="1" si="90">IF(ABS($G46)=AE$1,SIGN($G46),0)</f>
        <v>0</v>
      </c>
      <c r="AF49" s="10">
        <f t="shared" ca="1" si="90"/>
        <v>0</v>
      </c>
      <c r="AG49" s="10">
        <f t="shared" ca="1" si="90"/>
        <v>0</v>
      </c>
      <c r="AH49" s="10">
        <f t="shared" ca="1" si="90"/>
        <v>0</v>
      </c>
      <c r="AI49" s="10">
        <f t="shared" ca="1" si="90"/>
        <v>0</v>
      </c>
      <c r="AJ49" s="188">
        <f t="shared" ca="1" si="90"/>
        <v>0</v>
      </c>
      <c r="AK49" s="188">
        <f t="shared" ca="1" si="90"/>
        <v>0</v>
      </c>
      <c r="AL49" s="188">
        <f t="shared" ca="1" si="90"/>
        <v>0</v>
      </c>
      <c r="AM49" s="188">
        <f t="shared" ca="1" si="90"/>
        <v>0</v>
      </c>
      <c r="AN49" s="188">
        <f t="shared" ca="1" si="90"/>
        <v>0</v>
      </c>
      <c r="AO49" s="188">
        <f t="shared" ca="1" si="90"/>
        <v>0</v>
      </c>
      <c r="AP49" s="188">
        <f t="shared" ca="1" si="90"/>
        <v>0</v>
      </c>
      <c r="AQ49" s="188">
        <f t="shared" ca="1" si="90"/>
        <v>0</v>
      </c>
      <c r="AR49" s="188">
        <f t="shared" ca="1" si="90"/>
        <v>0</v>
      </c>
      <c r="AS49" s="188">
        <f t="shared" ca="1" si="90"/>
        <v>0</v>
      </c>
      <c r="AT49" s="188">
        <f t="shared" ca="1" si="90"/>
        <v>0</v>
      </c>
      <c r="AU49" s="188">
        <f t="shared" ca="1" si="90"/>
        <v>0</v>
      </c>
      <c r="AV49" s="188">
        <f t="shared" ca="1" si="90"/>
        <v>0</v>
      </c>
      <c r="AW49" s="188">
        <f t="shared" ca="1" si="90"/>
        <v>0</v>
      </c>
      <c r="AX49" s="188">
        <f t="shared" ca="1" si="90"/>
        <v>0</v>
      </c>
      <c r="AY49" s="188">
        <f t="shared" ca="1" si="90"/>
        <v>0</v>
      </c>
      <c r="AZ49" s="188">
        <f t="shared" ca="1" si="90"/>
        <v>0</v>
      </c>
      <c r="BA49" s="188">
        <f t="shared" ca="1" si="90"/>
        <v>0</v>
      </c>
      <c r="BB49" s="188">
        <f t="shared" ca="1" si="90"/>
        <v>0</v>
      </c>
      <c r="BC49" s="188">
        <f t="shared" ca="1" si="90"/>
        <v>0</v>
      </c>
      <c r="BD49" s="188">
        <f t="shared" ca="1" si="90"/>
        <v>0</v>
      </c>
      <c r="BE49" s="188">
        <f t="shared" ca="1" si="90"/>
        <v>0</v>
      </c>
      <c r="BF49" s="188">
        <f t="shared" ca="1" si="90"/>
        <v>0</v>
      </c>
      <c r="BG49" s="188">
        <f t="shared" ca="1" si="90"/>
        <v>0</v>
      </c>
      <c r="BH49" s="188">
        <f t="shared" ca="1" si="90"/>
        <v>0</v>
      </c>
      <c r="BI49" s="188">
        <f t="shared" ca="1" si="90"/>
        <v>0</v>
      </c>
      <c r="BJ49" s="188">
        <f t="shared" ca="1" si="90"/>
        <v>0</v>
      </c>
      <c r="BK49" s="188">
        <f t="shared" ca="1" si="90"/>
        <v>0</v>
      </c>
      <c r="BL49" s="188">
        <f t="shared" ca="1" si="90"/>
        <v>0</v>
      </c>
      <c r="BM49" s="188">
        <f t="shared" ca="1" si="90"/>
        <v>0</v>
      </c>
      <c r="BN49" s="188">
        <f t="shared" ca="1" si="90"/>
        <v>0</v>
      </c>
      <c r="BO49" s="188">
        <f t="shared" ca="1" si="90"/>
        <v>0</v>
      </c>
      <c r="BP49" s="188">
        <f t="shared" ca="1" si="90"/>
        <v>0</v>
      </c>
      <c r="BQ49" s="188">
        <f t="shared" ca="1" si="90"/>
        <v>0</v>
      </c>
      <c r="BR49" s="188">
        <f t="shared" ca="1" si="90"/>
        <v>0</v>
      </c>
      <c r="BS49" s="283">
        <f ca="1">IF(ISNUMBER($A44),IF(INDEX(B46:G46,6)&lt;&gt;0,SIGN(INDEX(B46:G46,6))*INDIRECT(ADDRESS(1+ABS(INDEX(B46:G46,6)),COLUMN(Ksys!$B$1),1,TRUE,"Ksys")),0)+AB49,0)</f>
        <v>0</v>
      </c>
      <c r="BT49" s="62">
        <f ca="1"/>
        <v>0</v>
      </c>
      <c r="BU49" s="62">
        <f ca="1"/>
        <v>0</v>
      </c>
      <c r="BV49" s="62">
        <f ca="1"/>
        <v>0</v>
      </c>
      <c r="BW49" s="297" t="s">
        <v>103</v>
      </c>
      <c r="BX49" s="218">
        <f ca="1">IF(ISNUMBER($A44),$D45*(1-BX$1) + $E45*BX$1 + Knoten!$S$5*BX47,KnotenData!$H$3)</f>
        <v>0.47499999999999998</v>
      </c>
      <c r="BY49" s="295">
        <f ca="1">IF(ISNUMBER($A44),$D45*(1-BY$1) + $E45*BY$1 + Knoten!$S$5*BY47,KnotenData!$H$3)</f>
        <v>0.47499999999999998</v>
      </c>
      <c r="BZ49" s="295">
        <f ca="1">IF(ISNUMBER($A44),$D45*(1-BZ$1) + $E45*BZ$1 + Knoten!$S$5*BZ47,KnotenData!$H$3)</f>
        <v>0.47499999999999998</v>
      </c>
      <c r="CA49" s="295">
        <f ca="1">IF(ISNUMBER($A44),$D45*(1-CA$1) + $E45*CA$1 + Knoten!$S$5*CA47,KnotenData!$H$3)</f>
        <v>0.47499999999999998</v>
      </c>
      <c r="CB49" s="295">
        <f ca="1">IF(ISNUMBER($A44),$D45*(1-CB$1) + $E45*CB$1 + Knoten!$S$5*CB47,KnotenData!$H$3)</f>
        <v>0.47499999999999998</v>
      </c>
      <c r="CC49" s="295">
        <f ca="1">IF(ISNUMBER($A44),$D45*(1-CC$1) + $E45*CC$1 + Knoten!$S$5*CC47,KnotenData!$H$3)</f>
        <v>0.47499999999999998</v>
      </c>
      <c r="CD49" s="295">
        <f ca="1">IF(ISNUMBER($A44),$D45*(1-CD$1) + $E45*CD$1 + Knoten!$S$5*CD47,KnotenData!$H$3)</f>
        <v>0.47499999999999998</v>
      </c>
      <c r="CE49" s="295">
        <f ca="1">IF(ISNUMBER($A44),$D45*(1-CE$1) + $E45*CE$1 + Knoten!$S$5*CE47,KnotenData!$H$3)</f>
        <v>0.47499999999999998</v>
      </c>
      <c r="CF49" s="295">
        <f ca="1">IF(ISNUMBER($A44),$D45*(1-CF$1) + $E45*CF$1 + Knoten!$S$5*CF47,KnotenData!$H$3)</f>
        <v>0.47499999999999998</v>
      </c>
      <c r="CG49" s="295">
        <f ca="1">IF(ISNUMBER($A44),$D45*(1-CG$1) + $E45*CG$1 + Knoten!$S$5*CG47,KnotenData!$H$3)</f>
        <v>0.47499999999999998</v>
      </c>
      <c r="CH49" s="219">
        <f ca="1">IF(ISNUMBER($A44),$D45*(1-CH$1) + $E45*CH$1 + Knoten!$S$5*CH47,KnotenData!$H$3)</f>
        <v>0.47499999999999998</v>
      </c>
      <c r="CI49" s="449">
        <f ca="1">MAX(BX48:CH48)</f>
        <v>0.5</v>
      </c>
      <c r="CJ49" s="448">
        <f ca="1">MAX(BX49:CH49)</f>
        <v>0.47499999999999998</v>
      </c>
      <c r="CK49" s="446"/>
      <c r="CL49" s="12">
        <v>8</v>
      </c>
      <c r="CM49" s="294" t="s">
        <v>103</v>
      </c>
      <c r="CN49" s="218">
        <f ca="1">IF(ISNUMBER($A44),$D45*(1-CN$1) + $E45*CN$1 + Momente!$D$6*CN47,KnotenData!$H$3)</f>
        <v>0.47499999999999998</v>
      </c>
      <c r="CO49" s="295">
        <f ca="1">IF(ISNUMBER($A44),$D45*(1-CO$1) + $E45*CO$1 + Momente!$D$6*CO47,KnotenData!$H$3)</f>
        <v>0.47499999999999998</v>
      </c>
      <c r="CP49" s="295">
        <f ca="1">IF(ISNUMBER($A44),$D45*(1-CP$1) + $E45*CP$1 + Momente!$D$6*CP47,KnotenData!$H$3)</f>
        <v>0.47499999999999998</v>
      </c>
      <c r="CQ49" s="295">
        <f ca="1">IF(ISNUMBER($A44),$D45*(1-CQ$1) + $E45*CQ$1 + Momente!$D$6*CQ47,KnotenData!$H$3)</f>
        <v>0.47499999999999998</v>
      </c>
      <c r="CR49" s="295">
        <f ca="1">IF(ISNUMBER($A44),$D45*(1-CR$1) + $E45*CR$1 + Momente!$D$6*CR47,KnotenData!$H$3)</f>
        <v>0.47499999999999998</v>
      </c>
      <c r="CS49" s="295">
        <f ca="1">IF(ISNUMBER($A44),$D45*(1-CS$1) + $E45*CS$1 + Momente!$D$6*CS47,KnotenData!$H$3)</f>
        <v>0.47499999999999998</v>
      </c>
      <c r="CT49" s="295">
        <f ca="1">IF(ISNUMBER($A44),$D45*(1-CT$1) + $E45*CT$1 + Momente!$D$6*CT47,KnotenData!$H$3)</f>
        <v>0.47499999999999998</v>
      </c>
      <c r="CU49" s="295">
        <f ca="1">IF(ISNUMBER($A44),$D45*(1-CU$1) + $E45*CU$1 + Momente!$D$6*CU47,KnotenData!$H$3)</f>
        <v>0.47499999999999998</v>
      </c>
      <c r="CV49" s="295">
        <f ca="1">IF(ISNUMBER($A44),$D45*(1-CV$1) + $E45*CV$1 + Momente!$D$6*CV47,KnotenData!$H$3)</f>
        <v>0.47499999999999998</v>
      </c>
      <c r="CW49" s="295">
        <f ca="1">IF(ISNUMBER($A44),$D45*(1-CW$1) + $E45*CW$1 + Momente!$D$6*CW47,KnotenData!$H$3)</f>
        <v>0.47499999999999998</v>
      </c>
      <c r="CX49" s="295">
        <f ca="1">IF(ISNUMBER($A44),$D45*(1-CX$1) + $E45*CX$1 + Momente!$D$6*CX47,KnotenData!$H$3)</f>
        <v>0.47499999999999998</v>
      </c>
      <c r="CY49" s="295">
        <f ca="1">IF(ISNUMBER($A44),$E45,KnotenData!$H$3)</f>
        <v>0.47499999999999998</v>
      </c>
      <c r="CZ49" s="295">
        <f ca="1">IF(ISNUMBER($A44),$D45,KnotenData!$H$3)</f>
        <v>0.47499999999999998</v>
      </c>
      <c r="DA49" s="306">
        <f ca="1">IF(ISNUMBER($A44),CN49,KnotenData!$H$3)</f>
        <v>0.47499999999999998</v>
      </c>
      <c r="DB49" s="9">
        <f ca="1">MAX(CN48:DA48)</f>
        <v>0.5</v>
      </c>
      <c r="DC49" s="146">
        <f ca="1">MAX(CN49:DA49)</f>
        <v>0.47499999999999998</v>
      </c>
      <c r="DD49" s="346"/>
      <c r="DE49" s="12">
        <v>8</v>
      </c>
      <c r="DF49" s="294" t="s">
        <v>103</v>
      </c>
      <c r="DG49" s="218">
        <f ca="1">IF(ISNUMBER($A44),$D45*(1-DG$1) + $E45*DG$1 + Querkräfte!$D$6*DG47,KnotenData!$H$3)</f>
        <v>0.47499999999999998</v>
      </c>
      <c r="DH49" s="295">
        <f ca="1">IF(ISNUMBER($A44),$D45*(1-DH$1) + $E45*DH$1 + Querkräfte!$D$6*DH47,KnotenData!$H$3)</f>
        <v>0.47499999999999998</v>
      </c>
      <c r="DI49" s="295">
        <f ca="1">IF(ISNUMBER($A44),$D45*(1-DI$1) + $E45*DI$1 + Querkräfte!$D$6*DI47,KnotenData!$H$3)</f>
        <v>0.47499999999999998</v>
      </c>
      <c r="DJ49" s="295">
        <f ca="1">IF(ISNUMBER($A44),$D45*(1-DJ$1) + $E45*DJ$1 + Querkräfte!$D$6*DJ47,KnotenData!$H$3)</f>
        <v>0.47499999999999998</v>
      </c>
      <c r="DK49" s="295">
        <f ca="1">IF(ISNUMBER($A44),$D45*(1-DK$1) + $E45*DK$1 + Querkräfte!$D$6*DK47,KnotenData!$H$3)</f>
        <v>0.47499999999999998</v>
      </c>
      <c r="DL49" s="295">
        <f ca="1">IF(ISNUMBER($A44),$D45*(1-DL$1) + $E45*DL$1 + Querkräfte!$D$6*DL47,KnotenData!$H$3)</f>
        <v>0.47499999999999998</v>
      </c>
      <c r="DM49" s="295">
        <f ca="1">IF(ISNUMBER($A44),$D45*(1-DM$1) + $E45*DM$1 + Querkräfte!$D$6*DM47,KnotenData!$H$3)</f>
        <v>0.47499999999999998</v>
      </c>
      <c r="DN49" s="295">
        <f ca="1">IF(ISNUMBER($A44),$D45*(1-DN$1) + $E45*DN$1 + Querkräfte!$D$6*DN47,KnotenData!$H$3)</f>
        <v>0.47499999999999998</v>
      </c>
      <c r="DO49" s="295">
        <f ca="1">IF(ISNUMBER($A44),$D45*(1-DO$1) + $E45*DO$1 + Querkräfte!$D$6*DO47,KnotenData!$H$3)</f>
        <v>0.47499999999999998</v>
      </c>
      <c r="DP49" s="295">
        <f ca="1">IF(ISNUMBER($A44),$D45*(1-DP$1) + $E45*DP$1 + Querkräfte!$D$6*DP47,KnotenData!$H$3)</f>
        <v>0.47499999999999998</v>
      </c>
      <c r="DQ49" s="295">
        <f ca="1">IF(ISNUMBER($A44),$D45*(1-DQ$1) + $E45*DQ$1 + Querkräfte!$D$6*DQ47,KnotenData!$H$3)</f>
        <v>0.47499999999999998</v>
      </c>
      <c r="DR49" s="295">
        <f ca="1">IF(ISNUMBER($A44),$E45,KnotenData!$H$3)</f>
        <v>0.47499999999999998</v>
      </c>
      <c r="DS49" s="295">
        <f ca="1">IF(ISNUMBER($A44),$D45,KnotenData!$H$3)</f>
        <v>0.47499999999999998</v>
      </c>
      <c r="DT49" s="219">
        <f ca="1">IF(ISNUMBER($A44),DG49,KnotenData!$H$3)</f>
        <v>0.47499999999999998</v>
      </c>
      <c r="DU49" s="11">
        <f ca="1">MAX(DG48:DQ48)</f>
        <v>0.5</v>
      </c>
      <c r="DV49" s="146">
        <f ca="1">MAX(DG49:DQ49)</f>
        <v>0.47499999999999998</v>
      </c>
      <c r="DW49" s="346"/>
      <c r="DX49" s="12">
        <v>8</v>
      </c>
      <c r="DY49" s="294" t="s">
        <v>103</v>
      </c>
      <c r="DZ49" s="218">
        <f ca="1">IF(ISNUMBER($A44),$D45*(1-DZ$1) + $E45*DZ$1 + Normalkräfte!$D$6*DZ47,KnotenData!$H$3)</f>
        <v>0.47499999999999998</v>
      </c>
      <c r="EA49" s="295">
        <f ca="1">IF(ISNUMBER($A44),$D45*(1-EA$1) + $E45*EA$1 + Normalkräfte!$D$6*EA47,KnotenData!$H$3)</f>
        <v>0.47499999999999998</v>
      </c>
      <c r="EB49" s="295">
        <f ca="1">IF(ISNUMBER($A44),$D45*(1-EB$1) + $E45*EB$1 + Normalkräfte!$D$6*EB47,KnotenData!$H$3)</f>
        <v>0.47499999999999998</v>
      </c>
      <c r="EC49" s="295">
        <f ca="1">IF(ISNUMBER($A44),$D45*(1-EC$1) + $E45*EC$1 + Normalkräfte!$D$6*EC47,KnotenData!$H$3)</f>
        <v>0.47499999999999998</v>
      </c>
      <c r="ED49" s="295">
        <f ca="1">IF(ISNUMBER($A44),$D45*(1-ED$1) + $E45*ED$1 + Normalkräfte!$D$6*ED47,KnotenData!$H$3)</f>
        <v>0.47499999999999998</v>
      </c>
      <c r="EE49" s="295">
        <f ca="1">IF(ISNUMBER($A44),$D45*(1-EE$1) + $E45*EE$1 + Normalkräfte!$D$6*EE47,KnotenData!$H$3)</f>
        <v>0.47499999999999998</v>
      </c>
      <c r="EF49" s="295">
        <f ca="1">IF(ISNUMBER($A44),$D45*(1-EF$1) + $E45*EF$1 + Normalkräfte!$D$6*EF47,KnotenData!$H$3)</f>
        <v>0.47499999999999998</v>
      </c>
      <c r="EG49" s="295">
        <f ca="1">IF(ISNUMBER($A44),$D45*(1-EG$1) + $E45*EG$1 + Normalkräfte!$D$6*EG47,KnotenData!$H$3)</f>
        <v>0.47499999999999998</v>
      </c>
      <c r="EH49" s="295">
        <f ca="1">IF(ISNUMBER($A44),$D45*(1-EH$1) + $E45*EH$1 + Normalkräfte!$D$6*EH47,KnotenData!$H$3)</f>
        <v>0.47499999999999998</v>
      </c>
      <c r="EI49" s="295">
        <f ca="1">IF(ISNUMBER($A44),$D45*(1-EI$1) + $E45*EI$1 + Normalkräfte!$D$6*EI47,KnotenData!$H$3)</f>
        <v>0.47499999999999998</v>
      </c>
      <c r="EJ49" s="295">
        <f ca="1">IF(ISNUMBER($A44),$D45*(1-EJ$1) + $E45*EJ$1 + Normalkräfte!$D$6*EJ47,KnotenData!$H$3)</f>
        <v>0.47499999999999998</v>
      </c>
      <c r="EK49" s="295">
        <f ca="1">IF(ISNUMBER($A44),$E45,KnotenData!$H$3)</f>
        <v>0.47499999999999998</v>
      </c>
      <c r="EL49" s="295">
        <f ca="1">IF(ISNUMBER($A44),$D45,KnotenData!$H$3)</f>
        <v>0.47499999999999998</v>
      </c>
      <c r="EM49" s="219">
        <f ca="1">IF(ISNUMBER($A44),DZ49,KnotenData!$H$3)</f>
        <v>0.47499999999999998</v>
      </c>
      <c r="EN49" s="9">
        <f ca="1">MAX(DZ48:EJ48)</f>
        <v>0.5</v>
      </c>
      <c r="EO49" s="146">
        <f ca="1">MAX(DZ49:EJ49)</f>
        <v>0.47499999999999998</v>
      </c>
      <c r="EP49" s="346"/>
    </row>
    <row r="50" spans="1:146" x14ac:dyDescent="0.2">
      <c r="A50" s="205" t="str">
        <f ca="1">IF(ISNUMBER(INDIRECT("System!C" &amp;(ROW(A50)+4)/6+1)),INDIRECT("System!B"&amp;(ROW(A50)+4)/6+1),"")</f>
        <v/>
      </c>
      <c r="B50" s="206">
        <f ca="1">IF(ISNUMBER(A50),INDIRECT("System!" &amp; ADDRESS(A50 +1,COLUMN(System!E49))),0)</f>
        <v>0</v>
      </c>
      <c r="C50" s="206">
        <f ca="1">IF(ISNUMBER(A50),INDIRECT("System!" &amp; ADDRESS(A50 +1,COLUMN(System!F49))),0)</f>
        <v>0</v>
      </c>
      <c r="D50" s="209">
        <f ca="1">IF(ISNUMBER(A50),INDIRECT("System!" &amp; ADDRESS(A50 +1,COLUMN(System!O49))),0)</f>
        <v>0</v>
      </c>
      <c r="E50" s="208" t="str">
        <f ca="1">IF(ISNUMBER(A50),INDIRECT("System!" &amp; ADDRESS(A50 +1,COLUMN(System!G49))),"")</f>
        <v/>
      </c>
      <c r="F50" s="208" t="str">
        <f ca="1">IF(ISNUMBER(A50),INDIRECT("System!" &amp; ADDRESS(A50 +1,COLUMN(System!H49))),"")</f>
        <v/>
      </c>
      <c r="G50" s="261" t="str">
        <f ca="1">IF(ISNUMBER(A50),INDIRECT("System!" &amp; ADDRESS(A50 +1,COLUMN(System!I49))),"")</f>
        <v/>
      </c>
      <c r="H50" s="207">
        <f ca="1">IF(ISNUMBER($A50),INDIRECT("System!" &amp; ADDRESS($A50 +1,COLUMN(System!Q49))),0)</f>
        <v>0</v>
      </c>
      <c r="I50" s="209">
        <f ca="1">IF(ISNUMBER($A50),INDIRECT("System!" &amp; ADDRESS($A50 +1,COLUMN(System!R49))),0)</f>
        <v>0</v>
      </c>
      <c r="J50" s="179">
        <f ca="1">IF(ISNUMBER(A50),C50/D50,0)</f>
        <v>0</v>
      </c>
      <c r="K50" s="5">
        <v>0</v>
      </c>
      <c r="L50" s="6">
        <v>0</v>
      </c>
      <c r="M50" s="4">
        <f ca="1">-J50</f>
        <v>0</v>
      </c>
      <c r="N50" s="5">
        <v>0</v>
      </c>
      <c r="O50" s="6">
        <v>0</v>
      </c>
      <c r="P50" s="141">
        <f ca="1">I50</f>
        <v>0</v>
      </c>
      <c r="Q50" s="142">
        <f ca="1">-H50</f>
        <v>0</v>
      </c>
      <c r="R50" s="142">
        <v>0</v>
      </c>
      <c r="S50" s="182">
        <v>0</v>
      </c>
      <c r="T50" s="182">
        <v>0</v>
      </c>
      <c r="U50" s="183">
        <v>0</v>
      </c>
      <c r="V50" s="179">
        <f t="array" aca="1" ref="V50:AA55" ca="1">MMULT(TRANSPOSE(P50:U55),MMULT(J50:O55,P50:U55))</f>
        <v>0</v>
      </c>
      <c r="W50" s="5">
        <f ca="1"/>
        <v>0</v>
      </c>
      <c r="X50" s="6">
        <f ca="1"/>
        <v>0</v>
      </c>
      <c r="Y50" s="4">
        <f ca="1"/>
        <v>0</v>
      </c>
      <c r="Z50" s="5">
        <f ca="1"/>
        <v>0</v>
      </c>
      <c r="AA50" s="6">
        <f ca="1"/>
        <v>0</v>
      </c>
      <c r="AB50" s="60">
        <f ca="1">IF(ISNUMBER($A50),INDIRECT("System!" &amp; ADDRESS(A50+1,COLUMN(System!S49))),0)</f>
        <v>0</v>
      </c>
      <c r="AC50" s="299">
        <f ca="1">IF(ISNUMBER(E50),E50*D50/2,0)</f>
        <v>0</v>
      </c>
      <c r="AD50" s="60">
        <f t="array" aca="1" ref="AD50:AD55" ca="1">MMULT(TRANSPOSE(P50:U55),AC50:AC55) - MMULT(V50:AA55,AB50:AB55)</f>
        <v>0</v>
      </c>
      <c r="AE50" s="4">
        <f t="shared" ref="AE50:BR50" ca="1" si="91">IF(ABS($B52)=AE$1,SIGN($B52),0)</f>
        <v>0</v>
      </c>
      <c r="AF50" s="5">
        <f t="shared" ca="1" si="91"/>
        <v>0</v>
      </c>
      <c r="AG50" s="5">
        <f t="shared" ca="1" si="91"/>
        <v>0</v>
      </c>
      <c r="AH50" s="5">
        <f t="shared" ca="1" si="91"/>
        <v>0</v>
      </c>
      <c r="AI50" s="5">
        <f t="shared" ca="1" si="91"/>
        <v>0</v>
      </c>
      <c r="AJ50" s="189">
        <f t="shared" ca="1" si="91"/>
        <v>0</v>
      </c>
      <c r="AK50" s="189">
        <f t="shared" ca="1" si="91"/>
        <v>0</v>
      </c>
      <c r="AL50" s="189">
        <f t="shared" ca="1" si="91"/>
        <v>0</v>
      </c>
      <c r="AM50" s="189">
        <f t="shared" ca="1" si="91"/>
        <v>0</v>
      </c>
      <c r="AN50" s="189">
        <f t="shared" ca="1" si="91"/>
        <v>0</v>
      </c>
      <c r="AO50" s="189">
        <f t="shared" ca="1" si="91"/>
        <v>0</v>
      </c>
      <c r="AP50" s="189">
        <f t="shared" ca="1" si="91"/>
        <v>0</v>
      </c>
      <c r="AQ50" s="189">
        <f t="shared" ca="1" si="91"/>
        <v>0</v>
      </c>
      <c r="AR50" s="189">
        <f t="shared" ca="1" si="91"/>
        <v>0</v>
      </c>
      <c r="AS50" s="189">
        <f t="shared" ca="1" si="91"/>
        <v>0</v>
      </c>
      <c r="AT50" s="189">
        <f t="shared" ca="1" si="91"/>
        <v>0</v>
      </c>
      <c r="AU50" s="189">
        <f t="shared" ca="1" si="91"/>
        <v>0</v>
      </c>
      <c r="AV50" s="189">
        <f t="shared" ca="1" si="91"/>
        <v>0</v>
      </c>
      <c r="AW50" s="189">
        <f t="shared" ca="1" si="91"/>
        <v>0</v>
      </c>
      <c r="AX50" s="189">
        <f t="shared" ca="1" si="91"/>
        <v>0</v>
      </c>
      <c r="AY50" s="189">
        <f t="shared" ca="1" si="91"/>
        <v>0</v>
      </c>
      <c r="AZ50" s="189">
        <f t="shared" ca="1" si="91"/>
        <v>0</v>
      </c>
      <c r="BA50" s="189">
        <f t="shared" ca="1" si="91"/>
        <v>0</v>
      </c>
      <c r="BB50" s="189">
        <f t="shared" ca="1" si="91"/>
        <v>0</v>
      </c>
      <c r="BC50" s="189">
        <f t="shared" ca="1" si="91"/>
        <v>0</v>
      </c>
      <c r="BD50" s="189">
        <f t="shared" ca="1" si="91"/>
        <v>0</v>
      </c>
      <c r="BE50" s="189">
        <f t="shared" ca="1" si="91"/>
        <v>0</v>
      </c>
      <c r="BF50" s="189">
        <f t="shared" ca="1" si="91"/>
        <v>0</v>
      </c>
      <c r="BG50" s="189">
        <f t="shared" ca="1" si="91"/>
        <v>0</v>
      </c>
      <c r="BH50" s="189">
        <f t="shared" ca="1" si="91"/>
        <v>0</v>
      </c>
      <c r="BI50" s="189">
        <f t="shared" ca="1" si="91"/>
        <v>0</v>
      </c>
      <c r="BJ50" s="189">
        <f t="shared" ca="1" si="91"/>
        <v>0</v>
      </c>
      <c r="BK50" s="189">
        <f t="shared" ca="1" si="91"/>
        <v>0</v>
      </c>
      <c r="BL50" s="189">
        <f t="shared" ca="1" si="91"/>
        <v>0</v>
      </c>
      <c r="BM50" s="189">
        <f t="shared" ca="1" si="91"/>
        <v>0</v>
      </c>
      <c r="BN50" s="189">
        <f t="shared" ca="1" si="91"/>
        <v>0</v>
      </c>
      <c r="BO50" s="189">
        <f t="shared" ca="1" si="91"/>
        <v>0</v>
      </c>
      <c r="BP50" s="189">
        <f t="shared" ca="1" si="91"/>
        <v>0</v>
      </c>
      <c r="BQ50" s="189">
        <f t="shared" ca="1" si="91"/>
        <v>0</v>
      </c>
      <c r="BR50" s="189">
        <f t="shared" ca="1" si="91"/>
        <v>0</v>
      </c>
      <c r="BS50" s="281">
        <f ca="1">IF(ISNUMBER($A50),IF(INDEX(B52:G52,1)&lt;&gt;0,SIGN(INDEX(B52:G52,1))*INDIRECT(ADDRESS(1+ABS(INDEX(B52:G52,1)),COLUMN(Ksys!$B$1),1,TRUE,"Ksys")),0)+AB50,0)</f>
        <v>0</v>
      </c>
      <c r="BT50" s="60">
        <f t="array" aca="1" ref="BT50:BT55" ca="1">MMULT(P50:U55,BS50:BS55)</f>
        <v>0</v>
      </c>
      <c r="BU50" s="60">
        <f t="array" aca="1" ref="BU50:BU55" ca="1">MMULT(J50:O55,BT50:BT55)-AC50:AC55</f>
        <v>0</v>
      </c>
      <c r="BV50" s="60">
        <f t="array" aca="1" ref="BV50:BV52" ca="1">-(MMULT(J50:O52,BT50:BT55)-AC50:AC52)</f>
        <v>0</v>
      </c>
      <c r="BW50" s="286" t="s">
        <v>97</v>
      </c>
      <c r="BX50" s="4">
        <f t="shared" ref="BX50:CH50" ca="1" si="92">IF(ISNUMBER($A50),$BT50*(1-BX$1) + $BT53*BX$1,0)</f>
        <v>0</v>
      </c>
      <c r="BY50" s="5">
        <f t="shared" ca="1" si="92"/>
        <v>0</v>
      </c>
      <c r="BZ50" s="5">
        <f t="shared" ca="1" si="92"/>
        <v>0</v>
      </c>
      <c r="CA50" s="5">
        <f t="shared" ca="1" si="92"/>
        <v>0</v>
      </c>
      <c r="CB50" s="5">
        <f t="shared" ca="1" si="92"/>
        <v>0</v>
      </c>
      <c r="CC50" s="5">
        <f t="shared" ca="1" si="92"/>
        <v>0</v>
      </c>
      <c r="CD50" s="5">
        <f t="shared" ca="1" si="92"/>
        <v>0</v>
      </c>
      <c r="CE50" s="5">
        <f t="shared" ca="1" si="92"/>
        <v>0</v>
      </c>
      <c r="CF50" s="5">
        <f t="shared" ca="1" si="92"/>
        <v>0</v>
      </c>
      <c r="CG50" s="5">
        <f t="shared" ca="1" si="92"/>
        <v>0</v>
      </c>
      <c r="CH50" s="6">
        <f t="shared" ca="1" si="92"/>
        <v>0</v>
      </c>
      <c r="CI50" s="343"/>
      <c r="CJ50" s="343"/>
      <c r="CK50" s="308"/>
      <c r="CL50" s="12"/>
      <c r="CM50" s="290" t="s">
        <v>97</v>
      </c>
      <c r="CN50" s="4">
        <v>0</v>
      </c>
      <c r="CO50" s="5">
        <v>0</v>
      </c>
      <c r="CP50" s="5">
        <v>0</v>
      </c>
      <c r="CQ50" s="5">
        <v>0</v>
      </c>
      <c r="CR50" s="5">
        <v>0</v>
      </c>
      <c r="CS50" s="5">
        <v>0</v>
      </c>
      <c r="CT50" s="5">
        <v>0</v>
      </c>
      <c r="CU50" s="5">
        <v>0</v>
      </c>
      <c r="CV50" s="5">
        <v>0</v>
      </c>
      <c r="CW50" s="5">
        <v>0</v>
      </c>
      <c r="CX50" s="5">
        <v>0</v>
      </c>
      <c r="CY50" s="5"/>
      <c r="CZ50" s="5"/>
      <c r="DA50" s="189"/>
      <c r="DB50" s="307"/>
      <c r="DC50" s="308"/>
      <c r="DD50" s="343"/>
      <c r="DE50" s="12"/>
      <c r="DF50" s="290" t="s">
        <v>97</v>
      </c>
      <c r="DG50" s="4">
        <v>0</v>
      </c>
      <c r="DH50" s="5">
        <v>0</v>
      </c>
      <c r="DI50" s="5">
        <v>0</v>
      </c>
      <c r="DJ50" s="5">
        <v>0</v>
      </c>
      <c r="DK50" s="5">
        <v>0</v>
      </c>
      <c r="DL50" s="5">
        <v>0</v>
      </c>
      <c r="DM50" s="5">
        <v>0</v>
      </c>
      <c r="DN50" s="5">
        <v>0</v>
      </c>
      <c r="DO50" s="5">
        <v>0</v>
      </c>
      <c r="DP50" s="5">
        <v>0</v>
      </c>
      <c r="DQ50" s="5">
        <v>0</v>
      </c>
      <c r="DR50" s="5"/>
      <c r="DS50" s="5"/>
      <c r="DT50" s="6"/>
      <c r="DU50" s="325"/>
      <c r="DV50" s="308"/>
      <c r="DW50" s="343"/>
      <c r="DX50" s="12"/>
      <c r="DY50" s="290" t="s">
        <v>97</v>
      </c>
      <c r="DZ50" s="4">
        <v>0</v>
      </c>
      <c r="EA50" s="5">
        <v>0</v>
      </c>
      <c r="EB50" s="5">
        <v>0</v>
      </c>
      <c r="EC50" s="5">
        <v>0</v>
      </c>
      <c r="ED50" s="5">
        <v>0</v>
      </c>
      <c r="EE50" s="5">
        <v>0</v>
      </c>
      <c r="EF50" s="5">
        <v>0</v>
      </c>
      <c r="EG50" s="5">
        <v>0</v>
      </c>
      <c r="EH50" s="5">
        <v>0</v>
      </c>
      <c r="EI50" s="5">
        <v>0</v>
      </c>
      <c r="EJ50" s="5">
        <v>0</v>
      </c>
      <c r="EK50" s="5"/>
      <c r="EL50" s="5"/>
      <c r="EM50" s="6"/>
      <c r="EN50" s="307"/>
      <c r="EO50" s="308"/>
      <c r="EP50" s="343"/>
    </row>
    <row r="51" spans="1:146" x14ac:dyDescent="0.2">
      <c r="B51" s="1">
        <f ca="1">IF(ISNUMBER($A50),INDIRECT(ADDRESS($A50+1,COLUMN(System!K$2),1,TRUE,"System")),0)</f>
        <v>0</v>
      </c>
      <c r="C51" s="1">
        <f ca="1">IF(ISNUMBER($A50),INDIRECT(ADDRESS($A50+1,COLUMN(System!L$2),1,TRUE,"System")),0)</f>
        <v>0</v>
      </c>
      <c r="D51" s="1">
        <f ca="1">IF(ISNUMBER($A50),INDIRECT(ADDRESS($A50+1,COLUMN(System!M$2),1,TRUE,"System")),0)</f>
        <v>0</v>
      </c>
      <c r="E51" s="1">
        <f ca="1">IF(ISNUMBER($A50),INDIRECT(ADDRESS($A50+1,COLUMN(System!N$2),1,TRUE,"System")),0)</f>
        <v>0</v>
      </c>
      <c r="F51" s="12"/>
      <c r="J51" s="7">
        <v>0</v>
      </c>
      <c r="K51" s="180">
        <f ca="1">IF(G50=1,12*B50/D50^3,IF(G50="2a",3*B50/D50^3,IF(G50="2b",3*B50/D50^3,0)))</f>
        <v>0</v>
      </c>
      <c r="L51" s="8">
        <f ca="1">K52</f>
        <v>0</v>
      </c>
      <c r="M51" s="7">
        <v>0</v>
      </c>
      <c r="N51" s="1">
        <f ca="1">-K51</f>
        <v>0</v>
      </c>
      <c r="O51" s="8">
        <f ca="1">K55</f>
        <v>0</v>
      </c>
      <c r="P51" s="143">
        <f ca="1">H50</f>
        <v>0</v>
      </c>
      <c r="Q51" s="99">
        <f ca="1">I50</f>
        <v>0</v>
      </c>
      <c r="R51" s="99">
        <v>0</v>
      </c>
      <c r="S51" s="101">
        <v>0</v>
      </c>
      <c r="T51" s="101">
        <v>0</v>
      </c>
      <c r="U51" s="110">
        <v>0</v>
      </c>
      <c r="V51" s="7">
        <f ca="1"/>
        <v>0</v>
      </c>
      <c r="W51" s="180">
        <f ca="1"/>
        <v>0</v>
      </c>
      <c r="X51" s="8">
        <f ca="1"/>
        <v>0</v>
      </c>
      <c r="Y51" s="7">
        <f ca="1"/>
        <v>0</v>
      </c>
      <c r="Z51" s="1">
        <f ca="1"/>
        <v>0</v>
      </c>
      <c r="AA51" s="8">
        <f ca="1"/>
        <v>0</v>
      </c>
      <c r="AB51" s="61">
        <f ca="1">IF(ISNUMBER($A50),INDIRECT("System!" &amp; ADDRESS(A50+1,COLUMN(System!T49))),0)</f>
        <v>0</v>
      </c>
      <c r="AC51" s="301">
        <f ca="1">IF(G50=1,F50*D50/2,IF(G50="2a",F50*3/8*D50,IF(G50="2b",F50*5/8*D50,0)))</f>
        <v>0</v>
      </c>
      <c r="AD51" s="61">
        <f ca="1"/>
        <v>0</v>
      </c>
      <c r="AE51" s="7">
        <f t="shared" ref="AE51:BR51" ca="1" si="93">IF(ABS($C52)=AE$1,SIGN($C52),0)</f>
        <v>0</v>
      </c>
      <c r="AF51" s="1">
        <f t="shared" ca="1" si="93"/>
        <v>0</v>
      </c>
      <c r="AG51" s="1">
        <f t="shared" ca="1" si="93"/>
        <v>0</v>
      </c>
      <c r="AH51" s="1">
        <f t="shared" ca="1" si="93"/>
        <v>0</v>
      </c>
      <c r="AI51" s="1">
        <f t="shared" ca="1" si="93"/>
        <v>0</v>
      </c>
      <c r="AJ51" s="26">
        <f t="shared" ca="1" si="93"/>
        <v>0</v>
      </c>
      <c r="AK51" s="26">
        <f t="shared" ca="1" si="93"/>
        <v>0</v>
      </c>
      <c r="AL51" s="26">
        <f t="shared" ca="1" si="93"/>
        <v>0</v>
      </c>
      <c r="AM51" s="26">
        <f t="shared" ca="1" si="93"/>
        <v>0</v>
      </c>
      <c r="AN51" s="26">
        <f t="shared" ca="1" si="93"/>
        <v>0</v>
      </c>
      <c r="AO51" s="26">
        <f t="shared" ca="1" si="93"/>
        <v>0</v>
      </c>
      <c r="AP51" s="26">
        <f t="shared" ca="1" si="93"/>
        <v>0</v>
      </c>
      <c r="AQ51" s="26">
        <f t="shared" ca="1" si="93"/>
        <v>0</v>
      </c>
      <c r="AR51" s="26">
        <f t="shared" ca="1" si="93"/>
        <v>0</v>
      </c>
      <c r="AS51" s="26">
        <f t="shared" ca="1" si="93"/>
        <v>0</v>
      </c>
      <c r="AT51" s="26">
        <f t="shared" ca="1" si="93"/>
        <v>0</v>
      </c>
      <c r="AU51" s="26">
        <f t="shared" ca="1" si="93"/>
        <v>0</v>
      </c>
      <c r="AV51" s="26">
        <f t="shared" ca="1" si="93"/>
        <v>0</v>
      </c>
      <c r="AW51" s="26">
        <f t="shared" ca="1" si="93"/>
        <v>0</v>
      </c>
      <c r="AX51" s="26">
        <f t="shared" ca="1" si="93"/>
        <v>0</v>
      </c>
      <c r="AY51" s="26">
        <f t="shared" ca="1" si="93"/>
        <v>0</v>
      </c>
      <c r="AZ51" s="26">
        <f t="shared" ca="1" si="93"/>
        <v>0</v>
      </c>
      <c r="BA51" s="26">
        <f t="shared" ca="1" si="93"/>
        <v>0</v>
      </c>
      <c r="BB51" s="26">
        <f t="shared" ca="1" si="93"/>
        <v>0</v>
      </c>
      <c r="BC51" s="26">
        <f t="shared" ca="1" si="93"/>
        <v>0</v>
      </c>
      <c r="BD51" s="26">
        <f t="shared" ca="1" si="93"/>
        <v>0</v>
      </c>
      <c r="BE51" s="26">
        <f t="shared" ca="1" si="93"/>
        <v>0</v>
      </c>
      <c r="BF51" s="26">
        <f t="shared" ca="1" si="93"/>
        <v>0</v>
      </c>
      <c r="BG51" s="26">
        <f t="shared" ca="1" si="93"/>
        <v>0</v>
      </c>
      <c r="BH51" s="26">
        <f t="shared" ca="1" si="93"/>
        <v>0</v>
      </c>
      <c r="BI51" s="26">
        <f t="shared" ca="1" si="93"/>
        <v>0</v>
      </c>
      <c r="BJ51" s="26">
        <f t="shared" ca="1" si="93"/>
        <v>0</v>
      </c>
      <c r="BK51" s="26">
        <f t="shared" ca="1" si="93"/>
        <v>0</v>
      </c>
      <c r="BL51" s="26">
        <f t="shared" ca="1" si="93"/>
        <v>0</v>
      </c>
      <c r="BM51" s="26">
        <f t="shared" ca="1" si="93"/>
        <v>0</v>
      </c>
      <c r="BN51" s="26">
        <f t="shared" ca="1" si="93"/>
        <v>0</v>
      </c>
      <c r="BO51" s="26">
        <f t="shared" ca="1" si="93"/>
        <v>0</v>
      </c>
      <c r="BP51" s="26">
        <f t="shared" ca="1" si="93"/>
        <v>0</v>
      </c>
      <c r="BQ51" s="26">
        <f t="shared" ca="1" si="93"/>
        <v>0</v>
      </c>
      <c r="BR51" s="26">
        <f t="shared" ca="1" si="93"/>
        <v>0</v>
      </c>
      <c r="BS51" s="282">
        <f ca="1">IF(ISNUMBER($A50),IF(INDEX(B52:G52,2)&lt;&gt;0,SIGN(INDEX(B52:G52,2))*INDIRECT(ADDRESS(1+ABS(INDEX(B52:G52,2)),COLUMN(Ksys!$B$1),1,TRUE,"Ksys")),0)+AB51,0)</f>
        <v>0</v>
      </c>
      <c r="BT51" s="61">
        <f ca="1"/>
        <v>0</v>
      </c>
      <c r="BU51" s="61">
        <f ca="1"/>
        <v>0</v>
      </c>
      <c r="BV51" s="61">
        <f ca="1"/>
        <v>0</v>
      </c>
      <c r="BW51" s="287" t="s">
        <v>100</v>
      </c>
      <c r="BX51" s="272">
        <f t="shared" ref="BX51:CH51" ca="1" si="94" xml:space="preserve">  IF(ISNUMBER($A50),$BT51*(1-BX$1) + $BT54*BX$1 + ((1-BX$1)-(1-BX$1)^3)*$D50^2/6*$BV52/$B50 + (BX$1-(BX$1)^3)*$D50^2/6*$BV55/$B50 + (BX$1-2*(BX$1)^3+(BX$1)^4)*$D50^2/3*$F50*$D50^2/8/$B50,0)</f>
        <v>0</v>
      </c>
      <c r="BY51" s="173">
        <f t="shared" ca="1" si="94"/>
        <v>0</v>
      </c>
      <c r="BZ51" s="173">
        <f t="shared" ca="1" si="94"/>
        <v>0</v>
      </c>
      <c r="CA51" s="173">
        <f t="shared" ca="1" si="94"/>
        <v>0</v>
      </c>
      <c r="CB51" s="173">
        <f t="shared" ca="1" si="94"/>
        <v>0</v>
      </c>
      <c r="CC51" s="173">
        <f t="shared" ca="1" si="94"/>
        <v>0</v>
      </c>
      <c r="CD51" s="173">
        <f t="shared" ca="1" si="94"/>
        <v>0</v>
      </c>
      <c r="CE51" s="173">
        <f t="shared" ca="1" si="94"/>
        <v>0</v>
      </c>
      <c r="CF51" s="173">
        <f t="shared" ca="1" si="94"/>
        <v>0</v>
      </c>
      <c r="CG51" s="173">
        <f t="shared" ca="1" si="94"/>
        <v>0</v>
      </c>
      <c r="CH51" s="289">
        <f t="shared" ca="1" si="94"/>
        <v>0</v>
      </c>
      <c r="CI51" s="344"/>
      <c r="CJ51" s="344"/>
      <c r="CK51" s="312"/>
      <c r="CL51" s="12"/>
      <c r="CM51" s="291" t="s">
        <v>100</v>
      </c>
      <c r="CN51" s="7">
        <f t="shared" ref="CN51:CX51" ca="1" si="95" xml:space="preserve">  IF(ISNUMBER($A50),$BV52*(1-CN$1) + $BV55*CN$1  + CN$1*(1-CN$1)*$F50*$D50^2/2,0)</f>
        <v>0</v>
      </c>
      <c r="CO51" s="1">
        <f t="shared" ca="1" si="95"/>
        <v>0</v>
      </c>
      <c r="CP51" s="1">
        <f t="shared" ca="1" si="95"/>
        <v>0</v>
      </c>
      <c r="CQ51" s="1">
        <f t="shared" ca="1" si="95"/>
        <v>0</v>
      </c>
      <c r="CR51" s="1">
        <f t="shared" ca="1" si="95"/>
        <v>0</v>
      </c>
      <c r="CS51" s="1">
        <f t="shared" ca="1" si="95"/>
        <v>0</v>
      </c>
      <c r="CT51" s="1">
        <f t="shared" ca="1" si="95"/>
        <v>0</v>
      </c>
      <c r="CU51" s="1">
        <f t="shared" ca="1" si="95"/>
        <v>0</v>
      </c>
      <c r="CV51" s="1">
        <f t="shared" ca="1" si="95"/>
        <v>0</v>
      </c>
      <c r="CW51" s="1">
        <f t="shared" ca="1" si="95"/>
        <v>0</v>
      </c>
      <c r="CX51" s="1">
        <f t="shared" ca="1" si="95"/>
        <v>0</v>
      </c>
      <c r="CY51" s="1"/>
      <c r="CZ51" s="1"/>
      <c r="DA51" s="26"/>
      <c r="DB51" s="309"/>
      <c r="DC51" s="310"/>
      <c r="DD51" s="345"/>
      <c r="DE51" s="12"/>
      <c r="DF51" s="291" t="s">
        <v>100</v>
      </c>
      <c r="DG51" s="7">
        <f t="shared" ref="DG51:DQ51" ca="1" si="96" xml:space="preserve">  IF(ISNUMBER($A50),$BV51*(1-DG$1) + $BV54*DG$1,0)</f>
        <v>0</v>
      </c>
      <c r="DH51" s="1">
        <f t="shared" ca="1" si="96"/>
        <v>0</v>
      </c>
      <c r="DI51" s="1">
        <f t="shared" ca="1" si="96"/>
        <v>0</v>
      </c>
      <c r="DJ51" s="1">
        <f t="shared" ca="1" si="96"/>
        <v>0</v>
      </c>
      <c r="DK51" s="1">
        <f t="shared" ca="1" si="96"/>
        <v>0</v>
      </c>
      <c r="DL51" s="1">
        <f t="shared" ca="1" si="96"/>
        <v>0</v>
      </c>
      <c r="DM51" s="1">
        <f t="shared" ca="1" si="96"/>
        <v>0</v>
      </c>
      <c r="DN51" s="1">
        <f t="shared" ca="1" si="96"/>
        <v>0</v>
      </c>
      <c r="DO51" s="1">
        <f t="shared" ca="1" si="96"/>
        <v>0</v>
      </c>
      <c r="DP51" s="1">
        <f t="shared" ca="1" si="96"/>
        <v>0</v>
      </c>
      <c r="DQ51" s="1">
        <f t="shared" ca="1" si="96"/>
        <v>0</v>
      </c>
      <c r="DR51" s="1"/>
      <c r="DS51" s="1"/>
      <c r="DT51" s="8"/>
      <c r="DU51" s="12"/>
      <c r="DV51" s="310"/>
      <c r="DW51" s="345"/>
      <c r="DX51" s="12"/>
      <c r="DY51" s="291" t="s">
        <v>100</v>
      </c>
      <c r="DZ51" s="7">
        <f t="shared" ref="DZ51:EJ51" ca="1" si="97" xml:space="preserve">  IF(ISNUMBER($A50),$BV50*(1-DZ$1) + $BV53*DZ$1,0)</f>
        <v>0</v>
      </c>
      <c r="EA51" s="1">
        <f t="shared" ca="1" si="97"/>
        <v>0</v>
      </c>
      <c r="EB51" s="1">
        <f t="shared" ca="1" si="97"/>
        <v>0</v>
      </c>
      <c r="EC51" s="1">
        <f t="shared" ca="1" si="97"/>
        <v>0</v>
      </c>
      <c r="ED51" s="1">
        <f t="shared" ca="1" si="97"/>
        <v>0</v>
      </c>
      <c r="EE51" s="1">
        <f t="shared" ca="1" si="97"/>
        <v>0</v>
      </c>
      <c r="EF51" s="1">
        <f t="shared" ca="1" si="97"/>
        <v>0</v>
      </c>
      <c r="EG51" s="1">
        <f t="shared" ca="1" si="97"/>
        <v>0</v>
      </c>
      <c r="EH51" s="1">
        <f t="shared" ca="1" si="97"/>
        <v>0</v>
      </c>
      <c r="EI51" s="1">
        <f t="shared" ca="1" si="97"/>
        <v>0</v>
      </c>
      <c r="EJ51" s="1">
        <f t="shared" ca="1" si="97"/>
        <v>0</v>
      </c>
      <c r="EK51" s="1"/>
      <c r="EL51" s="1"/>
      <c r="EM51" s="8"/>
      <c r="EN51" s="309"/>
      <c r="EO51" s="310"/>
      <c r="EP51" s="345"/>
    </row>
    <row r="52" spans="1:146" ht="13.5" thickBot="1" x14ac:dyDescent="0.25">
      <c r="B52" s="1">
        <f ca="1">IF(ISNUMBER($A50),INDIRECT("System!" &amp; ADDRESS($A50 +1,COLUMN(System!Y49))),0)</f>
        <v>0</v>
      </c>
      <c r="C52" s="1">
        <f ca="1">IF(ISNUMBER($A50),INDIRECT("System!" &amp; ADDRESS($A50 +1,COLUMN(System!Z49))),0)</f>
        <v>0</v>
      </c>
      <c r="D52" s="1">
        <f ca="1">IF(ISNUMBER($A50),INDIRECT("System!" &amp; ADDRESS($A50 +1,COLUMN(System!AA49))),0)</f>
        <v>0</v>
      </c>
      <c r="E52" s="1">
        <f ca="1">IF(ISNUMBER($A50),INDIRECT("System!" &amp; ADDRESS($A50 +1,COLUMN(System!AB49))),0)</f>
        <v>0</v>
      </c>
      <c r="F52" s="1">
        <f ca="1">IF(ISNUMBER($A50),INDIRECT("System!" &amp; ADDRESS($A50 +1,COLUMN(System!AC49))),0)</f>
        <v>0</v>
      </c>
      <c r="G52" s="1">
        <f ca="1">IF(ISNUMBER($A50),INDIRECT("System!" &amp; ADDRESS($A50 +1,COLUMN(System!AD49))),0)</f>
        <v>0</v>
      </c>
      <c r="J52" s="9">
        <v>0</v>
      </c>
      <c r="K52" s="10">
        <f ca="1">IF(G50=1,-6*B50/D50^2,IF(G50="2a",0,IF(G50="2b",-3*B50/D50^2,0)))</f>
        <v>0</v>
      </c>
      <c r="L52" s="181">
        <f ca="1">IF(G50=1,4*B50/D50,IF(G50="2a",0,IF(G50="2b",3*B50/D50,0)))</f>
        <v>0</v>
      </c>
      <c r="M52" s="9">
        <v>0</v>
      </c>
      <c r="N52" s="10">
        <f ca="1">L54</f>
        <v>0</v>
      </c>
      <c r="O52" s="146">
        <f ca="1">L55</f>
        <v>0</v>
      </c>
      <c r="P52" s="143">
        <v>0</v>
      </c>
      <c r="Q52" s="99">
        <v>0</v>
      </c>
      <c r="R52" s="99">
        <v>1</v>
      </c>
      <c r="S52" s="101">
        <v>0</v>
      </c>
      <c r="T52" s="101">
        <v>0</v>
      </c>
      <c r="U52" s="110">
        <v>0</v>
      </c>
      <c r="V52" s="9">
        <f ca="1"/>
        <v>0</v>
      </c>
      <c r="W52" s="10">
        <f ca="1"/>
        <v>0</v>
      </c>
      <c r="X52" s="181">
        <f ca="1"/>
        <v>0</v>
      </c>
      <c r="Y52" s="9">
        <f ca="1"/>
        <v>0</v>
      </c>
      <c r="Z52" s="10">
        <f ca="1"/>
        <v>0</v>
      </c>
      <c r="AA52" s="146">
        <f ca="1"/>
        <v>0</v>
      </c>
      <c r="AB52" s="61">
        <f ca="1">IF(ISNUMBER($A50),INDIRECT("System!" &amp; ADDRESS(A50+1,COLUMN(System!U49))),0)</f>
        <v>0</v>
      </c>
      <c r="AC52" s="301">
        <f ca="1">IF(G50=1,-F50*D50^2/12,IF(G50="2a",0,IF(G50="2b",-F50*D50^2/8,0)))</f>
        <v>0</v>
      </c>
      <c r="AD52" s="61">
        <f ca="1"/>
        <v>0</v>
      </c>
      <c r="AE52" s="7">
        <f t="shared" ref="AE52:BR52" ca="1" si="98">IF(ABS($D52)=AE$1,SIGN($D52),0)</f>
        <v>0</v>
      </c>
      <c r="AF52" s="1">
        <f t="shared" ca="1" si="98"/>
        <v>0</v>
      </c>
      <c r="AG52" s="1">
        <f t="shared" ca="1" si="98"/>
        <v>0</v>
      </c>
      <c r="AH52" s="1">
        <f t="shared" ca="1" si="98"/>
        <v>0</v>
      </c>
      <c r="AI52" s="1">
        <f t="shared" ca="1" si="98"/>
        <v>0</v>
      </c>
      <c r="AJ52" s="26">
        <f t="shared" ca="1" si="98"/>
        <v>0</v>
      </c>
      <c r="AK52" s="26">
        <f t="shared" ca="1" si="98"/>
        <v>0</v>
      </c>
      <c r="AL52" s="26">
        <f t="shared" ca="1" si="98"/>
        <v>0</v>
      </c>
      <c r="AM52" s="26">
        <f t="shared" ca="1" si="98"/>
        <v>0</v>
      </c>
      <c r="AN52" s="26">
        <f t="shared" ca="1" si="98"/>
        <v>0</v>
      </c>
      <c r="AO52" s="26">
        <f t="shared" ca="1" si="98"/>
        <v>0</v>
      </c>
      <c r="AP52" s="26">
        <f t="shared" ca="1" si="98"/>
        <v>0</v>
      </c>
      <c r="AQ52" s="26">
        <f t="shared" ca="1" si="98"/>
        <v>0</v>
      </c>
      <c r="AR52" s="26">
        <f t="shared" ca="1" si="98"/>
        <v>0</v>
      </c>
      <c r="AS52" s="26">
        <f t="shared" ca="1" si="98"/>
        <v>0</v>
      </c>
      <c r="AT52" s="26">
        <f t="shared" ca="1" si="98"/>
        <v>0</v>
      </c>
      <c r="AU52" s="26">
        <f t="shared" ca="1" si="98"/>
        <v>0</v>
      </c>
      <c r="AV52" s="26">
        <f t="shared" ca="1" si="98"/>
        <v>0</v>
      </c>
      <c r="AW52" s="26">
        <f t="shared" ca="1" si="98"/>
        <v>0</v>
      </c>
      <c r="AX52" s="26">
        <f t="shared" ca="1" si="98"/>
        <v>0</v>
      </c>
      <c r="AY52" s="26">
        <f t="shared" ca="1" si="98"/>
        <v>0</v>
      </c>
      <c r="AZ52" s="26">
        <f t="shared" ca="1" si="98"/>
        <v>0</v>
      </c>
      <c r="BA52" s="26">
        <f t="shared" ca="1" si="98"/>
        <v>0</v>
      </c>
      <c r="BB52" s="26">
        <f t="shared" ca="1" si="98"/>
        <v>0</v>
      </c>
      <c r="BC52" s="26">
        <f t="shared" ca="1" si="98"/>
        <v>0</v>
      </c>
      <c r="BD52" s="26">
        <f t="shared" ca="1" si="98"/>
        <v>0</v>
      </c>
      <c r="BE52" s="26">
        <f t="shared" ca="1" si="98"/>
        <v>0</v>
      </c>
      <c r="BF52" s="26">
        <f t="shared" ca="1" si="98"/>
        <v>0</v>
      </c>
      <c r="BG52" s="26">
        <f t="shared" ca="1" si="98"/>
        <v>0</v>
      </c>
      <c r="BH52" s="26">
        <f t="shared" ca="1" si="98"/>
        <v>0</v>
      </c>
      <c r="BI52" s="26">
        <f t="shared" ca="1" si="98"/>
        <v>0</v>
      </c>
      <c r="BJ52" s="26">
        <f t="shared" ca="1" si="98"/>
        <v>0</v>
      </c>
      <c r="BK52" s="26">
        <f t="shared" ca="1" si="98"/>
        <v>0</v>
      </c>
      <c r="BL52" s="26">
        <f t="shared" ca="1" si="98"/>
        <v>0</v>
      </c>
      <c r="BM52" s="26">
        <f t="shared" ca="1" si="98"/>
        <v>0</v>
      </c>
      <c r="BN52" s="26">
        <f t="shared" ca="1" si="98"/>
        <v>0</v>
      </c>
      <c r="BO52" s="26">
        <f t="shared" ca="1" si="98"/>
        <v>0</v>
      </c>
      <c r="BP52" s="26">
        <f t="shared" ca="1" si="98"/>
        <v>0</v>
      </c>
      <c r="BQ52" s="26">
        <f t="shared" ca="1" si="98"/>
        <v>0</v>
      </c>
      <c r="BR52" s="26">
        <f t="shared" ca="1" si="98"/>
        <v>0</v>
      </c>
      <c r="BS52" s="282">
        <f ca="1">IF(ISNUMBER($A50),IF(INDEX(B52:G52,3)&lt;&gt;0,SIGN(INDEX(B52:G52,3))*INDIRECT(ADDRESS(1+ABS(INDEX(B52:G52,3)),COLUMN(Ksys!$B$1),1,TRUE,"Ksys")),0)+AB52,0)</f>
        <v>0</v>
      </c>
      <c r="BT52" s="61">
        <f ca="1"/>
        <v>0</v>
      </c>
      <c r="BU52" s="61">
        <f ca="1"/>
        <v>0</v>
      </c>
      <c r="BV52" s="61">
        <f ca="1"/>
        <v>0</v>
      </c>
      <c r="BW52" s="287" t="s">
        <v>96</v>
      </c>
      <c r="BX52" s="7">
        <f t="array" aca="1" ref="BX52:BX53" ca="1">IF(ISNUMBER($A50),MMULT(TRANSPOSE($P50:$Q51),BX50:BX51),0)</f>
        <v>0</v>
      </c>
      <c r="BY52" s="1">
        <f t="array" aca="1" ref="BY52:BY53" ca="1">IF(ISNUMBER($A50),MMULT(TRANSPOSE($P50:$Q51),BY50:BY51),0)</f>
        <v>0</v>
      </c>
      <c r="BZ52" s="1">
        <f t="array" aca="1" ref="BZ52:BZ53" ca="1">IF(ISNUMBER($A50),MMULT(TRANSPOSE($P50:$Q51),BZ50:BZ51),0)</f>
        <v>0</v>
      </c>
      <c r="CA52" s="1">
        <f t="array" aca="1" ref="CA52:CA53" ca="1">IF(ISNUMBER($A50),MMULT(TRANSPOSE($P50:$Q51),CA50:CA51),0)</f>
        <v>0</v>
      </c>
      <c r="CB52" s="1">
        <f t="array" aca="1" ref="CB52:CB53" ca="1">IF(ISNUMBER($A50),MMULT(TRANSPOSE($P50:$Q51),CB50:CB51),0)</f>
        <v>0</v>
      </c>
      <c r="CC52" s="1">
        <f t="array" aca="1" ref="CC52:CC53" ca="1">IF(ISNUMBER($A50),MMULT(TRANSPOSE($P50:$Q51),CC50:CC51),0)</f>
        <v>0</v>
      </c>
      <c r="CD52" s="1">
        <f t="array" aca="1" ref="CD52:CD53" ca="1">IF(ISNUMBER($A50),MMULT(TRANSPOSE($P50:$Q51),CD50:CD51),0)</f>
        <v>0</v>
      </c>
      <c r="CE52" s="1">
        <f t="array" aca="1" ref="CE52:CE53" ca="1">IF(ISNUMBER($A50),MMULT(TRANSPOSE($P50:$Q51),CE50:CE51),0)</f>
        <v>0</v>
      </c>
      <c r="CF52" s="1">
        <f t="array" aca="1" ref="CF52:CF53" ca="1">IF(ISNUMBER($A50),MMULT(TRANSPOSE($P50:$Q51),CF50:CF51),0)</f>
        <v>0</v>
      </c>
      <c r="CG52" s="1">
        <f t="array" aca="1" ref="CG52:CG53" ca="1">IF(ISNUMBER($A50),MMULT(TRANSPOSE($P50:$Q51),CG50:CG51),0)</f>
        <v>0</v>
      </c>
      <c r="CH52" s="8">
        <f t="array" aca="1" ref="CH52:CH53" ca="1">IF(ISNUMBER($A50),MMULT(TRANSPOSE($P50:$Q51),CH50:CH51),0)</f>
        <v>0</v>
      </c>
      <c r="CI52" s="345"/>
      <c r="CJ52" s="345"/>
      <c r="CK52" s="444">
        <f ca="1">MAX(MAX(BX52:CH53),ABS(MIN(BX52:CH53)))</f>
        <v>0</v>
      </c>
      <c r="CL52" s="12"/>
      <c r="CM52" s="291" t="s">
        <v>96</v>
      </c>
      <c r="CN52" s="7">
        <f t="array" aca="1" ref="CN52:CN53" ca="1">IF(ISNUMBER($A50),MMULT(TRANSPOSE($P50:$Q51),CN50:CN51),0)</f>
        <v>0</v>
      </c>
      <c r="CO52" s="1">
        <f t="array" aca="1" ref="CO52:CO53" ca="1">IF(ISNUMBER($A50),MMULT(TRANSPOSE($P50:$Q51),CO50:CO51),0)</f>
        <v>0</v>
      </c>
      <c r="CP52" s="1">
        <f t="array" aca="1" ref="CP52:CP53" ca="1">IF(ISNUMBER($A50),MMULT(TRANSPOSE($P50:$Q51),CP50:CP51),0)</f>
        <v>0</v>
      </c>
      <c r="CQ52" s="1">
        <f t="array" aca="1" ref="CQ52:CQ53" ca="1">IF(ISNUMBER($A50),MMULT(TRANSPOSE($P50:$Q51),CQ50:CQ51),0)</f>
        <v>0</v>
      </c>
      <c r="CR52" s="1">
        <f t="array" aca="1" ref="CR52:CR53" ca="1">IF(ISNUMBER($A50),MMULT(TRANSPOSE($P50:$Q51),CR50:CR51),0)</f>
        <v>0</v>
      </c>
      <c r="CS52" s="1">
        <f t="array" aca="1" ref="CS52:CS53" ca="1">IF(ISNUMBER($A50),MMULT(TRANSPOSE($P50:$Q51),CS50:CS51),0)</f>
        <v>0</v>
      </c>
      <c r="CT52" s="1">
        <f t="array" aca="1" ref="CT52:CT53" ca="1">IF(ISNUMBER($A50),MMULT(TRANSPOSE($P50:$Q51),CT50:CT51),0)</f>
        <v>0</v>
      </c>
      <c r="CU52" s="1">
        <f t="array" aca="1" ref="CU52:CU53" ca="1">IF(ISNUMBER($A50),MMULT(TRANSPOSE($P50:$Q51),CU50:CU51),0)</f>
        <v>0</v>
      </c>
      <c r="CV52" s="1">
        <f t="array" aca="1" ref="CV52:CV53" ca="1">IF(ISNUMBER($A50),MMULT(TRANSPOSE($P50:$Q51),CV50:CV51),0)</f>
        <v>0</v>
      </c>
      <c r="CW52" s="1">
        <f t="array" aca="1" ref="CW52:CW53" ca="1">IF(ISNUMBER($A50),MMULT(TRANSPOSE($P50:$Q51),CW50:CW51),0)</f>
        <v>0</v>
      </c>
      <c r="CX52" s="1">
        <f t="array" aca="1" ref="CX52:CX53" ca="1">IF(ISNUMBER($A50),MMULT(TRANSPOSE($P50:$Q51),CX50:CX51),0)</f>
        <v>0</v>
      </c>
      <c r="CY52" s="1"/>
      <c r="CZ52" s="1"/>
      <c r="DA52" s="26"/>
      <c r="DB52" s="309"/>
      <c r="DC52" s="310"/>
      <c r="DD52" s="345"/>
      <c r="DE52" s="12"/>
      <c r="DF52" s="291" t="s">
        <v>96</v>
      </c>
      <c r="DG52" s="7">
        <f t="array" aca="1" ref="DG52:DG53" ca="1">IF(ISNUMBER($A50),MMULT(TRANSPOSE($P50:$Q51),DG50:DG51),0)</f>
        <v>0</v>
      </c>
      <c r="DH52" s="1">
        <f t="array" aca="1" ref="DH52:DH53" ca="1">IF(ISNUMBER($A50),MMULT(TRANSPOSE($P50:$Q51),DH50:DH51),0)</f>
        <v>0</v>
      </c>
      <c r="DI52" s="1">
        <f t="array" aca="1" ref="DI52:DI53" ca="1">IF(ISNUMBER($A50),MMULT(TRANSPOSE($P50:$Q51),DI50:DI51),0)</f>
        <v>0</v>
      </c>
      <c r="DJ52" s="1">
        <f t="array" aca="1" ref="DJ52:DJ53" ca="1">IF(ISNUMBER($A50),MMULT(TRANSPOSE($P50:$Q51),DJ50:DJ51),0)</f>
        <v>0</v>
      </c>
      <c r="DK52" s="1">
        <f t="array" aca="1" ref="DK52:DK53" ca="1">IF(ISNUMBER($A50),MMULT(TRANSPOSE($P50:$Q51),DK50:DK51),0)</f>
        <v>0</v>
      </c>
      <c r="DL52" s="1">
        <f t="array" aca="1" ref="DL52:DL53" ca="1">IF(ISNUMBER($A50),MMULT(TRANSPOSE($P50:$Q51),DL50:DL51),0)</f>
        <v>0</v>
      </c>
      <c r="DM52" s="1">
        <f t="array" aca="1" ref="DM52:DM53" ca="1">IF(ISNUMBER($A50),MMULT(TRANSPOSE($P50:$Q51),DM50:DM51),0)</f>
        <v>0</v>
      </c>
      <c r="DN52" s="1">
        <f t="array" aca="1" ref="DN52:DN53" ca="1">IF(ISNUMBER($A50),MMULT(TRANSPOSE($P50:$Q51),DN50:DN51),0)</f>
        <v>0</v>
      </c>
      <c r="DO52" s="1">
        <f t="array" aca="1" ref="DO52:DO53" ca="1">IF(ISNUMBER($A50),MMULT(TRANSPOSE($P50:$Q51),DO50:DO51),0)</f>
        <v>0</v>
      </c>
      <c r="DP52" s="1">
        <f t="array" aca="1" ref="DP52:DP53" ca="1">IF(ISNUMBER($A50),MMULT(TRANSPOSE($P50:$Q51),DP50:DP51),0)</f>
        <v>0</v>
      </c>
      <c r="DQ52" s="1">
        <f t="array" aca="1" ref="DQ52:DQ53" ca="1">IF(ISNUMBER($A50),MMULT(TRANSPOSE($P50:$Q51),DQ50:DQ51),0)</f>
        <v>0</v>
      </c>
      <c r="DR52" s="1"/>
      <c r="DS52" s="1"/>
      <c r="DT52" s="8"/>
      <c r="DU52" s="12"/>
      <c r="DV52" s="310"/>
      <c r="DW52" s="345"/>
      <c r="DX52" s="12"/>
      <c r="DY52" s="291" t="s">
        <v>96</v>
      </c>
      <c r="DZ52" s="7">
        <f t="array" aca="1" ref="DZ52:DZ53" ca="1">IF(ISNUMBER($A50),MMULT(TRANSPOSE($P50:$Q51),DZ50:DZ51),0)</f>
        <v>0</v>
      </c>
      <c r="EA52" s="1">
        <f t="array" aca="1" ref="EA52:EA53" ca="1">IF(ISNUMBER($A50),MMULT(TRANSPOSE($P50:$Q51),EA50:EA51),0)</f>
        <v>0</v>
      </c>
      <c r="EB52" s="1">
        <f t="array" aca="1" ref="EB52:EB53" ca="1">IF(ISNUMBER($A50),MMULT(TRANSPOSE($P50:$Q51),EB50:EB51),0)</f>
        <v>0</v>
      </c>
      <c r="EC52" s="1">
        <f t="array" aca="1" ref="EC52:EC53" ca="1">IF(ISNUMBER($A50),MMULT(TRANSPOSE($P50:$Q51),EC50:EC51),0)</f>
        <v>0</v>
      </c>
      <c r="ED52" s="1">
        <f t="array" aca="1" ref="ED52:ED53" ca="1">IF(ISNUMBER($A50),MMULT(TRANSPOSE($P50:$Q51),ED50:ED51),0)</f>
        <v>0</v>
      </c>
      <c r="EE52" s="1">
        <f t="array" aca="1" ref="EE52:EE53" ca="1">IF(ISNUMBER($A50),MMULT(TRANSPOSE($P50:$Q51),EE50:EE51),0)</f>
        <v>0</v>
      </c>
      <c r="EF52" s="1">
        <f t="array" aca="1" ref="EF52:EF53" ca="1">IF(ISNUMBER($A50),MMULT(TRANSPOSE($P50:$Q51),EF50:EF51),0)</f>
        <v>0</v>
      </c>
      <c r="EG52" s="1">
        <f t="array" aca="1" ref="EG52:EG53" ca="1">IF(ISNUMBER($A50),MMULT(TRANSPOSE($P50:$Q51),EG50:EG51),0)</f>
        <v>0</v>
      </c>
      <c r="EH52" s="1">
        <f t="array" aca="1" ref="EH52:EH53" ca="1">IF(ISNUMBER($A50),MMULT(TRANSPOSE($P50:$Q51),EH50:EH51),0)</f>
        <v>0</v>
      </c>
      <c r="EI52" s="1">
        <f t="array" aca="1" ref="EI52:EI53" ca="1">IF(ISNUMBER($A50),MMULT(TRANSPOSE($P50:$Q51),EI50:EI51),0)</f>
        <v>0</v>
      </c>
      <c r="EJ52" s="1">
        <f t="array" aca="1" ref="EJ52:EJ53" ca="1">IF(ISNUMBER($A50),MMULT(TRANSPOSE($P50:$Q51),EJ50:EJ51),0)</f>
        <v>0</v>
      </c>
      <c r="EK52" s="1"/>
      <c r="EL52" s="1"/>
      <c r="EM52" s="8"/>
      <c r="EN52" s="309"/>
      <c r="EO52" s="310"/>
      <c r="EP52" s="345"/>
    </row>
    <row r="53" spans="1:146" x14ac:dyDescent="0.2">
      <c r="E53" s="12"/>
      <c r="F53" s="12"/>
      <c r="J53" s="4">
        <f ca="1">-J50</f>
        <v>0</v>
      </c>
      <c r="K53" s="5">
        <v>0</v>
      </c>
      <c r="L53" s="6">
        <v>0</v>
      </c>
      <c r="M53" s="179">
        <f ca="1">J50</f>
        <v>0</v>
      </c>
      <c r="N53" s="5">
        <v>0</v>
      </c>
      <c r="O53" s="6">
        <v>0</v>
      </c>
      <c r="P53" s="184">
        <v>0</v>
      </c>
      <c r="Q53" s="101">
        <v>0</v>
      </c>
      <c r="R53" s="101">
        <v>0</v>
      </c>
      <c r="S53" s="99">
        <f ca="1">I50</f>
        <v>0</v>
      </c>
      <c r="T53" s="99">
        <f ca="1">-H50</f>
        <v>0</v>
      </c>
      <c r="U53" s="100">
        <v>0</v>
      </c>
      <c r="V53" s="4">
        <f ca="1"/>
        <v>0</v>
      </c>
      <c r="W53" s="5">
        <f ca="1"/>
        <v>0</v>
      </c>
      <c r="X53" s="6">
        <f ca="1"/>
        <v>0</v>
      </c>
      <c r="Y53" s="179">
        <f ca="1"/>
        <v>0</v>
      </c>
      <c r="Z53" s="5">
        <f ca="1"/>
        <v>0</v>
      </c>
      <c r="AA53" s="6">
        <f ca="1"/>
        <v>0</v>
      </c>
      <c r="AB53" s="61">
        <f ca="1">IF(ISNUMBER($A50),INDIRECT("System!" &amp; ADDRESS(A50+1,COLUMN(System!V49))),0)</f>
        <v>0</v>
      </c>
      <c r="AC53" s="301">
        <f ca="1">IF(ISNUMBER(E50),E50*D50/2,0)</f>
        <v>0</v>
      </c>
      <c r="AD53" s="61">
        <f ca="1"/>
        <v>0</v>
      </c>
      <c r="AE53" s="7">
        <f t="shared" ref="AE53:BR53" ca="1" si="99">IF(ABS($E52)=AE$1,SIGN($E52),0)</f>
        <v>0</v>
      </c>
      <c r="AF53" s="1">
        <f t="shared" ca="1" si="99"/>
        <v>0</v>
      </c>
      <c r="AG53" s="1">
        <f t="shared" ca="1" si="99"/>
        <v>0</v>
      </c>
      <c r="AH53" s="1">
        <f t="shared" ca="1" si="99"/>
        <v>0</v>
      </c>
      <c r="AI53" s="1">
        <f t="shared" ca="1" si="99"/>
        <v>0</v>
      </c>
      <c r="AJ53" s="26">
        <f t="shared" ca="1" si="99"/>
        <v>0</v>
      </c>
      <c r="AK53" s="26">
        <f t="shared" ca="1" si="99"/>
        <v>0</v>
      </c>
      <c r="AL53" s="26">
        <f t="shared" ca="1" si="99"/>
        <v>0</v>
      </c>
      <c r="AM53" s="26">
        <f t="shared" ca="1" si="99"/>
        <v>0</v>
      </c>
      <c r="AN53" s="26">
        <f t="shared" ca="1" si="99"/>
        <v>0</v>
      </c>
      <c r="AO53" s="26">
        <f t="shared" ca="1" si="99"/>
        <v>0</v>
      </c>
      <c r="AP53" s="26">
        <f t="shared" ca="1" si="99"/>
        <v>0</v>
      </c>
      <c r="AQ53" s="26">
        <f t="shared" ca="1" si="99"/>
        <v>0</v>
      </c>
      <c r="AR53" s="26">
        <f t="shared" ca="1" si="99"/>
        <v>0</v>
      </c>
      <c r="AS53" s="26">
        <f t="shared" ca="1" si="99"/>
        <v>0</v>
      </c>
      <c r="AT53" s="26">
        <f t="shared" ca="1" si="99"/>
        <v>0</v>
      </c>
      <c r="AU53" s="26">
        <f t="shared" ca="1" si="99"/>
        <v>0</v>
      </c>
      <c r="AV53" s="26">
        <f t="shared" ca="1" si="99"/>
        <v>0</v>
      </c>
      <c r="AW53" s="26">
        <f t="shared" ca="1" si="99"/>
        <v>0</v>
      </c>
      <c r="AX53" s="26">
        <f t="shared" ca="1" si="99"/>
        <v>0</v>
      </c>
      <c r="AY53" s="26">
        <f t="shared" ca="1" si="99"/>
        <v>0</v>
      </c>
      <c r="AZ53" s="26">
        <f t="shared" ca="1" si="99"/>
        <v>0</v>
      </c>
      <c r="BA53" s="26">
        <f t="shared" ca="1" si="99"/>
        <v>0</v>
      </c>
      <c r="BB53" s="26">
        <f t="shared" ca="1" si="99"/>
        <v>0</v>
      </c>
      <c r="BC53" s="26">
        <f t="shared" ca="1" si="99"/>
        <v>0</v>
      </c>
      <c r="BD53" s="26">
        <f t="shared" ca="1" si="99"/>
        <v>0</v>
      </c>
      <c r="BE53" s="26">
        <f t="shared" ca="1" si="99"/>
        <v>0</v>
      </c>
      <c r="BF53" s="26">
        <f t="shared" ca="1" si="99"/>
        <v>0</v>
      </c>
      <c r="BG53" s="26">
        <f t="shared" ca="1" si="99"/>
        <v>0</v>
      </c>
      <c r="BH53" s="26">
        <f t="shared" ca="1" si="99"/>
        <v>0</v>
      </c>
      <c r="BI53" s="26">
        <f t="shared" ca="1" si="99"/>
        <v>0</v>
      </c>
      <c r="BJ53" s="26">
        <f t="shared" ca="1" si="99"/>
        <v>0</v>
      </c>
      <c r="BK53" s="26">
        <f t="shared" ca="1" si="99"/>
        <v>0</v>
      </c>
      <c r="BL53" s="26">
        <f t="shared" ca="1" si="99"/>
        <v>0</v>
      </c>
      <c r="BM53" s="26">
        <f t="shared" ca="1" si="99"/>
        <v>0</v>
      </c>
      <c r="BN53" s="26">
        <f t="shared" ca="1" si="99"/>
        <v>0</v>
      </c>
      <c r="BO53" s="26">
        <f t="shared" ca="1" si="99"/>
        <v>0</v>
      </c>
      <c r="BP53" s="26">
        <f t="shared" ca="1" si="99"/>
        <v>0</v>
      </c>
      <c r="BQ53" s="26">
        <f t="shared" ca="1" si="99"/>
        <v>0</v>
      </c>
      <c r="BR53" s="26">
        <f t="shared" ca="1" si="99"/>
        <v>0</v>
      </c>
      <c r="BS53" s="282">
        <f ca="1">IF(ISNUMBER($A50),IF(INDEX(B52:G52,4)&lt;&gt;0,SIGN(INDEX(B52:G52,4))*INDIRECT(ADDRESS(1+ABS(INDEX(B52:G52,4)),COLUMN(Ksys!$B$1),1,TRUE,"Ksys")),0)+AB53,0)</f>
        <v>0</v>
      </c>
      <c r="BT53" s="61">
        <f ca="1"/>
        <v>0</v>
      </c>
      <c r="BU53" s="61">
        <f ca="1"/>
        <v>0</v>
      </c>
      <c r="BV53" s="61">
        <f t="array" aca="1" ref="BV53:BV55" ca="1">MMULT(J53:O55,BT50:BT55)-AC53:AC55</f>
        <v>0</v>
      </c>
      <c r="BW53" s="288" t="s">
        <v>101</v>
      </c>
      <c r="BX53" s="7">
        <f ca="1"/>
        <v>0</v>
      </c>
      <c r="BY53" s="1">
        <f ca="1"/>
        <v>0</v>
      </c>
      <c r="BZ53" s="1">
        <f ca="1"/>
        <v>0</v>
      </c>
      <c r="CA53" s="1">
        <f ca="1"/>
        <v>0</v>
      </c>
      <c r="CB53" s="1">
        <f ca="1"/>
        <v>0</v>
      </c>
      <c r="CC53" s="1">
        <f ca="1"/>
        <v>0</v>
      </c>
      <c r="CD53" s="1">
        <f ca="1"/>
        <v>0</v>
      </c>
      <c r="CE53" s="1">
        <f ca="1"/>
        <v>0</v>
      </c>
      <c r="CF53" s="1">
        <f ca="1"/>
        <v>0</v>
      </c>
      <c r="CG53" s="1">
        <f ca="1"/>
        <v>0</v>
      </c>
      <c r="CH53" s="8">
        <f ca="1"/>
        <v>0</v>
      </c>
      <c r="CI53" s="344" t="s">
        <v>1</v>
      </c>
      <c r="CJ53" s="344" t="s">
        <v>111</v>
      </c>
      <c r="CK53" s="310"/>
      <c r="CL53" s="12"/>
      <c r="CM53" s="292" t="s">
        <v>101</v>
      </c>
      <c r="CN53" s="7">
        <f ca="1"/>
        <v>0</v>
      </c>
      <c r="CO53" s="1">
        <f ca="1"/>
        <v>0</v>
      </c>
      <c r="CP53" s="1">
        <f ca="1"/>
        <v>0</v>
      </c>
      <c r="CQ53" s="1">
        <f ca="1"/>
        <v>0</v>
      </c>
      <c r="CR53" s="1">
        <f ca="1"/>
        <v>0</v>
      </c>
      <c r="CS53" s="1">
        <f ca="1"/>
        <v>0</v>
      </c>
      <c r="CT53" s="1">
        <f ca="1"/>
        <v>0</v>
      </c>
      <c r="CU53" s="1">
        <f ca="1"/>
        <v>0</v>
      </c>
      <c r="CV53" s="1">
        <f ca="1"/>
        <v>0</v>
      </c>
      <c r="CW53" s="1">
        <f ca="1"/>
        <v>0</v>
      </c>
      <c r="CX53" s="1">
        <f ca="1"/>
        <v>0</v>
      </c>
      <c r="CY53" s="1"/>
      <c r="CZ53" s="1"/>
      <c r="DA53" s="26"/>
      <c r="DB53" s="311" t="s">
        <v>1</v>
      </c>
      <c r="DC53" s="312" t="s">
        <v>111</v>
      </c>
      <c r="DD53" s="61">
        <f ca="1">MAX(MAX(CN52:CX53),ABS(MIN(CN52:CX53)))</f>
        <v>0</v>
      </c>
      <c r="DE53" s="12"/>
      <c r="DF53" s="292" t="s">
        <v>101</v>
      </c>
      <c r="DG53" s="7">
        <f ca="1"/>
        <v>0</v>
      </c>
      <c r="DH53" s="1">
        <f ca="1"/>
        <v>0</v>
      </c>
      <c r="DI53" s="1">
        <f ca="1"/>
        <v>0</v>
      </c>
      <c r="DJ53" s="1">
        <f ca="1"/>
        <v>0</v>
      </c>
      <c r="DK53" s="1">
        <f ca="1"/>
        <v>0</v>
      </c>
      <c r="DL53" s="1">
        <f ca="1"/>
        <v>0</v>
      </c>
      <c r="DM53" s="1">
        <f ca="1"/>
        <v>0</v>
      </c>
      <c r="DN53" s="1">
        <f ca="1"/>
        <v>0</v>
      </c>
      <c r="DO53" s="1">
        <f ca="1"/>
        <v>0</v>
      </c>
      <c r="DP53" s="1">
        <f ca="1"/>
        <v>0</v>
      </c>
      <c r="DQ53" s="1">
        <f ca="1"/>
        <v>0</v>
      </c>
      <c r="DR53" s="1"/>
      <c r="DS53" s="1"/>
      <c r="DT53" s="8"/>
      <c r="DU53" s="314" t="s">
        <v>1</v>
      </c>
      <c r="DV53" s="312" t="s">
        <v>111</v>
      </c>
      <c r="DW53" s="349">
        <f ca="1">MAX(MAX(DG52:DQ53),ABS(MIN(DG52:DQ53)))</f>
        <v>0</v>
      </c>
      <c r="DX53" s="12"/>
      <c r="DY53" s="292" t="s">
        <v>101</v>
      </c>
      <c r="DZ53" s="7">
        <f ca="1"/>
        <v>0</v>
      </c>
      <c r="EA53" s="1">
        <f ca="1"/>
        <v>0</v>
      </c>
      <c r="EB53" s="1">
        <f ca="1"/>
        <v>0</v>
      </c>
      <c r="EC53" s="1">
        <f ca="1"/>
        <v>0</v>
      </c>
      <c r="ED53" s="1">
        <f ca="1"/>
        <v>0</v>
      </c>
      <c r="EE53" s="1">
        <f ca="1"/>
        <v>0</v>
      </c>
      <c r="EF53" s="1">
        <f ca="1"/>
        <v>0</v>
      </c>
      <c r="EG53" s="1">
        <f ca="1"/>
        <v>0</v>
      </c>
      <c r="EH53" s="1">
        <f ca="1"/>
        <v>0</v>
      </c>
      <c r="EI53" s="1">
        <f ca="1"/>
        <v>0</v>
      </c>
      <c r="EJ53" s="1">
        <f ca="1"/>
        <v>0</v>
      </c>
      <c r="EK53" s="1"/>
      <c r="EL53" s="1"/>
      <c r="EM53" s="8"/>
      <c r="EN53" s="311" t="s">
        <v>1</v>
      </c>
      <c r="EO53" s="312" t="s">
        <v>111</v>
      </c>
      <c r="EP53" s="61">
        <f ca="1">MAX(MAX(DZ52:EJ53),ABS(MIN(DZ52:EJ53)))</f>
        <v>0</v>
      </c>
    </row>
    <row r="54" spans="1:146" x14ac:dyDescent="0.2">
      <c r="E54" s="1" t="str">
        <f ca="1">IF(ISNUMBER(A50),"" &amp; ADDRESS(ROW(A50),COLUMN($AD$1)) &amp; ":" &amp; ADDRESS(ROW(A55),COLUMN($AD$1)) &amp; "","")</f>
        <v/>
      </c>
      <c r="F54" s="1" t="str">
        <f ca="1">IF(ISNUMBER(A50),"" &amp; ADDRESS(ROW(A50),COLUMN($V$1)) &amp; ":" &amp; ADDRESS(ROW(A55),COLUMN($AA$1)) &amp; "","")</f>
        <v/>
      </c>
      <c r="G54" s="1" t="str">
        <f ca="1">IF(ISNUMBER(A50),"" &amp; ADDRESS(ROW(A50),COLUMN($AE$1)) &amp; ":" &amp; ADDRESS(ROW(A55),COLUMN($AD$1)+$C$6) &amp; "","")</f>
        <v/>
      </c>
      <c r="J54" s="7">
        <v>0</v>
      </c>
      <c r="K54" s="1">
        <f ca="1">-K51</f>
        <v>0</v>
      </c>
      <c r="L54" s="8">
        <f ca="1">IF(G50=1,6*B50/D50^2,IF(G50="2a",0,IF(G50="2b",3*B50/D50^2,0)))</f>
        <v>0</v>
      </c>
      <c r="M54" s="7">
        <v>0</v>
      </c>
      <c r="N54" s="180">
        <f ca="1">K51</f>
        <v>0</v>
      </c>
      <c r="O54" s="8">
        <f ca="1">N55</f>
        <v>0</v>
      </c>
      <c r="P54" s="184">
        <v>0</v>
      </c>
      <c r="Q54" s="101">
        <v>0</v>
      </c>
      <c r="R54" s="101">
        <v>0</v>
      </c>
      <c r="S54" s="99">
        <f ca="1">H50</f>
        <v>0</v>
      </c>
      <c r="T54" s="99">
        <f ca="1">I50</f>
        <v>0</v>
      </c>
      <c r="U54" s="100">
        <v>0</v>
      </c>
      <c r="V54" s="7">
        <f ca="1"/>
        <v>0</v>
      </c>
      <c r="W54" s="1">
        <f ca="1"/>
        <v>0</v>
      </c>
      <c r="X54" s="8">
        <f ca="1"/>
        <v>0</v>
      </c>
      <c r="Y54" s="7">
        <f ca="1"/>
        <v>0</v>
      </c>
      <c r="Z54" s="180">
        <f ca="1"/>
        <v>0</v>
      </c>
      <c r="AA54" s="8">
        <f ca="1"/>
        <v>0</v>
      </c>
      <c r="AB54" s="61">
        <f ca="1">IF(ISNUMBER($A50),INDIRECT("System!" &amp; ADDRESS(A50+1,COLUMN(System!W49))),0)</f>
        <v>0</v>
      </c>
      <c r="AC54" s="301">
        <f ca="1">IF(G50=1,F50*D50/2,IF(G50="2a",F50*5/8*D50,IF(G50="2b",F50*3/8*D50,0)))</f>
        <v>0</v>
      </c>
      <c r="AD54" s="61">
        <f ca="1"/>
        <v>0</v>
      </c>
      <c r="AE54" s="7">
        <f t="shared" ref="AE54:BR54" ca="1" si="100">IF(ABS($F52)=AE$1,SIGN($F52),0)</f>
        <v>0</v>
      </c>
      <c r="AF54" s="1">
        <f t="shared" ca="1" si="100"/>
        <v>0</v>
      </c>
      <c r="AG54" s="1">
        <f t="shared" ca="1" si="100"/>
        <v>0</v>
      </c>
      <c r="AH54" s="1">
        <f t="shared" ca="1" si="100"/>
        <v>0</v>
      </c>
      <c r="AI54" s="1">
        <f t="shared" ca="1" si="100"/>
        <v>0</v>
      </c>
      <c r="AJ54" s="26">
        <f t="shared" ca="1" si="100"/>
        <v>0</v>
      </c>
      <c r="AK54" s="26">
        <f t="shared" ca="1" si="100"/>
        <v>0</v>
      </c>
      <c r="AL54" s="26">
        <f t="shared" ca="1" si="100"/>
        <v>0</v>
      </c>
      <c r="AM54" s="26">
        <f t="shared" ca="1" si="100"/>
        <v>0</v>
      </c>
      <c r="AN54" s="26">
        <f t="shared" ca="1" si="100"/>
        <v>0</v>
      </c>
      <c r="AO54" s="26">
        <f t="shared" ca="1" si="100"/>
        <v>0</v>
      </c>
      <c r="AP54" s="26">
        <f t="shared" ca="1" si="100"/>
        <v>0</v>
      </c>
      <c r="AQ54" s="26">
        <f t="shared" ca="1" si="100"/>
        <v>0</v>
      </c>
      <c r="AR54" s="26">
        <f t="shared" ca="1" si="100"/>
        <v>0</v>
      </c>
      <c r="AS54" s="26">
        <f t="shared" ca="1" si="100"/>
        <v>0</v>
      </c>
      <c r="AT54" s="26">
        <f t="shared" ca="1" si="100"/>
        <v>0</v>
      </c>
      <c r="AU54" s="26">
        <f t="shared" ca="1" si="100"/>
        <v>0</v>
      </c>
      <c r="AV54" s="26">
        <f t="shared" ca="1" si="100"/>
        <v>0</v>
      </c>
      <c r="AW54" s="26">
        <f t="shared" ca="1" si="100"/>
        <v>0</v>
      </c>
      <c r="AX54" s="26">
        <f t="shared" ca="1" si="100"/>
        <v>0</v>
      </c>
      <c r="AY54" s="26">
        <f t="shared" ca="1" si="100"/>
        <v>0</v>
      </c>
      <c r="AZ54" s="26">
        <f t="shared" ca="1" si="100"/>
        <v>0</v>
      </c>
      <c r="BA54" s="26">
        <f t="shared" ca="1" si="100"/>
        <v>0</v>
      </c>
      <c r="BB54" s="26">
        <f t="shared" ca="1" si="100"/>
        <v>0</v>
      </c>
      <c r="BC54" s="26">
        <f t="shared" ca="1" si="100"/>
        <v>0</v>
      </c>
      <c r="BD54" s="26">
        <f t="shared" ca="1" si="100"/>
        <v>0</v>
      </c>
      <c r="BE54" s="26">
        <f t="shared" ca="1" si="100"/>
        <v>0</v>
      </c>
      <c r="BF54" s="26">
        <f t="shared" ca="1" si="100"/>
        <v>0</v>
      </c>
      <c r="BG54" s="26">
        <f t="shared" ca="1" si="100"/>
        <v>0</v>
      </c>
      <c r="BH54" s="26">
        <f t="shared" ca="1" si="100"/>
        <v>0</v>
      </c>
      <c r="BI54" s="26">
        <f t="shared" ca="1" si="100"/>
        <v>0</v>
      </c>
      <c r="BJ54" s="26">
        <f t="shared" ca="1" si="100"/>
        <v>0</v>
      </c>
      <c r="BK54" s="26">
        <f t="shared" ca="1" si="100"/>
        <v>0</v>
      </c>
      <c r="BL54" s="26">
        <f t="shared" ca="1" si="100"/>
        <v>0</v>
      </c>
      <c r="BM54" s="26">
        <f t="shared" ca="1" si="100"/>
        <v>0</v>
      </c>
      <c r="BN54" s="26">
        <f t="shared" ca="1" si="100"/>
        <v>0</v>
      </c>
      <c r="BO54" s="26">
        <f t="shared" ca="1" si="100"/>
        <v>0</v>
      </c>
      <c r="BP54" s="26">
        <f t="shared" ca="1" si="100"/>
        <v>0</v>
      </c>
      <c r="BQ54" s="26">
        <f t="shared" ca="1" si="100"/>
        <v>0</v>
      </c>
      <c r="BR54" s="26">
        <f t="shared" ca="1" si="100"/>
        <v>0</v>
      </c>
      <c r="BS54" s="282">
        <f ca="1">IF(ISNUMBER($A50),IF(INDEX(B52:G52,5)&lt;&gt;0,SIGN(INDEX(B52:G52,5))*INDIRECT(ADDRESS(1+ABS(INDEX(B52:G52,5)),COLUMN(Ksys!$B$1),1,TRUE,"Ksys")),0)+AB54,0)</f>
        <v>0</v>
      </c>
      <c r="BT54" s="61">
        <f ca="1"/>
        <v>0</v>
      </c>
      <c r="BU54" s="61">
        <f ca="1"/>
        <v>0</v>
      </c>
      <c r="BV54" s="61">
        <f ca="1"/>
        <v>0</v>
      </c>
      <c r="BW54" s="296" t="s">
        <v>102</v>
      </c>
      <c r="BX54" s="216">
        <f ca="1">IF(ISNUMBER($A50),$B51*(1-BX$1) + $C51*BX$1 + Knoten!$S$5*BX52,KnotenData!$H$2)</f>
        <v>0.5</v>
      </c>
      <c r="BY54" s="206">
        <f ca="1">IF(ISNUMBER($A50),$B51*(1-BY$1) + $C51*BY$1 + Knoten!$S$5*BY52,KnotenData!$H$2)</f>
        <v>0.5</v>
      </c>
      <c r="BZ54" s="206">
        <f ca="1">IF(ISNUMBER($A50),$B51*(1-BZ$1) + $C51*BZ$1 + Knoten!$S$5*BZ52,KnotenData!$H$2)</f>
        <v>0.5</v>
      </c>
      <c r="CA54" s="206">
        <f ca="1">IF(ISNUMBER($A50),$B51*(1-CA$1) + $C51*CA$1 + Knoten!$S$5*CA52,KnotenData!$H$2)</f>
        <v>0.5</v>
      </c>
      <c r="CB54" s="206">
        <f ca="1">IF(ISNUMBER($A50),$B51*(1-CB$1) + $C51*CB$1 + Knoten!$S$5*CB52,KnotenData!$H$2)</f>
        <v>0.5</v>
      </c>
      <c r="CC54" s="206">
        <f ca="1">IF(ISNUMBER($A50),$B51*(1-CC$1) + $C51*CC$1 + Knoten!$S$5*CC52,KnotenData!$H$2)</f>
        <v>0.5</v>
      </c>
      <c r="CD54" s="206">
        <f ca="1">IF(ISNUMBER($A50),$B51*(1-CD$1) + $C51*CD$1 + Knoten!$S$5*CD52,KnotenData!$H$2)</f>
        <v>0.5</v>
      </c>
      <c r="CE54" s="206">
        <f ca="1">IF(ISNUMBER($A50),$B51*(1-CE$1) + $C51*CE$1 + Knoten!$S$5*CE52,KnotenData!$H$2)</f>
        <v>0.5</v>
      </c>
      <c r="CF54" s="206">
        <f ca="1">IF(ISNUMBER($A50),$B51*(1-CF$1) + $C51*CF$1 + Knoten!$S$5*CF52,KnotenData!$H$2)</f>
        <v>0.5</v>
      </c>
      <c r="CG54" s="206">
        <f ca="1">IF(ISNUMBER($A50),$B51*(1-CG$1) + $C51*CG$1 + Knoten!$S$5*CG52,KnotenData!$H$2)</f>
        <v>0.5</v>
      </c>
      <c r="CH54" s="217">
        <f ca="1">IF(ISNUMBER($A50),$B51*(1-CH$1) + $C51*CH$1 + Knoten!$S$5*CH52,KnotenData!$H$2)</f>
        <v>0.5</v>
      </c>
      <c r="CI54" s="447">
        <f ca="1">MIN(BX54:CH54)</f>
        <v>0.5</v>
      </c>
      <c r="CJ54" s="447">
        <f ca="1">MIN(BX55:CH55)</f>
        <v>0.47499999999999998</v>
      </c>
      <c r="CK54" s="445"/>
      <c r="CL54" s="12"/>
      <c r="CM54" s="293" t="s">
        <v>102</v>
      </c>
      <c r="CN54" s="216">
        <f ca="1">IF(ISNUMBER($A50),$B51*(1-CN$1) + $C51*CN$1 + Momente!$D$6*CN52,KnotenData!$H$2)</f>
        <v>0.5</v>
      </c>
      <c r="CO54" s="206">
        <f ca="1">IF(ISNUMBER($A50),$B51*(1-CO$1) + $C51*CO$1 + Momente!$D$6*CO52,KnotenData!$H$2)</f>
        <v>0.5</v>
      </c>
      <c r="CP54" s="206">
        <f ca="1">IF(ISNUMBER($A50),$B51*(1-CP$1) + $C51*CP$1 + Momente!$D$6*CP52,KnotenData!$H$2)</f>
        <v>0.5</v>
      </c>
      <c r="CQ54" s="206">
        <f ca="1">IF(ISNUMBER($A50),$B51*(1-CQ$1) + $C51*CQ$1 + Momente!$D$6*CQ52,KnotenData!$H$2)</f>
        <v>0.5</v>
      </c>
      <c r="CR54" s="206">
        <f ca="1">IF(ISNUMBER($A50),$B51*(1-CR$1) + $C51*CR$1 + Momente!$D$6*CR52,KnotenData!$H$2)</f>
        <v>0.5</v>
      </c>
      <c r="CS54" s="206">
        <f ca="1">IF(ISNUMBER($A50),$B51*(1-CS$1) + $C51*CS$1 + Momente!$D$6*CS52,KnotenData!$H$2)</f>
        <v>0.5</v>
      </c>
      <c r="CT54" s="206">
        <f ca="1">IF(ISNUMBER($A50),$B51*(1-CT$1) + $C51*CT$1 + Momente!$D$6*CT52,KnotenData!$H$2)</f>
        <v>0.5</v>
      </c>
      <c r="CU54" s="206">
        <f ca="1">IF(ISNUMBER($A50),$B51*(1-CU$1) + $C51*CU$1 + Momente!$D$6*CU52,KnotenData!$H$2)</f>
        <v>0.5</v>
      </c>
      <c r="CV54" s="206">
        <f ca="1">IF(ISNUMBER($A50),$B51*(1-CV$1) + $C51*CV$1 + Momente!$D$6*CV52,KnotenData!$H$2)</f>
        <v>0.5</v>
      </c>
      <c r="CW54" s="206">
        <f ca="1">IF(ISNUMBER($A50),$B51*(1-CW$1) + $C51*CW$1 + Momente!$D$6*CW52,KnotenData!$H$2)</f>
        <v>0.5</v>
      </c>
      <c r="CX54" s="206">
        <f ca="1">IF(ISNUMBER($A50),$B51*(1-CX$1) + $C51*CX$1 + Momente!$D$6*CX52,KnotenData!$H$2)</f>
        <v>0.5</v>
      </c>
      <c r="CY54" s="206">
        <f ca="1">IF(ISNUMBER($A50),$C51,KnotenData!$H$2)</f>
        <v>0.5</v>
      </c>
      <c r="CZ54" s="206">
        <f ca="1">IF(ISNUMBER($A50),$B51,KnotenData!$H$2)</f>
        <v>0.5</v>
      </c>
      <c r="DA54" s="305">
        <f ca="1">IF(ISNUMBER($A50),CN54,KnotenData!$H$2)</f>
        <v>0.5</v>
      </c>
      <c r="DB54" s="7">
        <f ca="1">MIN(CN54:DA54)</f>
        <v>0.5</v>
      </c>
      <c r="DC54" s="8">
        <f ca="1">MIN(CN55:DA55)</f>
        <v>0.47499999999999998</v>
      </c>
      <c r="DD54" s="345"/>
      <c r="DE54" s="12"/>
      <c r="DF54" s="293" t="s">
        <v>102</v>
      </c>
      <c r="DG54" s="216">
        <f ca="1">IF(ISNUMBER($A50),$B51*(1-DG$1) + $C51*DG$1 + Querkräfte!$D$6*DG52,KnotenData!$H$2)</f>
        <v>0.5</v>
      </c>
      <c r="DH54" s="206">
        <f ca="1">IF(ISNUMBER($A50),$B51*(1-DH$1) + $C51*DH$1 + Querkräfte!$D$6*DH52,KnotenData!$H$2)</f>
        <v>0.5</v>
      </c>
      <c r="DI54" s="206">
        <f ca="1">IF(ISNUMBER($A50),$B51*(1-DI$1) + $C51*DI$1 + Querkräfte!$D$6*DI52,KnotenData!$H$2)</f>
        <v>0.5</v>
      </c>
      <c r="DJ54" s="206">
        <f ca="1">IF(ISNUMBER($A50),$B51*(1-DJ$1) + $C51*DJ$1 + Querkräfte!$D$6*DJ52,KnotenData!$H$2)</f>
        <v>0.5</v>
      </c>
      <c r="DK54" s="206">
        <f ca="1">IF(ISNUMBER($A50),$B51*(1-DK$1) + $C51*DK$1 + Querkräfte!$D$6*DK52,KnotenData!$H$2)</f>
        <v>0.5</v>
      </c>
      <c r="DL54" s="206">
        <f ca="1">IF(ISNUMBER($A50),$B51*(1-DL$1) + $C51*DL$1 + Querkräfte!$D$6*DL52,KnotenData!$H$2)</f>
        <v>0.5</v>
      </c>
      <c r="DM54" s="206">
        <f ca="1">IF(ISNUMBER($A50),$B51*(1-DM$1) + $C51*DM$1 + Querkräfte!$D$6*DM52,KnotenData!$H$2)</f>
        <v>0.5</v>
      </c>
      <c r="DN54" s="206">
        <f ca="1">IF(ISNUMBER($A50),$B51*(1-DN$1) + $C51*DN$1 + Querkräfte!$D$6*DN52,KnotenData!$H$2)</f>
        <v>0.5</v>
      </c>
      <c r="DO54" s="206">
        <f ca="1">IF(ISNUMBER($A50),$B51*(1-DO$1) + $C51*DO$1 + Querkräfte!$D$6*DO52,KnotenData!$H$2)</f>
        <v>0.5</v>
      </c>
      <c r="DP54" s="206">
        <f ca="1">IF(ISNUMBER($A50),$B51*(1-DP$1) + $C51*DP$1 + Querkräfte!$D$6*DP52,KnotenData!$H$2)</f>
        <v>0.5</v>
      </c>
      <c r="DQ54" s="206">
        <f ca="1">IF(ISNUMBER($A50),$B51*(1-DQ$1) + $C51*DQ$1 + Querkräfte!$D$6*DQ52,KnotenData!$H$2)</f>
        <v>0.5</v>
      </c>
      <c r="DR54" s="206">
        <f ca="1">IF(ISNUMBER($A50),$C51,KnotenData!$H$2)</f>
        <v>0.5</v>
      </c>
      <c r="DS54" s="206">
        <f ca="1">IF(ISNUMBER($A50),$B51,KnotenData!$H$2)</f>
        <v>0.5</v>
      </c>
      <c r="DT54" s="217">
        <f ca="1">IF(ISNUMBER($A50),DG54,KnotenData!$H$2)</f>
        <v>0.5</v>
      </c>
      <c r="DU54" s="145">
        <f ca="1">MIN(DG54:DQ54)</f>
        <v>0.5</v>
      </c>
      <c r="DV54" s="8">
        <f ca="1">MIN(DG55:DQ55)</f>
        <v>0.47499999999999998</v>
      </c>
      <c r="DW54" s="345"/>
      <c r="DX54" s="12"/>
      <c r="DY54" s="293" t="s">
        <v>102</v>
      </c>
      <c r="DZ54" s="216">
        <f ca="1">IF(ISNUMBER($A50),$B51*(1-DZ$1) + $C51*DZ$1 + Normalkräfte!$D$6*DZ52,KnotenData!$H$2)</f>
        <v>0.5</v>
      </c>
      <c r="EA54" s="206">
        <f ca="1">IF(ISNUMBER($A50),$B51*(1-EA$1) + $C51*EA$1 + Normalkräfte!$D$6*EA52,KnotenData!$H$2)</f>
        <v>0.5</v>
      </c>
      <c r="EB54" s="206">
        <f ca="1">IF(ISNUMBER($A50),$B51*(1-EB$1) + $C51*EB$1 + Normalkräfte!$D$6*EB52,KnotenData!$H$2)</f>
        <v>0.5</v>
      </c>
      <c r="EC54" s="206">
        <f ca="1">IF(ISNUMBER($A50),$B51*(1-EC$1) + $C51*EC$1 + Normalkräfte!$D$6*EC52,KnotenData!$H$2)</f>
        <v>0.5</v>
      </c>
      <c r="ED54" s="206">
        <f ca="1">IF(ISNUMBER($A50),$B51*(1-ED$1) + $C51*ED$1 + Normalkräfte!$D$6*ED52,KnotenData!$H$2)</f>
        <v>0.5</v>
      </c>
      <c r="EE54" s="206">
        <f ca="1">IF(ISNUMBER($A50),$B51*(1-EE$1) + $C51*EE$1 + Normalkräfte!$D$6*EE52,KnotenData!$H$2)</f>
        <v>0.5</v>
      </c>
      <c r="EF54" s="206">
        <f ca="1">IF(ISNUMBER($A50),$B51*(1-EF$1) + $C51*EF$1 + Normalkräfte!$D$6*EF52,KnotenData!$H$2)</f>
        <v>0.5</v>
      </c>
      <c r="EG54" s="206">
        <f ca="1">IF(ISNUMBER($A50),$B51*(1-EG$1) + $C51*EG$1 + Normalkräfte!$D$6*EG52,KnotenData!$H$2)</f>
        <v>0.5</v>
      </c>
      <c r="EH54" s="206">
        <f ca="1">IF(ISNUMBER($A50),$B51*(1-EH$1) + $C51*EH$1 + Normalkräfte!$D$6*EH52,KnotenData!$H$2)</f>
        <v>0.5</v>
      </c>
      <c r="EI54" s="206">
        <f ca="1">IF(ISNUMBER($A50),$B51*(1-EI$1) + $C51*EI$1 + Normalkräfte!$D$6*EI52,KnotenData!$H$2)</f>
        <v>0.5</v>
      </c>
      <c r="EJ54" s="206">
        <f ca="1">IF(ISNUMBER($A50),$B51*(1-EJ$1) + $C51*EJ$1 + Normalkräfte!$D$6*EJ52,KnotenData!$H$2)</f>
        <v>0.5</v>
      </c>
      <c r="EK54" s="256">
        <f ca="1">IF(ISNUMBER($A50),$C51,KnotenData!$H$2)</f>
        <v>0.5</v>
      </c>
      <c r="EL54" s="206">
        <f ca="1">IF(ISNUMBER($A50),$B51,KnotenData!$H$2)</f>
        <v>0.5</v>
      </c>
      <c r="EM54" s="217">
        <f ca="1">IF(ISNUMBER($A50),DZ54,KnotenData!$H$2)</f>
        <v>0.5</v>
      </c>
      <c r="EN54" s="7">
        <f ca="1">MIN(DZ54:EJ54)</f>
        <v>0.5</v>
      </c>
      <c r="EO54" s="8">
        <f ca="1">MIN(DZ55:EJ55)</f>
        <v>0.47499999999999998</v>
      </c>
      <c r="EP54" s="345"/>
    </row>
    <row r="55" spans="1:146" ht="13.5" thickBot="1" x14ac:dyDescent="0.25">
      <c r="E55" s="12"/>
      <c r="F55" s="12"/>
      <c r="J55" s="9">
        <v>0</v>
      </c>
      <c r="K55" s="10">
        <f ca="1">IF(G50=1,-6*B50/D50^2,IF(G50="2a",-3*B50/D50^2,IF(G50="2b",0,0)))</f>
        <v>0</v>
      </c>
      <c r="L55" s="146">
        <f ca="1">IF(G50=1,2*B50/D50,IF(G50="2a",0,IF(G50="2b",0,0)))</f>
        <v>0</v>
      </c>
      <c r="M55" s="9">
        <v>0</v>
      </c>
      <c r="N55" s="10">
        <f ca="1">-K55</f>
        <v>0</v>
      </c>
      <c r="O55" s="181">
        <f ca="1">IF(G50=1,4*B50/D50,IF(G50="2a",3*B50/D50,IF(G50="2b",0,0)))</f>
        <v>0</v>
      </c>
      <c r="P55" s="185">
        <v>0</v>
      </c>
      <c r="Q55" s="103">
        <v>0</v>
      </c>
      <c r="R55" s="103">
        <v>0</v>
      </c>
      <c r="S55" s="111">
        <v>0</v>
      </c>
      <c r="T55" s="111">
        <v>0</v>
      </c>
      <c r="U55" s="112">
        <v>1</v>
      </c>
      <c r="V55" s="9">
        <f ca="1"/>
        <v>0</v>
      </c>
      <c r="W55" s="10">
        <f ca="1"/>
        <v>0</v>
      </c>
      <c r="X55" s="146">
        <f ca="1"/>
        <v>0</v>
      </c>
      <c r="Y55" s="9">
        <f ca="1"/>
        <v>0</v>
      </c>
      <c r="Z55" s="10">
        <f ca="1"/>
        <v>0</v>
      </c>
      <c r="AA55" s="181">
        <f ca="1"/>
        <v>0</v>
      </c>
      <c r="AB55" s="62">
        <f ca="1">IF(ISNUMBER($A50),INDIRECT("System!" &amp; ADDRESS(A50+1,COLUMN(System!X49))),0)</f>
        <v>0</v>
      </c>
      <c r="AC55" s="302">
        <f ca="1">IF(G50=1,F50*D50^2/12,IF(G50="2a",F50*D50^2/8,IF(G50="2b",0,0)))</f>
        <v>0</v>
      </c>
      <c r="AD55" s="62">
        <f ca="1"/>
        <v>0</v>
      </c>
      <c r="AE55" s="9">
        <f t="shared" ref="AE55:BR55" ca="1" si="101">IF(ABS($G52)=AE$1,SIGN($G52),0)</f>
        <v>0</v>
      </c>
      <c r="AF55" s="10">
        <f t="shared" ca="1" si="101"/>
        <v>0</v>
      </c>
      <c r="AG55" s="10">
        <f t="shared" ca="1" si="101"/>
        <v>0</v>
      </c>
      <c r="AH55" s="10">
        <f t="shared" ca="1" si="101"/>
        <v>0</v>
      </c>
      <c r="AI55" s="10">
        <f t="shared" ca="1" si="101"/>
        <v>0</v>
      </c>
      <c r="AJ55" s="188">
        <f t="shared" ca="1" si="101"/>
        <v>0</v>
      </c>
      <c r="AK55" s="188">
        <f t="shared" ca="1" si="101"/>
        <v>0</v>
      </c>
      <c r="AL55" s="188">
        <f t="shared" ca="1" si="101"/>
        <v>0</v>
      </c>
      <c r="AM55" s="188">
        <f t="shared" ca="1" si="101"/>
        <v>0</v>
      </c>
      <c r="AN55" s="188">
        <f t="shared" ca="1" si="101"/>
        <v>0</v>
      </c>
      <c r="AO55" s="188">
        <f t="shared" ca="1" si="101"/>
        <v>0</v>
      </c>
      <c r="AP55" s="188">
        <f t="shared" ca="1" si="101"/>
        <v>0</v>
      </c>
      <c r="AQ55" s="188">
        <f t="shared" ca="1" si="101"/>
        <v>0</v>
      </c>
      <c r="AR55" s="188">
        <f t="shared" ca="1" si="101"/>
        <v>0</v>
      </c>
      <c r="AS55" s="188">
        <f t="shared" ca="1" si="101"/>
        <v>0</v>
      </c>
      <c r="AT55" s="188">
        <f t="shared" ca="1" si="101"/>
        <v>0</v>
      </c>
      <c r="AU55" s="188">
        <f t="shared" ca="1" si="101"/>
        <v>0</v>
      </c>
      <c r="AV55" s="188">
        <f t="shared" ca="1" si="101"/>
        <v>0</v>
      </c>
      <c r="AW55" s="188">
        <f t="shared" ca="1" si="101"/>
        <v>0</v>
      </c>
      <c r="AX55" s="188">
        <f t="shared" ca="1" si="101"/>
        <v>0</v>
      </c>
      <c r="AY55" s="188">
        <f t="shared" ca="1" si="101"/>
        <v>0</v>
      </c>
      <c r="AZ55" s="188">
        <f t="shared" ca="1" si="101"/>
        <v>0</v>
      </c>
      <c r="BA55" s="188">
        <f t="shared" ca="1" si="101"/>
        <v>0</v>
      </c>
      <c r="BB55" s="188">
        <f t="shared" ca="1" si="101"/>
        <v>0</v>
      </c>
      <c r="BC55" s="188">
        <f t="shared" ca="1" si="101"/>
        <v>0</v>
      </c>
      <c r="BD55" s="188">
        <f t="shared" ca="1" si="101"/>
        <v>0</v>
      </c>
      <c r="BE55" s="188">
        <f t="shared" ca="1" si="101"/>
        <v>0</v>
      </c>
      <c r="BF55" s="188">
        <f t="shared" ca="1" si="101"/>
        <v>0</v>
      </c>
      <c r="BG55" s="188">
        <f t="shared" ca="1" si="101"/>
        <v>0</v>
      </c>
      <c r="BH55" s="188">
        <f t="shared" ca="1" si="101"/>
        <v>0</v>
      </c>
      <c r="BI55" s="188">
        <f t="shared" ca="1" si="101"/>
        <v>0</v>
      </c>
      <c r="BJ55" s="188">
        <f t="shared" ca="1" si="101"/>
        <v>0</v>
      </c>
      <c r="BK55" s="188">
        <f t="shared" ca="1" si="101"/>
        <v>0</v>
      </c>
      <c r="BL55" s="188">
        <f t="shared" ca="1" si="101"/>
        <v>0</v>
      </c>
      <c r="BM55" s="188">
        <f t="shared" ca="1" si="101"/>
        <v>0</v>
      </c>
      <c r="BN55" s="188">
        <f t="shared" ca="1" si="101"/>
        <v>0</v>
      </c>
      <c r="BO55" s="188">
        <f t="shared" ca="1" si="101"/>
        <v>0</v>
      </c>
      <c r="BP55" s="188">
        <f t="shared" ca="1" si="101"/>
        <v>0</v>
      </c>
      <c r="BQ55" s="188">
        <f t="shared" ca="1" si="101"/>
        <v>0</v>
      </c>
      <c r="BR55" s="188">
        <f t="shared" ca="1" si="101"/>
        <v>0</v>
      </c>
      <c r="BS55" s="283">
        <f ca="1">IF(ISNUMBER($A50),IF(INDEX(B52:G52,6)&lt;&gt;0,SIGN(INDEX(B52:G52,6))*INDIRECT(ADDRESS(1+ABS(INDEX(B52:G52,6)),COLUMN(Ksys!$B$1),1,TRUE,"Ksys")),0)+AB55,0)</f>
        <v>0</v>
      </c>
      <c r="BT55" s="62">
        <f ca="1"/>
        <v>0</v>
      </c>
      <c r="BU55" s="62">
        <f ca="1"/>
        <v>0</v>
      </c>
      <c r="BV55" s="62">
        <f ca="1"/>
        <v>0</v>
      </c>
      <c r="BW55" s="297" t="s">
        <v>103</v>
      </c>
      <c r="BX55" s="218">
        <f ca="1">IF(ISNUMBER($A50),$D51*(1-BX$1) + $E51*BX$1 + Knoten!$S$5*BX53,KnotenData!$H$3)</f>
        <v>0.47499999999999998</v>
      </c>
      <c r="BY55" s="295">
        <f ca="1">IF(ISNUMBER($A50),$D51*(1-BY$1) + $E51*BY$1 + Knoten!$S$5*BY53,KnotenData!$H$3)</f>
        <v>0.47499999999999998</v>
      </c>
      <c r="BZ55" s="295">
        <f ca="1">IF(ISNUMBER($A50),$D51*(1-BZ$1) + $E51*BZ$1 + Knoten!$S$5*BZ53,KnotenData!$H$3)</f>
        <v>0.47499999999999998</v>
      </c>
      <c r="CA55" s="295">
        <f ca="1">IF(ISNUMBER($A50),$D51*(1-CA$1) + $E51*CA$1 + Knoten!$S$5*CA53,KnotenData!$H$3)</f>
        <v>0.47499999999999998</v>
      </c>
      <c r="CB55" s="295">
        <f ca="1">IF(ISNUMBER($A50),$D51*(1-CB$1) + $E51*CB$1 + Knoten!$S$5*CB53,KnotenData!$H$3)</f>
        <v>0.47499999999999998</v>
      </c>
      <c r="CC55" s="295">
        <f ca="1">IF(ISNUMBER($A50),$D51*(1-CC$1) + $E51*CC$1 + Knoten!$S$5*CC53,KnotenData!$H$3)</f>
        <v>0.47499999999999998</v>
      </c>
      <c r="CD55" s="295">
        <f ca="1">IF(ISNUMBER($A50),$D51*(1-CD$1) + $E51*CD$1 + Knoten!$S$5*CD53,KnotenData!$H$3)</f>
        <v>0.47499999999999998</v>
      </c>
      <c r="CE55" s="295">
        <f ca="1">IF(ISNUMBER($A50),$D51*(1-CE$1) + $E51*CE$1 + Knoten!$S$5*CE53,KnotenData!$H$3)</f>
        <v>0.47499999999999998</v>
      </c>
      <c r="CF55" s="295">
        <f ca="1">IF(ISNUMBER($A50),$D51*(1-CF$1) + $E51*CF$1 + Knoten!$S$5*CF53,KnotenData!$H$3)</f>
        <v>0.47499999999999998</v>
      </c>
      <c r="CG55" s="295">
        <f ca="1">IF(ISNUMBER($A50),$D51*(1-CG$1) + $E51*CG$1 + Knoten!$S$5*CG53,KnotenData!$H$3)</f>
        <v>0.47499999999999998</v>
      </c>
      <c r="CH55" s="219">
        <f ca="1">IF(ISNUMBER($A50),$D51*(1-CH$1) + $E51*CH$1 + Knoten!$S$5*CH53,KnotenData!$H$3)</f>
        <v>0.47499999999999998</v>
      </c>
      <c r="CI55" s="449">
        <f ca="1">MAX(BX54:CH54)</f>
        <v>0.5</v>
      </c>
      <c r="CJ55" s="448">
        <f ca="1">MAX(BX55:CH55)</f>
        <v>0.47499999999999998</v>
      </c>
      <c r="CK55" s="446"/>
      <c r="CL55" s="12">
        <v>9</v>
      </c>
      <c r="CM55" s="294" t="s">
        <v>103</v>
      </c>
      <c r="CN55" s="218">
        <f ca="1">IF(ISNUMBER($A50),$D51*(1-CN$1) + $E51*CN$1 + Momente!$D$6*CN53,KnotenData!$H$3)</f>
        <v>0.47499999999999998</v>
      </c>
      <c r="CO55" s="295">
        <f ca="1">IF(ISNUMBER($A50),$D51*(1-CO$1) + $E51*CO$1 + Momente!$D$6*CO53,KnotenData!$H$3)</f>
        <v>0.47499999999999998</v>
      </c>
      <c r="CP55" s="295">
        <f ca="1">IF(ISNUMBER($A50),$D51*(1-CP$1) + $E51*CP$1 + Momente!$D$6*CP53,KnotenData!$H$3)</f>
        <v>0.47499999999999998</v>
      </c>
      <c r="CQ55" s="295">
        <f ca="1">IF(ISNUMBER($A50),$D51*(1-CQ$1) + $E51*CQ$1 + Momente!$D$6*CQ53,KnotenData!$H$3)</f>
        <v>0.47499999999999998</v>
      </c>
      <c r="CR55" s="295">
        <f ca="1">IF(ISNUMBER($A50),$D51*(1-CR$1) + $E51*CR$1 + Momente!$D$6*CR53,KnotenData!$H$3)</f>
        <v>0.47499999999999998</v>
      </c>
      <c r="CS55" s="295">
        <f ca="1">IF(ISNUMBER($A50),$D51*(1-CS$1) + $E51*CS$1 + Momente!$D$6*CS53,KnotenData!$H$3)</f>
        <v>0.47499999999999998</v>
      </c>
      <c r="CT55" s="295">
        <f ca="1">IF(ISNUMBER($A50),$D51*(1-CT$1) + $E51*CT$1 + Momente!$D$6*CT53,KnotenData!$H$3)</f>
        <v>0.47499999999999998</v>
      </c>
      <c r="CU55" s="295">
        <f ca="1">IF(ISNUMBER($A50),$D51*(1-CU$1) + $E51*CU$1 + Momente!$D$6*CU53,KnotenData!$H$3)</f>
        <v>0.47499999999999998</v>
      </c>
      <c r="CV55" s="295">
        <f ca="1">IF(ISNUMBER($A50),$D51*(1-CV$1) + $E51*CV$1 + Momente!$D$6*CV53,KnotenData!$H$3)</f>
        <v>0.47499999999999998</v>
      </c>
      <c r="CW55" s="295">
        <f ca="1">IF(ISNUMBER($A50),$D51*(1-CW$1) + $E51*CW$1 + Momente!$D$6*CW53,KnotenData!$H$3)</f>
        <v>0.47499999999999998</v>
      </c>
      <c r="CX55" s="295">
        <f ca="1">IF(ISNUMBER($A50),$D51*(1-CX$1) + $E51*CX$1 + Momente!$D$6*CX53,KnotenData!$H$3)</f>
        <v>0.47499999999999998</v>
      </c>
      <c r="CY55" s="295">
        <f ca="1">IF(ISNUMBER($A50),$E51,KnotenData!$H$3)</f>
        <v>0.47499999999999998</v>
      </c>
      <c r="CZ55" s="295">
        <f ca="1">IF(ISNUMBER($A50),$D51,KnotenData!$H$3)</f>
        <v>0.47499999999999998</v>
      </c>
      <c r="DA55" s="306">
        <f ca="1">IF(ISNUMBER($A50),CN55,KnotenData!$H$3)</f>
        <v>0.47499999999999998</v>
      </c>
      <c r="DB55" s="9">
        <f ca="1">MAX(CN54:DA54)</f>
        <v>0.5</v>
      </c>
      <c r="DC55" s="146">
        <f ca="1">MAX(CN55:DA55)</f>
        <v>0.47499999999999998</v>
      </c>
      <c r="DD55" s="346"/>
      <c r="DE55" s="12">
        <v>9</v>
      </c>
      <c r="DF55" s="294" t="s">
        <v>103</v>
      </c>
      <c r="DG55" s="218">
        <f ca="1">IF(ISNUMBER($A50),$D51*(1-DG$1) + $E51*DG$1 + Querkräfte!$D$6*DG53,KnotenData!$H$3)</f>
        <v>0.47499999999999998</v>
      </c>
      <c r="DH55" s="295">
        <f ca="1">IF(ISNUMBER($A50),$D51*(1-DH$1) + $E51*DH$1 + Querkräfte!$D$6*DH53,KnotenData!$H$3)</f>
        <v>0.47499999999999998</v>
      </c>
      <c r="DI55" s="295">
        <f ca="1">IF(ISNUMBER($A50),$D51*(1-DI$1) + $E51*DI$1 + Querkräfte!$D$6*DI53,KnotenData!$H$3)</f>
        <v>0.47499999999999998</v>
      </c>
      <c r="DJ55" s="295">
        <f ca="1">IF(ISNUMBER($A50),$D51*(1-DJ$1) + $E51*DJ$1 + Querkräfte!$D$6*DJ53,KnotenData!$H$3)</f>
        <v>0.47499999999999998</v>
      </c>
      <c r="DK55" s="295">
        <f ca="1">IF(ISNUMBER($A50),$D51*(1-DK$1) + $E51*DK$1 + Querkräfte!$D$6*DK53,KnotenData!$H$3)</f>
        <v>0.47499999999999998</v>
      </c>
      <c r="DL55" s="295">
        <f ca="1">IF(ISNUMBER($A50),$D51*(1-DL$1) + $E51*DL$1 + Querkräfte!$D$6*DL53,KnotenData!$H$3)</f>
        <v>0.47499999999999998</v>
      </c>
      <c r="DM55" s="295">
        <f ca="1">IF(ISNUMBER($A50),$D51*(1-DM$1) + $E51*DM$1 + Querkräfte!$D$6*DM53,KnotenData!$H$3)</f>
        <v>0.47499999999999998</v>
      </c>
      <c r="DN55" s="295">
        <f ca="1">IF(ISNUMBER($A50),$D51*(1-DN$1) + $E51*DN$1 + Querkräfte!$D$6*DN53,KnotenData!$H$3)</f>
        <v>0.47499999999999998</v>
      </c>
      <c r="DO55" s="295">
        <f ca="1">IF(ISNUMBER($A50),$D51*(1-DO$1) + $E51*DO$1 + Querkräfte!$D$6*DO53,KnotenData!$H$3)</f>
        <v>0.47499999999999998</v>
      </c>
      <c r="DP55" s="295">
        <f ca="1">IF(ISNUMBER($A50),$D51*(1-DP$1) + $E51*DP$1 + Querkräfte!$D$6*DP53,KnotenData!$H$3)</f>
        <v>0.47499999999999998</v>
      </c>
      <c r="DQ55" s="295">
        <f ca="1">IF(ISNUMBER($A50),$D51*(1-DQ$1) + $E51*DQ$1 + Querkräfte!$D$6*DQ53,KnotenData!$H$3)</f>
        <v>0.47499999999999998</v>
      </c>
      <c r="DR55" s="295">
        <f ca="1">IF(ISNUMBER($A50),$E51,KnotenData!$H$3)</f>
        <v>0.47499999999999998</v>
      </c>
      <c r="DS55" s="295">
        <f ca="1">IF(ISNUMBER($A50),$D51,KnotenData!$H$3)</f>
        <v>0.47499999999999998</v>
      </c>
      <c r="DT55" s="219">
        <f ca="1">IF(ISNUMBER($A50),DG55,KnotenData!$H$3)</f>
        <v>0.47499999999999998</v>
      </c>
      <c r="DU55" s="11">
        <f ca="1">MAX(DG54:DQ54)</f>
        <v>0.5</v>
      </c>
      <c r="DV55" s="146">
        <f ca="1">MAX(DG55:DQ55)</f>
        <v>0.47499999999999998</v>
      </c>
      <c r="DW55" s="346"/>
      <c r="DX55" s="12">
        <v>9</v>
      </c>
      <c r="DY55" s="294" t="s">
        <v>103</v>
      </c>
      <c r="DZ55" s="218">
        <f ca="1">IF(ISNUMBER($A50),$D51*(1-DZ$1) + $E51*DZ$1 + Normalkräfte!$D$6*DZ53,KnotenData!$H$3)</f>
        <v>0.47499999999999998</v>
      </c>
      <c r="EA55" s="295">
        <f ca="1">IF(ISNUMBER($A50),$D51*(1-EA$1) + $E51*EA$1 + Normalkräfte!$D$6*EA53,KnotenData!$H$3)</f>
        <v>0.47499999999999998</v>
      </c>
      <c r="EB55" s="295">
        <f ca="1">IF(ISNUMBER($A50),$D51*(1-EB$1) + $E51*EB$1 + Normalkräfte!$D$6*EB53,KnotenData!$H$3)</f>
        <v>0.47499999999999998</v>
      </c>
      <c r="EC55" s="295">
        <f ca="1">IF(ISNUMBER($A50),$D51*(1-EC$1) + $E51*EC$1 + Normalkräfte!$D$6*EC53,KnotenData!$H$3)</f>
        <v>0.47499999999999998</v>
      </c>
      <c r="ED55" s="295">
        <f ca="1">IF(ISNUMBER($A50),$D51*(1-ED$1) + $E51*ED$1 + Normalkräfte!$D$6*ED53,KnotenData!$H$3)</f>
        <v>0.47499999999999998</v>
      </c>
      <c r="EE55" s="295">
        <f ca="1">IF(ISNUMBER($A50),$D51*(1-EE$1) + $E51*EE$1 + Normalkräfte!$D$6*EE53,KnotenData!$H$3)</f>
        <v>0.47499999999999998</v>
      </c>
      <c r="EF55" s="295">
        <f ca="1">IF(ISNUMBER($A50),$D51*(1-EF$1) + $E51*EF$1 + Normalkräfte!$D$6*EF53,KnotenData!$H$3)</f>
        <v>0.47499999999999998</v>
      </c>
      <c r="EG55" s="295">
        <f ca="1">IF(ISNUMBER($A50),$D51*(1-EG$1) + $E51*EG$1 + Normalkräfte!$D$6*EG53,KnotenData!$H$3)</f>
        <v>0.47499999999999998</v>
      </c>
      <c r="EH55" s="295">
        <f ca="1">IF(ISNUMBER($A50),$D51*(1-EH$1) + $E51*EH$1 + Normalkräfte!$D$6*EH53,KnotenData!$H$3)</f>
        <v>0.47499999999999998</v>
      </c>
      <c r="EI55" s="295">
        <f ca="1">IF(ISNUMBER($A50),$D51*(1-EI$1) + $E51*EI$1 + Normalkräfte!$D$6*EI53,KnotenData!$H$3)</f>
        <v>0.47499999999999998</v>
      </c>
      <c r="EJ55" s="295">
        <f ca="1">IF(ISNUMBER($A50),$D51*(1-EJ$1) + $E51*EJ$1 + Normalkräfte!$D$6*EJ53,KnotenData!$H$3)</f>
        <v>0.47499999999999998</v>
      </c>
      <c r="EK55" s="295">
        <f ca="1">IF(ISNUMBER($A50),$E51,KnotenData!$H$3)</f>
        <v>0.47499999999999998</v>
      </c>
      <c r="EL55" s="295">
        <f ca="1">IF(ISNUMBER($A50),$D51,KnotenData!$H$3)</f>
        <v>0.47499999999999998</v>
      </c>
      <c r="EM55" s="219">
        <f ca="1">IF(ISNUMBER($A50),DZ55,KnotenData!$H$3)</f>
        <v>0.47499999999999998</v>
      </c>
      <c r="EN55" s="9">
        <f ca="1">MAX(DZ54:EJ54)</f>
        <v>0.5</v>
      </c>
      <c r="EO55" s="146">
        <f ca="1">MAX(DZ55:EJ55)</f>
        <v>0.47499999999999998</v>
      </c>
      <c r="EP55" s="346"/>
    </row>
    <row r="56" spans="1:146" x14ac:dyDescent="0.2">
      <c r="A56" s="205" t="str">
        <f ca="1">IF(ISNUMBER(INDIRECT("System!C" &amp;(ROW(A56)+4)/6+1)),INDIRECT("System!B"&amp;(ROW(A56)+4)/6+1),"")</f>
        <v/>
      </c>
      <c r="B56" s="206">
        <f ca="1">IF(ISNUMBER(A56),INDIRECT("System!" &amp; ADDRESS(A56 +1,COLUMN(System!E55))),0)</f>
        <v>0</v>
      </c>
      <c r="C56" s="206">
        <f ca="1">IF(ISNUMBER(A56),INDIRECT("System!" &amp; ADDRESS(A56 +1,COLUMN(System!F55))),0)</f>
        <v>0</v>
      </c>
      <c r="D56" s="209">
        <f ca="1">IF(ISNUMBER(A56),INDIRECT("System!" &amp; ADDRESS(A56 +1,COLUMN(System!O55))),0)</f>
        <v>0</v>
      </c>
      <c r="E56" s="208" t="str">
        <f ca="1">IF(ISNUMBER(A56),INDIRECT("System!" &amp; ADDRESS(A56 +1,COLUMN(System!G55))),"")</f>
        <v/>
      </c>
      <c r="F56" s="208" t="str">
        <f ca="1">IF(ISNUMBER(A56),INDIRECT("System!" &amp; ADDRESS(A56 +1,COLUMN(System!H55))),"")</f>
        <v/>
      </c>
      <c r="G56" s="261" t="str">
        <f ca="1">IF(ISNUMBER(A56),INDIRECT("System!" &amp; ADDRESS(A56 +1,COLUMN(System!I55))),"")</f>
        <v/>
      </c>
      <c r="H56" s="207">
        <f ca="1">IF(ISNUMBER($A56),INDIRECT("System!" &amp; ADDRESS($A56 +1,COLUMN(System!Q55))),0)</f>
        <v>0</v>
      </c>
      <c r="I56" s="207">
        <f ca="1">IF(ISNUMBER($A56),INDIRECT("System!" &amp; ADDRESS($A56 +1,COLUMN(System!R55))),0)</f>
        <v>0</v>
      </c>
      <c r="J56" s="179">
        <f ca="1">IF(ISNUMBER(A56),C56/D56,0)</f>
        <v>0</v>
      </c>
      <c r="K56" s="5">
        <v>0</v>
      </c>
      <c r="L56" s="6">
        <v>0</v>
      </c>
      <c r="M56" s="4">
        <f ca="1">-J56</f>
        <v>0</v>
      </c>
      <c r="N56" s="5">
        <v>0</v>
      </c>
      <c r="O56" s="6">
        <v>0</v>
      </c>
      <c r="P56" s="141">
        <f ca="1">I56</f>
        <v>0</v>
      </c>
      <c r="Q56" s="142">
        <f ca="1">-H56</f>
        <v>0</v>
      </c>
      <c r="R56" s="142">
        <v>0</v>
      </c>
      <c r="S56" s="182">
        <v>0</v>
      </c>
      <c r="T56" s="182">
        <v>0</v>
      </c>
      <c r="U56" s="183">
        <v>0</v>
      </c>
      <c r="V56" s="179">
        <f t="array" aca="1" ref="V56:AA61" ca="1">MMULT(TRANSPOSE(P56:U61),MMULT(J56:O61,P56:U61))</f>
        <v>0</v>
      </c>
      <c r="W56" s="5">
        <f ca="1"/>
        <v>0</v>
      </c>
      <c r="X56" s="6">
        <f ca="1"/>
        <v>0</v>
      </c>
      <c r="Y56" s="4">
        <f ca="1"/>
        <v>0</v>
      </c>
      <c r="Z56" s="5">
        <f ca="1"/>
        <v>0</v>
      </c>
      <c r="AA56" s="6">
        <f ca="1"/>
        <v>0</v>
      </c>
      <c r="AB56" s="60">
        <f ca="1">IF(ISNUMBER($A56),INDIRECT("System!" &amp; ADDRESS(A56+1,COLUMN(System!S55))),0)</f>
        <v>0</v>
      </c>
      <c r="AC56" s="299">
        <f ca="1">IF(ISNUMBER(E56),E56*D56/2,0)</f>
        <v>0</v>
      </c>
      <c r="AD56" s="60">
        <f t="array" aca="1" ref="AD56:AD61" ca="1">MMULT(TRANSPOSE(P56:U61),AC56:AC61) - MMULT(V56:AA61,AB56:AB61)</f>
        <v>0</v>
      </c>
      <c r="AE56" s="4">
        <f t="shared" ref="AE56:BR56" ca="1" si="102">IF(ABS($B58)=AE$1,SIGN($B58),0)</f>
        <v>0</v>
      </c>
      <c r="AF56" s="5">
        <f t="shared" ca="1" si="102"/>
        <v>0</v>
      </c>
      <c r="AG56" s="5">
        <f t="shared" ca="1" si="102"/>
        <v>0</v>
      </c>
      <c r="AH56" s="5">
        <f t="shared" ca="1" si="102"/>
        <v>0</v>
      </c>
      <c r="AI56" s="5">
        <f t="shared" ca="1" si="102"/>
        <v>0</v>
      </c>
      <c r="AJ56" s="189">
        <f t="shared" ca="1" si="102"/>
        <v>0</v>
      </c>
      <c r="AK56" s="189">
        <f t="shared" ca="1" si="102"/>
        <v>0</v>
      </c>
      <c r="AL56" s="189">
        <f t="shared" ca="1" si="102"/>
        <v>0</v>
      </c>
      <c r="AM56" s="189">
        <f t="shared" ca="1" si="102"/>
        <v>0</v>
      </c>
      <c r="AN56" s="189">
        <f t="shared" ca="1" si="102"/>
        <v>0</v>
      </c>
      <c r="AO56" s="189">
        <f t="shared" ca="1" si="102"/>
        <v>0</v>
      </c>
      <c r="AP56" s="189">
        <f t="shared" ca="1" si="102"/>
        <v>0</v>
      </c>
      <c r="AQ56" s="189">
        <f t="shared" ca="1" si="102"/>
        <v>0</v>
      </c>
      <c r="AR56" s="189">
        <f t="shared" ca="1" si="102"/>
        <v>0</v>
      </c>
      <c r="AS56" s="189">
        <f t="shared" ca="1" si="102"/>
        <v>0</v>
      </c>
      <c r="AT56" s="189">
        <f t="shared" ca="1" si="102"/>
        <v>0</v>
      </c>
      <c r="AU56" s="189">
        <f t="shared" ca="1" si="102"/>
        <v>0</v>
      </c>
      <c r="AV56" s="189">
        <f t="shared" ca="1" si="102"/>
        <v>0</v>
      </c>
      <c r="AW56" s="189">
        <f t="shared" ca="1" si="102"/>
        <v>0</v>
      </c>
      <c r="AX56" s="189">
        <f t="shared" ca="1" si="102"/>
        <v>0</v>
      </c>
      <c r="AY56" s="189">
        <f t="shared" ca="1" si="102"/>
        <v>0</v>
      </c>
      <c r="AZ56" s="189">
        <f t="shared" ca="1" si="102"/>
        <v>0</v>
      </c>
      <c r="BA56" s="189">
        <f t="shared" ca="1" si="102"/>
        <v>0</v>
      </c>
      <c r="BB56" s="189">
        <f t="shared" ca="1" si="102"/>
        <v>0</v>
      </c>
      <c r="BC56" s="189">
        <f t="shared" ca="1" si="102"/>
        <v>0</v>
      </c>
      <c r="BD56" s="189">
        <f t="shared" ca="1" si="102"/>
        <v>0</v>
      </c>
      <c r="BE56" s="189">
        <f t="shared" ca="1" si="102"/>
        <v>0</v>
      </c>
      <c r="BF56" s="189">
        <f t="shared" ca="1" si="102"/>
        <v>0</v>
      </c>
      <c r="BG56" s="189">
        <f t="shared" ca="1" si="102"/>
        <v>0</v>
      </c>
      <c r="BH56" s="189">
        <f t="shared" ca="1" si="102"/>
        <v>0</v>
      </c>
      <c r="BI56" s="189">
        <f t="shared" ca="1" si="102"/>
        <v>0</v>
      </c>
      <c r="BJ56" s="189">
        <f t="shared" ca="1" si="102"/>
        <v>0</v>
      </c>
      <c r="BK56" s="189">
        <f t="shared" ca="1" si="102"/>
        <v>0</v>
      </c>
      <c r="BL56" s="189">
        <f t="shared" ca="1" si="102"/>
        <v>0</v>
      </c>
      <c r="BM56" s="189">
        <f t="shared" ca="1" si="102"/>
        <v>0</v>
      </c>
      <c r="BN56" s="189">
        <f t="shared" ca="1" si="102"/>
        <v>0</v>
      </c>
      <c r="BO56" s="189">
        <f t="shared" ca="1" si="102"/>
        <v>0</v>
      </c>
      <c r="BP56" s="189">
        <f t="shared" ca="1" si="102"/>
        <v>0</v>
      </c>
      <c r="BQ56" s="189">
        <f t="shared" ca="1" si="102"/>
        <v>0</v>
      </c>
      <c r="BR56" s="189">
        <f t="shared" ca="1" si="102"/>
        <v>0</v>
      </c>
      <c r="BS56" s="281">
        <f ca="1">IF(ISNUMBER($A56),IF(INDEX(B58:G58,1)&lt;&gt;0,SIGN(INDEX(B58:G58,1))*INDIRECT(ADDRESS(1+ABS(INDEX(B58:G58,1)),COLUMN(Ksys!$B$1),1,TRUE,"Ksys")),0)+AB56,0)</f>
        <v>0</v>
      </c>
      <c r="BT56" s="27">
        <f t="array" aca="1" ref="BT56:BT61" ca="1">MMULT(P56:U61,BS56:BS61)</f>
        <v>0</v>
      </c>
      <c r="BU56" s="27">
        <f t="array" aca="1" ref="BU56:BU61" ca="1">MMULT(J56:O61,BT56:BT61)-AC56:AC61</f>
        <v>0</v>
      </c>
      <c r="BV56" s="27">
        <f t="array" aca="1" ref="BV56:BV58" ca="1">-(MMULT(J56:O58,BT56:BT61)-AC56:AC58)</f>
        <v>0</v>
      </c>
      <c r="BW56" s="286" t="s">
        <v>97</v>
      </c>
      <c r="BX56" s="4">
        <f t="shared" ref="BX56:CH56" ca="1" si="103">IF(ISNUMBER($A56),$BT56*(1-BX$1) + $BT59*BX$1,0)</f>
        <v>0</v>
      </c>
      <c r="BY56" s="5">
        <f t="shared" ca="1" si="103"/>
        <v>0</v>
      </c>
      <c r="BZ56" s="5">
        <f t="shared" ca="1" si="103"/>
        <v>0</v>
      </c>
      <c r="CA56" s="5">
        <f t="shared" ca="1" si="103"/>
        <v>0</v>
      </c>
      <c r="CB56" s="5">
        <f t="shared" ca="1" si="103"/>
        <v>0</v>
      </c>
      <c r="CC56" s="5">
        <f t="shared" ca="1" si="103"/>
        <v>0</v>
      </c>
      <c r="CD56" s="5">
        <f t="shared" ca="1" si="103"/>
        <v>0</v>
      </c>
      <c r="CE56" s="5">
        <f t="shared" ca="1" si="103"/>
        <v>0</v>
      </c>
      <c r="CF56" s="5">
        <f t="shared" ca="1" si="103"/>
        <v>0</v>
      </c>
      <c r="CG56" s="5">
        <f t="shared" ca="1" si="103"/>
        <v>0</v>
      </c>
      <c r="CH56" s="6">
        <f t="shared" ca="1" si="103"/>
        <v>0</v>
      </c>
      <c r="CI56" s="343"/>
      <c r="CJ56" s="343"/>
      <c r="CK56" s="308"/>
      <c r="CL56" s="12"/>
      <c r="CM56" s="290" t="s">
        <v>97</v>
      </c>
      <c r="CN56" s="4">
        <v>0</v>
      </c>
      <c r="CO56" s="5">
        <v>0</v>
      </c>
      <c r="CP56" s="5">
        <v>0</v>
      </c>
      <c r="CQ56" s="5">
        <v>0</v>
      </c>
      <c r="CR56" s="5">
        <v>0</v>
      </c>
      <c r="CS56" s="5">
        <v>0</v>
      </c>
      <c r="CT56" s="5">
        <v>0</v>
      </c>
      <c r="CU56" s="5">
        <v>0</v>
      </c>
      <c r="CV56" s="5">
        <v>0</v>
      </c>
      <c r="CW56" s="5">
        <v>0</v>
      </c>
      <c r="CX56" s="5">
        <v>0</v>
      </c>
      <c r="CY56" s="5"/>
      <c r="CZ56" s="5"/>
      <c r="DA56" s="189"/>
      <c r="DB56" s="307"/>
      <c r="DC56" s="308"/>
      <c r="DD56" s="343"/>
      <c r="DE56" s="12"/>
      <c r="DF56" s="290" t="s">
        <v>97</v>
      </c>
      <c r="DG56" s="4">
        <v>0</v>
      </c>
      <c r="DH56" s="5">
        <v>0</v>
      </c>
      <c r="DI56" s="5">
        <v>0</v>
      </c>
      <c r="DJ56" s="5">
        <v>0</v>
      </c>
      <c r="DK56" s="5">
        <v>0</v>
      </c>
      <c r="DL56" s="5">
        <v>0</v>
      </c>
      <c r="DM56" s="5">
        <v>0</v>
      </c>
      <c r="DN56" s="5">
        <v>0</v>
      </c>
      <c r="DO56" s="5">
        <v>0</v>
      </c>
      <c r="DP56" s="5">
        <v>0</v>
      </c>
      <c r="DQ56" s="5">
        <v>0</v>
      </c>
      <c r="DR56" s="5"/>
      <c r="DS56" s="5"/>
      <c r="DT56" s="6"/>
      <c r="DU56" s="325"/>
      <c r="DV56" s="308"/>
      <c r="DW56" s="343"/>
      <c r="DX56" s="12"/>
      <c r="DY56" s="290" t="s">
        <v>97</v>
      </c>
      <c r="DZ56" s="4">
        <v>0</v>
      </c>
      <c r="EA56" s="5">
        <v>0</v>
      </c>
      <c r="EB56" s="5">
        <v>0</v>
      </c>
      <c r="EC56" s="5">
        <v>0</v>
      </c>
      <c r="ED56" s="5">
        <v>0</v>
      </c>
      <c r="EE56" s="5">
        <v>0</v>
      </c>
      <c r="EF56" s="5">
        <v>0</v>
      </c>
      <c r="EG56" s="5">
        <v>0</v>
      </c>
      <c r="EH56" s="5">
        <v>0</v>
      </c>
      <c r="EI56" s="5">
        <v>0</v>
      </c>
      <c r="EJ56" s="5">
        <v>0</v>
      </c>
      <c r="EK56" s="5"/>
      <c r="EL56" s="5"/>
      <c r="EM56" s="6"/>
      <c r="EN56" s="307"/>
      <c r="EO56" s="308"/>
      <c r="EP56" s="343"/>
    </row>
    <row r="57" spans="1:146" x14ac:dyDescent="0.2">
      <c r="B57" s="1">
        <f ca="1">IF(ISNUMBER($A56),INDIRECT(ADDRESS($A56+1,COLUMN(System!K$2),1,TRUE,"System")),0)</f>
        <v>0</v>
      </c>
      <c r="C57" s="1">
        <f ca="1">IF(ISNUMBER($A56),INDIRECT(ADDRESS($A56+1,COLUMN(System!L$2),1,TRUE,"System")),0)</f>
        <v>0</v>
      </c>
      <c r="D57" s="1">
        <f ca="1">IF(ISNUMBER($A56),INDIRECT(ADDRESS($A56+1,COLUMN(System!M$2),1,TRUE,"System")),0)</f>
        <v>0</v>
      </c>
      <c r="E57" s="1">
        <f ca="1">IF(ISNUMBER($A56),INDIRECT(ADDRESS($A56+1,COLUMN(System!N$2),1,TRUE,"System")),0)</f>
        <v>0</v>
      </c>
      <c r="F57" s="12"/>
      <c r="J57" s="7">
        <v>0</v>
      </c>
      <c r="K57" s="180">
        <f ca="1">IF(G56=1,12*B56/D56^3,IF(G56="2a",3*B56/D56^3,IF(G56="2b",3*B56/D56^3,0)))</f>
        <v>0</v>
      </c>
      <c r="L57" s="8">
        <f ca="1">K58</f>
        <v>0</v>
      </c>
      <c r="M57" s="7">
        <v>0</v>
      </c>
      <c r="N57" s="1">
        <f ca="1">-K57</f>
        <v>0</v>
      </c>
      <c r="O57" s="8">
        <f ca="1">K61</f>
        <v>0</v>
      </c>
      <c r="P57" s="143">
        <f ca="1">H56</f>
        <v>0</v>
      </c>
      <c r="Q57" s="99">
        <f ca="1">I56</f>
        <v>0</v>
      </c>
      <c r="R57" s="99">
        <v>0</v>
      </c>
      <c r="S57" s="101">
        <v>0</v>
      </c>
      <c r="T57" s="101">
        <v>0</v>
      </c>
      <c r="U57" s="110">
        <v>0</v>
      </c>
      <c r="V57" s="7">
        <f ca="1"/>
        <v>0</v>
      </c>
      <c r="W57" s="180">
        <f ca="1"/>
        <v>0</v>
      </c>
      <c r="X57" s="8">
        <f ca="1"/>
        <v>0</v>
      </c>
      <c r="Y57" s="7">
        <f ca="1"/>
        <v>0</v>
      </c>
      <c r="Z57" s="1">
        <f ca="1"/>
        <v>0</v>
      </c>
      <c r="AA57" s="8">
        <f ca="1"/>
        <v>0</v>
      </c>
      <c r="AB57" s="61">
        <f ca="1">IF(ISNUMBER($A56),INDIRECT("System!" &amp; ADDRESS(A56+1,COLUMN(System!T55))),0)</f>
        <v>0</v>
      </c>
      <c r="AC57" s="301">
        <f ca="1">IF(G56=1,F56*D56/2,IF(G56="2a",F56*3/8*D56,IF(G56="2b",F56*5/8*D56,0)))</f>
        <v>0</v>
      </c>
      <c r="AD57" s="61">
        <f ca="1"/>
        <v>0</v>
      </c>
      <c r="AE57" s="7">
        <f t="shared" ref="AE57:BR57" ca="1" si="104">IF(ABS($C58)=AE$1,SIGN($C58),0)</f>
        <v>0</v>
      </c>
      <c r="AF57" s="1">
        <f t="shared" ca="1" si="104"/>
        <v>0</v>
      </c>
      <c r="AG57" s="1">
        <f t="shared" ca="1" si="104"/>
        <v>0</v>
      </c>
      <c r="AH57" s="1">
        <f t="shared" ca="1" si="104"/>
        <v>0</v>
      </c>
      <c r="AI57" s="1">
        <f t="shared" ca="1" si="104"/>
        <v>0</v>
      </c>
      <c r="AJ57" s="26">
        <f t="shared" ca="1" si="104"/>
        <v>0</v>
      </c>
      <c r="AK57" s="26">
        <f t="shared" ca="1" si="104"/>
        <v>0</v>
      </c>
      <c r="AL57" s="26">
        <f t="shared" ca="1" si="104"/>
        <v>0</v>
      </c>
      <c r="AM57" s="26">
        <f t="shared" ca="1" si="104"/>
        <v>0</v>
      </c>
      <c r="AN57" s="26">
        <f t="shared" ca="1" si="104"/>
        <v>0</v>
      </c>
      <c r="AO57" s="26">
        <f t="shared" ca="1" si="104"/>
        <v>0</v>
      </c>
      <c r="AP57" s="26">
        <f t="shared" ca="1" si="104"/>
        <v>0</v>
      </c>
      <c r="AQ57" s="26">
        <f t="shared" ca="1" si="104"/>
        <v>0</v>
      </c>
      <c r="AR57" s="26">
        <f t="shared" ca="1" si="104"/>
        <v>0</v>
      </c>
      <c r="AS57" s="26">
        <f t="shared" ca="1" si="104"/>
        <v>0</v>
      </c>
      <c r="AT57" s="26">
        <f t="shared" ca="1" si="104"/>
        <v>0</v>
      </c>
      <c r="AU57" s="26">
        <f t="shared" ca="1" si="104"/>
        <v>0</v>
      </c>
      <c r="AV57" s="26">
        <f t="shared" ca="1" si="104"/>
        <v>0</v>
      </c>
      <c r="AW57" s="26">
        <f t="shared" ca="1" si="104"/>
        <v>0</v>
      </c>
      <c r="AX57" s="26">
        <f t="shared" ca="1" si="104"/>
        <v>0</v>
      </c>
      <c r="AY57" s="26">
        <f t="shared" ca="1" si="104"/>
        <v>0</v>
      </c>
      <c r="AZ57" s="26">
        <f t="shared" ca="1" si="104"/>
        <v>0</v>
      </c>
      <c r="BA57" s="26">
        <f t="shared" ca="1" si="104"/>
        <v>0</v>
      </c>
      <c r="BB57" s="26">
        <f t="shared" ca="1" si="104"/>
        <v>0</v>
      </c>
      <c r="BC57" s="26">
        <f t="shared" ca="1" si="104"/>
        <v>0</v>
      </c>
      <c r="BD57" s="26">
        <f t="shared" ca="1" si="104"/>
        <v>0</v>
      </c>
      <c r="BE57" s="26">
        <f t="shared" ca="1" si="104"/>
        <v>0</v>
      </c>
      <c r="BF57" s="26">
        <f t="shared" ca="1" si="104"/>
        <v>0</v>
      </c>
      <c r="BG57" s="26">
        <f t="shared" ca="1" si="104"/>
        <v>0</v>
      </c>
      <c r="BH57" s="26">
        <f t="shared" ca="1" si="104"/>
        <v>0</v>
      </c>
      <c r="BI57" s="26">
        <f t="shared" ca="1" si="104"/>
        <v>0</v>
      </c>
      <c r="BJ57" s="26">
        <f t="shared" ca="1" si="104"/>
        <v>0</v>
      </c>
      <c r="BK57" s="26">
        <f t="shared" ca="1" si="104"/>
        <v>0</v>
      </c>
      <c r="BL57" s="26">
        <f t="shared" ca="1" si="104"/>
        <v>0</v>
      </c>
      <c r="BM57" s="26">
        <f t="shared" ca="1" si="104"/>
        <v>0</v>
      </c>
      <c r="BN57" s="26">
        <f t="shared" ca="1" si="104"/>
        <v>0</v>
      </c>
      <c r="BO57" s="26">
        <f t="shared" ca="1" si="104"/>
        <v>0</v>
      </c>
      <c r="BP57" s="26">
        <f t="shared" ca="1" si="104"/>
        <v>0</v>
      </c>
      <c r="BQ57" s="26">
        <f t="shared" ca="1" si="104"/>
        <v>0</v>
      </c>
      <c r="BR57" s="26">
        <f t="shared" ca="1" si="104"/>
        <v>0</v>
      </c>
      <c r="BS57" s="282">
        <f ca="1">IF(ISNUMBER($A56),IF(INDEX(B58:G58,2)&lt;&gt;0,SIGN(INDEX(B58:G58,2))*INDIRECT(ADDRESS(1+ABS(INDEX(B58:G58,2)),COLUMN(Ksys!$B$1),1,TRUE,"Ksys")),0)+AB57,0)</f>
        <v>0</v>
      </c>
      <c r="BT57" s="284">
        <f ca="1"/>
        <v>0</v>
      </c>
      <c r="BU57" s="284">
        <f ca="1"/>
        <v>0</v>
      </c>
      <c r="BV57" s="284">
        <f ca="1"/>
        <v>0</v>
      </c>
      <c r="BW57" s="287" t="s">
        <v>100</v>
      </c>
      <c r="BX57" s="272">
        <f t="shared" ref="BX57:CH57" ca="1" si="105" xml:space="preserve">  IF(ISNUMBER($A56),$BT57*(1-BX$1) + $BT60*BX$1 + ((1-BX$1)-(1-BX$1)^3)*$D56^2/6*$BV58/$B56 + (BX$1-(BX$1)^3)*$D56^2/6*$BV61/$B56 + (BX$1-2*(BX$1)^3+(BX$1)^4)*$D56^2/3*$F56*$D56^2/8/$B56,0)</f>
        <v>0</v>
      </c>
      <c r="BY57" s="173">
        <f t="shared" ca="1" si="105"/>
        <v>0</v>
      </c>
      <c r="BZ57" s="173">
        <f t="shared" ca="1" si="105"/>
        <v>0</v>
      </c>
      <c r="CA57" s="173">
        <f t="shared" ca="1" si="105"/>
        <v>0</v>
      </c>
      <c r="CB57" s="173">
        <f t="shared" ca="1" si="105"/>
        <v>0</v>
      </c>
      <c r="CC57" s="173">
        <f t="shared" ca="1" si="105"/>
        <v>0</v>
      </c>
      <c r="CD57" s="173">
        <f t="shared" ca="1" si="105"/>
        <v>0</v>
      </c>
      <c r="CE57" s="173">
        <f t="shared" ca="1" si="105"/>
        <v>0</v>
      </c>
      <c r="CF57" s="173">
        <f t="shared" ca="1" si="105"/>
        <v>0</v>
      </c>
      <c r="CG57" s="173">
        <f t="shared" ca="1" si="105"/>
        <v>0</v>
      </c>
      <c r="CH57" s="289">
        <f t="shared" ca="1" si="105"/>
        <v>0</v>
      </c>
      <c r="CI57" s="344"/>
      <c r="CJ57" s="344"/>
      <c r="CK57" s="312"/>
      <c r="CL57" s="12"/>
      <c r="CM57" s="291" t="s">
        <v>100</v>
      </c>
      <c r="CN57" s="7">
        <f t="shared" ref="CN57:CX57" ca="1" si="106" xml:space="preserve">  IF(ISNUMBER($A56),$BV58*(1-CN$1) + $BV61*CN$1  + CN$1*(1-CN$1)*$F56*$D56^2/2,0)</f>
        <v>0</v>
      </c>
      <c r="CO57" s="1">
        <f t="shared" ca="1" si="106"/>
        <v>0</v>
      </c>
      <c r="CP57" s="1">
        <f t="shared" ca="1" si="106"/>
        <v>0</v>
      </c>
      <c r="CQ57" s="1">
        <f t="shared" ca="1" si="106"/>
        <v>0</v>
      </c>
      <c r="CR57" s="1">
        <f t="shared" ca="1" si="106"/>
        <v>0</v>
      </c>
      <c r="CS57" s="1">
        <f t="shared" ca="1" si="106"/>
        <v>0</v>
      </c>
      <c r="CT57" s="1">
        <f t="shared" ca="1" si="106"/>
        <v>0</v>
      </c>
      <c r="CU57" s="1">
        <f t="shared" ca="1" si="106"/>
        <v>0</v>
      </c>
      <c r="CV57" s="1">
        <f t="shared" ca="1" si="106"/>
        <v>0</v>
      </c>
      <c r="CW57" s="1">
        <f t="shared" ca="1" si="106"/>
        <v>0</v>
      </c>
      <c r="CX57" s="1">
        <f t="shared" ca="1" si="106"/>
        <v>0</v>
      </c>
      <c r="CY57" s="1"/>
      <c r="CZ57" s="1"/>
      <c r="DA57" s="26"/>
      <c r="DB57" s="309"/>
      <c r="DC57" s="310"/>
      <c r="DD57" s="345"/>
      <c r="DE57" s="12"/>
      <c r="DF57" s="291" t="s">
        <v>100</v>
      </c>
      <c r="DG57" s="7">
        <f t="shared" ref="DG57:DQ57" ca="1" si="107" xml:space="preserve">  IF(ISNUMBER($A56),$BV57*(1-DG$1) + $BV60*DG$1,0)</f>
        <v>0</v>
      </c>
      <c r="DH57" s="1">
        <f t="shared" ca="1" si="107"/>
        <v>0</v>
      </c>
      <c r="DI57" s="1">
        <f t="shared" ca="1" si="107"/>
        <v>0</v>
      </c>
      <c r="DJ57" s="1">
        <f t="shared" ca="1" si="107"/>
        <v>0</v>
      </c>
      <c r="DK57" s="1">
        <f t="shared" ca="1" si="107"/>
        <v>0</v>
      </c>
      <c r="DL57" s="1">
        <f t="shared" ca="1" si="107"/>
        <v>0</v>
      </c>
      <c r="DM57" s="1">
        <f t="shared" ca="1" si="107"/>
        <v>0</v>
      </c>
      <c r="DN57" s="1">
        <f t="shared" ca="1" si="107"/>
        <v>0</v>
      </c>
      <c r="DO57" s="1">
        <f t="shared" ca="1" si="107"/>
        <v>0</v>
      </c>
      <c r="DP57" s="1">
        <f t="shared" ca="1" si="107"/>
        <v>0</v>
      </c>
      <c r="DQ57" s="1">
        <f t="shared" ca="1" si="107"/>
        <v>0</v>
      </c>
      <c r="DR57" s="1"/>
      <c r="DS57" s="1"/>
      <c r="DT57" s="8"/>
      <c r="DU57" s="12"/>
      <c r="DV57" s="310"/>
      <c r="DW57" s="345"/>
      <c r="DX57" s="12"/>
      <c r="DY57" s="291" t="s">
        <v>100</v>
      </c>
      <c r="DZ57" s="7">
        <f t="shared" ref="DZ57:EJ57" ca="1" si="108" xml:space="preserve">  IF(ISNUMBER($A56),$BV56*(1-DZ$1) + $BV59*DZ$1,0)</f>
        <v>0</v>
      </c>
      <c r="EA57" s="1">
        <f t="shared" ca="1" si="108"/>
        <v>0</v>
      </c>
      <c r="EB57" s="1">
        <f t="shared" ca="1" si="108"/>
        <v>0</v>
      </c>
      <c r="EC57" s="1">
        <f t="shared" ca="1" si="108"/>
        <v>0</v>
      </c>
      <c r="ED57" s="1">
        <f t="shared" ca="1" si="108"/>
        <v>0</v>
      </c>
      <c r="EE57" s="1">
        <f t="shared" ca="1" si="108"/>
        <v>0</v>
      </c>
      <c r="EF57" s="1">
        <f t="shared" ca="1" si="108"/>
        <v>0</v>
      </c>
      <c r="EG57" s="1">
        <f t="shared" ca="1" si="108"/>
        <v>0</v>
      </c>
      <c r="EH57" s="1">
        <f t="shared" ca="1" si="108"/>
        <v>0</v>
      </c>
      <c r="EI57" s="1">
        <f t="shared" ca="1" si="108"/>
        <v>0</v>
      </c>
      <c r="EJ57" s="1">
        <f t="shared" ca="1" si="108"/>
        <v>0</v>
      </c>
      <c r="EK57" s="1"/>
      <c r="EL57" s="1"/>
      <c r="EM57" s="8"/>
      <c r="EN57" s="309"/>
      <c r="EO57" s="310"/>
      <c r="EP57" s="345"/>
    </row>
    <row r="58" spans="1:146" ht="13.5" thickBot="1" x14ac:dyDescent="0.25">
      <c r="B58" s="1">
        <f ca="1">IF(ISNUMBER($A56),INDIRECT("System!" &amp; ADDRESS($A56 +1,COLUMN(System!Y55))),0)</f>
        <v>0</v>
      </c>
      <c r="C58" s="1">
        <f ca="1">IF(ISNUMBER($A56),INDIRECT("System!" &amp; ADDRESS($A56 +1,COLUMN(System!Z55))),0)</f>
        <v>0</v>
      </c>
      <c r="D58" s="1">
        <f ca="1">IF(ISNUMBER($A56),INDIRECT("System!" &amp; ADDRESS($A56 +1,COLUMN(System!AA55))),0)</f>
        <v>0</v>
      </c>
      <c r="E58" s="1">
        <f ca="1">IF(ISNUMBER($A56),INDIRECT("System!" &amp; ADDRESS($A56 +1,COLUMN(System!AB55))),0)</f>
        <v>0</v>
      </c>
      <c r="F58" s="1">
        <f ca="1">IF(ISNUMBER($A56),INDIRECT("System!" &amp; ADDRESS($A56 +1,COLUMN(System!AC55))),0)</f>
        <v>0</v>
      </c>
      <c r="G58" s="1">
        <f ca="1">IF(ISNUMBER($A56),INDIRECT("System!" &amp; ADDRESS($A56 +1,COLUMN(System!AD55))),0)</f>
        <v>0</v>
      </c>
      <c r="J58" s="9">
        <v>0</v>
      </c>
      <c r="K58" s="10">
        <f ca="1">IF(G56=1,-6*B56/D56^2,IF(G56="2a",0,IF(G56="2b",-3*B56/D56^2,0)))</f>
        <v>0</v>
      </c>
      <c r="L58" s="181">
        <f ca="1">IF(G56=1,4*B56/D56,IF(G56="2a",0,IF(G56="2b",3*B56/D56,0)))</f>
        <v>0</v>
      </c>
      <c r="M58" s="9">
        <v>0</v>
      </c>
      <c r="N58" s="10">
        <f ca="1">L60</f>
        <v>0</v>
      </c>
      <c r="O58" s="146">
        <f ca="1">L61</f>
        <v>0</v>
      </c>
      <c r="P58" s="143">
        <v>0</v>
      </c>
      <c r="Q58" s="99">
        <v>0</v>
      </c>
      <c r="R58" s="99">
        <v>1</v>
      </c>
      <c r="S58" s="101">
        <v>0</v>
      </c>
      <c r="T58" s="101">
        <v>0</v>
      </c>
      <c r="U58" s="110">
        <v>0</v>
      </c>
      <c r="V58" s="9">
        <f ca="1"/>
        <v>0</v>
      </c>
      <c r="W58" s="10">
        <f ca="1"/>
        <v>0</v>
      </c>
      <c r="X58" s="181">
        <f ca="1"/>
        <v>0</v>
      </c>
      <c r="Y58" s="9">
        <f ca="1"/>
        <v>0</v>
      </c>
      <c r="Z58" s="10">
        <f ca="1"/>
        <v>0</v>
      </c>
      <c r="AA58" s="146">
        <f ca="1"/>
        <v>0</v>
      </c>
      <c r="AB58" s="61">
        <f ca="1">IF(ISNUMBER($A56),INDIRECT("System!" &amp; ADDRESS(A56+1,COLUMN(System!U55))),0)</f>
        <v>0</v>
      </c>
      <c r="AC58" s="301">
        <f ca="1">IF(G56=1,-F56*D56^2/12,IF(G56="2a",0,IF(G56="2b",-F56*D56^2/8,0)))</f>
        <v>0</v>
      </c>
      <c r="AD58" s="61">
        <f ca="1"/>
        <v>0</v>
      </c>
      <c r="AE58" s="7">
        <f t="shared" ref="AE58:BR58" ca="1" si="109">IF(ABS($D58)=AE$1,SIGN($D58),0)</f>
        <v>0</v>
      </c>
      <c r="AF58" s="1">
        <f t="shared" ca="1" si="109"/>
        <v>0</v>
      </c>
      <c r="AG58" s="1">
        <f t="shared" ca="1" si="109"/>
        <v>0</v>
      </c>
      <c r="AH58" s="1">
        <f t="shared" ca="1" si="109"/>
        <v>0</v>
      </c>
      <c r="AI58" s="1">
        <f t="shared" ca="1" si="109"/>
        <v>0</v>
      </c>
      <c r="AJ58" s="26">
        <f t="shared" ca="1" si="109"/>
        <v>0</v>
      </c>
      <c r="AK58" s="26">
        <f t="shared" ca="1" si="109"/>
        <v>0</v>
      </c>
      <c r="AL58" s="26">
        <f t="shared" ca="1" si="109"/>
        <v>0</v>
      </c>
      <c r="AM58" s="26">
        <f t="shared" ca="1" si="109"/>
        <v>0</v>
      </c>
      <c r="AN58" s="26">
        <f t="shared" ca="1" si="109"/>
        <v>0</v>
      </c>
      <c r="AO58" s="26">
        <f t="shared" ca="1" si="109"/>
        <v>0</v>
      </c>
      <c r="AP58" s="26">
        <f t="shared" ca="1" si="109"/>
        <v>0</v>
      </c>
      <c r="AQ58" s="26">
        <f t="shared" ca="1" si="109"/>
        <v>0</v>
      </c>
      <c r="AR58" s="26">
        <f t="shared" ca="1" si="109"/>
        <v>0</v>
      </c>
      <c r="AS58" s="26">
        <f t="shared" ca="1" si="109"/>
        <v>0</v>
      </c>
      <c r="AT58" s="26">
        <f t="shared" ca="1" si="109"/>
        <v>0</v>
      </c>
      <c r="AU58" s="26">
        <f t="shared" ca="1" si="109"/>
        <v>0</v>
      </c>
      <c r="AV58" s="26">
        <f t="shared" ca="1" si="109"/>
        <v>0</v>
      </c>
      <c r="AW58" s="26">
        <f t="shared" ca="1" si="109"/>
        <v>0</v>
      </c>
      <c r="AX58" s="26">
        <f t="shared" ca="1" si="109"/>
        <v>0</v>
      </c>
      <c r="AY58" s="26">
        <f t="shared" ca="1" si="109"/>
        <v>0</v>
      </c>
      <c r="AZ58" s="26">
        <f t="shared" ca="1" si="109"/>
        <v>0</v>
      </c>
      <c r="BA58" s="26">
        <f t="shared" ca="1" si="109"/>
        <v>0</v>
      </c>
      <c r="BB58" s="26">
        <f t="shared" ca="1" si="109"/>
        <v>0</v>
      </c>
      <c r="BC58" s="26">
        <f t="shared" ca="1" si="109"/>
        <v>0</v>
      </c>
      <c r="BD58" s="26">
        <f t="shared" ca="1" si="109"/>
        <v>0</v>
      </c>
      <c r="BE58" s="26">
        <f t="shared" ca="1" si="109"/>
        <v>0</v>
      </c>
      <c r="BF58" s="26">
        <f t="shared" ca="1" si="109"/>
        <v>0</v>
      </c>
      <c r="BG58" s="26">
        <f t="shared" ca="1" si="109"/>
        <v>0</v>
      </c>
      <c r="BH58" s="26">
        <f t="shared" ca="1" si="109"/>
        <v>0</v>
      </c>
      <c r="BI58" s="26">
        <f t="shared" ca="1" si="109"/>
        <v>0</v>
      </c>
      <c r="BJ58" s="26">
        <f t="shared" ca="1" si="109"/>
        <v>0</v>
      </c>
      <c r="BK58" s="26">
        <f t="shared" ca="1" si="109"/>
        <v>0</v>
      </c>
      <c r="BL58" s="26">
        <f t="shared" ca="1" si="109"/>
        <v>0</v>
      </c>
      <c r="BM58" s="26">
        <f t="shared" ca="1" si="109"/>
        <v>0</v>
      </c>
      <c r="BN58" s="26">
        <f t="shared" ca="1" si="109"/>
        <v>0</v>
      </c>
      <c r="BO58" s="26">
        <f t="shared" ca="1" si="109"/>
        <v>0</v>
      </c>
      <c r="BP58" s="26">
        <f t="shared" ca="1" si="109"/>
        <v>0</v>
      </c>
      <c r="BQ58" s="26">
        <f t="shared" ca="1" si="109"/>
        <v>0</v>
      </c>
      <c r="BR58" s="26">
        <f t="shared" ca="1" si="109"/>
        <v>0</v>
      </c>
      <c r="BS58" s="282">
        <f ca="1">IF(ISNUMBER($A56),IF(INDEX(B58:G58,3)&lt;&gt;0,SIGN(INDEX(B58:G58,3))*INDIRECT(ADDRESS(1+ABS(INDEX(B58:G58,3)),COLUMN(Ksys!$B$1),1,TRUE,"Ksys")),0)+AB58,0)</f>
        <v>0</v>
      </c>
      <c r="BT58" s="284">
        <f ca="1"/>
        <v>0</v>
      </c>
      <c r="BU58" s="284">
        <f ca="1"/>
        <v>0</v>
      </c>
      <c r="BV58" s="284">
        <f ca="1"/>
        <v>0</v>
      </c>
      <c r="BW58" s="287" t="s">
        <v>96</v>
      </c>
      <c r="BX58" s="7">
        <f t="array" aca="1" ref="BX58:BX59" ca="1">IF(ISNUMBER($A56),MMULT(TRANSPOSE($P56:$Q57),BX56:BX57),0)</f>
        <v>0</v>
      </c>
      <c r="BY58" s="1">
        <f t="array" aca="1" ref="BY58:BY59" ca="1">IF(ISNUMBER($A56),MMULT(TRANSPOSE($P56:$Q57),BY56:BY57),0)</f>
        <v>0</v>
      </c>
      <c r="BZ58" s="1">
        <f t="array" aca="1" ref="BZ58:BZ59" ca="1">IF(ISNUMBER($A56),MMULT(TRANSPOSE($P56:$Q57),BZ56:BZ57),0)</f>
        <v>0</v>
      </c>
      <c r="CA58" s="1">
        <f t="array" aca="1" ref="CA58:CA59" ca="1">IF(ISNUMBER($A56),MMULT(TRANSPOSE($P56:$Q57),CA56:CA57),0)</f>
        <v>0</v>
      </c>
      <c r="CB58" s="1">
        <f t="array" aca="1" ref="CB58:CB59" ca="1">IF(ISNUMBER($A56),MMULT(TRANSPOSE($P56:$Q57),CB56:CB57),0)</f>
        <v>0</v>
      </c>
      <c r="CC58" s="1">
        <f t="array" aca="1" ref="CC58:CC59" ca="1">IF(ISNUMBER($A56),MMULT(TRANSPOSE($P56:$Q57),CC56:CC57),0)</f>
        <v>0</v>
      </c>
      <c r="CD58" s="1">
        <f t="array" aca="1" ref="CD58:CD59" ca="1">IF(ISNUMBER($A56),MMULT(TRANSPOSE($P56:$Q57),CD56:CD57),0)</f>
        <v>0</v>
      </c>
      <c r="CE58" s="1">
        <f t="array" aca="1" ref="CE58:CE59" ca="1">IF(ISNUMBER($A56),MMULT(TRANSPOSE($P56:$Q57),CE56:CE57),0)</f>
        <v>0</v>
      </c>
      <c r="CF58" s="1">
        <f t="array" aca="1" ref="CF58:CF59" ca="1">IF(ISNUMBER($A56),MMULT(TRANSPOSE($P56:$Q57),CF56:CF57),0)</f>
        <v>0</v>
      </c>
      <c r="CG58" s="1">
        <f t="array" aca="1" ref="CG58:CG59" ca="1">IF(ISNUMBER($A56),MMULT(TRANSPOSE($P56:$Q57),CG56:CG57),0)</f>
        <v>0</v>
      </c>
      <c r="CH58" s="8">
        <f t="array" aca="1" ref="CH58:CH59" ca="1">IF(ISNUMBER($A56),MMULT(TRANSPOSE($P56:$Q57),CH56:CH57),0)</f>
        <v>0</v>
      </c>
      <c r="CI58" s="345"/>
      <c r="CJ58" s="345"/>
      <c r="CK58" s="444">
        <f ca="1">MAX(MAX(BX58:CH59),ABS(MIN(BX58:CH59)))</f>
        <v>0</v>
      </c>
      <c r="CL58" s="12"/>
      <c r="CM58" s="291" t="s">
        <v>96</v>
      </c>
      <c r="CN58" s="7">
        <f t="array" aca="1" ref="CN58:CN59" ca="1">IF(ISNUMBER($A56),MMULT(TRANSPOSE($P56:$Q57),CN56:CN57),0)</f>
        <v>0</v>
      </c>
      <c r="CO58" s="1">
        <f t="array" aca="1" ref="CO58:CO59" ca="1">IF(ISNUMBER($A56),MMULT(TRANSPOSE($P56:$Q57),CO56:CO57),0)</f>
        <v>0</v>
      </c>
      <c r="CP58" s="1">
        <f t="array" aca="1" ref="CP58:CP59" ca="1">IF(ISNUMBER($A56),MMULT(TRANSPOSE($P56:$Q57),CP56:CP57),0)</f>
        <v>0</v>
      </c>
      <c r="CQ58" s="1">
        <f t="array" aca="1" ref="CQ58:CQ59" ca="1">IF(ISNUMBER($A56),MMULT(TRANSPOSE($P56:$Q57),CQ56:CQ57),0)</f>
        <v>0</v>
      </c>
      <c r="CR58" s="1">
        <f t="array" aca="1" ref="CR58:CR59" ca="1">IF(ISNUMBER($A56),MMULT(TRANSPOSE($P56:$Q57),CR56:CR57),0)</f>
        <v>0</v>
      </c>
      <c r="CS58" s="1">
        <f t="array" aca="1" ref="CS58:CS59" ca="1">IF(ISNUMBER($A56),MMULT(TRANSPOSE($P56:$Q57),CS56:CS57),0)</f>
        <v>0</v>
      </c>
      <c r="CT58" s="1">
        <f t="array" aca="1" ref="CT58:CT59" ca="1">IF(ISNUMBER($A56),MMULT(TRANSPOSE($P56:$Q57),CT56:CT57),0)</f>
        <v>0</v>
      </c>
      <c r="CU58" s="1">
        <f t="array" aca="1" ref="CU58:CU59" ca="1">IF(ISNUMBER($A56),MMULT(TRANSPOSE($P56:$Q57),CU56:CU57),0)</f>
        <v>0</v>
      </c>
      <c r="CV58" s="1">
        <f t="array" aca="1" ref="CV58:CV59" ca="1">IF(ISNUMBER($A56),MMULT(TRANSPOSE($P56:$Q57),CV56:CV57),0)</f>
        <v>0</v>
      </c>
      <c r="CW58" s="1">
        <f t="array" aca="1" ref="CW58:CW59" ca="1">IF(ISNUMBER($A56),MMULT(TRANSPOSE($P56:$Q57),CW56:CW57),0)</f>
        <v>0</v>
      </c>
      <c r="CX58" s="1">
        <f t="array" aca="1" ref="CX58:CX59" ca="1">IF(ISNUMBER($A56),MMULT(TRANSPOSE($P56:$Q57),CX56:CX57),0)</f>
        <v>0</v>
      </c>
      <c r="CY58" s="1"/>
      <c r="CZ58" s="1"/>
      <c r="DA58" s="26"/>
      <c r="DB58" s="309"/>
      <c r="DC58" s="310"/>
      <c r="DD58" s="345"/>
      <c r="DE58" s="12"/>
      <c r="DF58" s="291" t="s">
        <v>96</v>
      </c>
      <c r="DG58" s="7">
        <f t="array" aca="1" ref="DG58:DG59" ca="1">IF(ISNUMBER($A56),MMULT(TRANSPOSE($P56:$Q57),DG56:DG57),0)</f>
        <v>0</v>
      </c>
      <c r="DH58" s="1">
        <f t="array" aca="1" ref="DH58:DH59" ca="1">IF(ISNUMBER($A56),MMULT(TRANSPOSE($P56:$Q57),DH56:DH57),0)</f>
        <v>0</v>
      </c>
      <c r="DI58" s="1">
        <f t="array" aca="1" ref="DI58:DI59" ca="1">IF(ISNUMBER($A56),MMULT(TRANSPOSE($P56:$Q57),DI56:DI57),0)</f>
        <v>0</v>
      </c>
      <c r="DJ58" s="1">
        <f t="array" aca="1" ref="DJ58:DJ59" ca="1">IF(ISNUMBER($A56),MMULT(TRANSPOSE($P56:$Q57),DJ56:DJ57),0)</f>
        <v>0</v>
      </c>
      <c r="DK58" s="1">
        <f t="array" aca="1" ref="DK58:DK59" ca="1">IF(ISNUMBER($A56),MMULT(TRANSPOSE($P56:$Q57),DK56:DK57),0)</f>
        <v>0</v>
      </c>
      <c r="DL58" s="1">
        <f t="array" aca="1" ref="DL58:DL59" ca="1">IF(ISNUMBER($A56),MMULT(TRANSPOSE($P56:$Q57),DL56:DL57),0)</f>
        <v>0</v>
      </c>
      <c r="DM58" s="1">
        <f t="array" aca="1" ref="DM58:DM59" ca="1">IF(ISNUMBER($A56),MMULT(TRANSPOSE($P56:$Q57),DM56:DM57),0)</f>
        <v>0</v>
      </c>
      <c r="DN58" s="1">
        <f t="array" aca="1" ref="DN58:DN59" ca="1">IF(ISNUMBER($A56),MMULT(TRANSPOSE($P56:$Q57),DN56:DN57),0)</f>
        <v>0</v>
      </c>
      <c r="DO58" s="1">
        <f t="array" aca="1" ref="DO58:DO59" ca="1">IF(ISNUMBER($A56),MMULT(TRANSPOSE($P56:$Q57),DO56:DO57),0)</f>
        <v>0</v>
      </c>
      <c r="DP58" s="1">
        <f t="array" aca="1" ref="DP58:DP59" ca="1">IF(ISNUMBER($A56),MMULT(TRANSPOSE($P56:$Q57),DP56:DP57),0)</f>
        <v>0</v>
      </c>
      <c r="DQ58" s="1">
        <f t="array" aca="1" ref="DQ58:DQ59" ca="1">IF(ISNUMBER($A56),MMULT(TRANSPOSE($P56:$Q57),DQ56:DQ57),0)</f>
        <v>0</v>
      </c>
      <c r="DR58" s="1"/>
      <c r="DS58" s="1"/>
      <c r="DT58" s="8"/>
      <c r="DU58" s="12"/>
      <c r="DV58" s="310"/>
      <c r="DW58" s="345"/>
      <c r="DX58" s="12"/>
      <c r="DY58" s="291" t="s">
        <v>96</v>
      </c>
      <c r="DZ58" s="7">
        <f t="array" aca="1" ref="DZ58:DZ59" ca="1">IF(ISNUMBER($A56),MMULT(TRANSPOSE($P56:$Q57),DZ56:DZ57),0)</f>
        <v>0</v>
      </c>
      <c r="EA58" s="1">
        <f t="array" aca="1" ref="EA58:EA59" ca="1">IF(ISNUMBER($A56),MMULT(TRANSPOSE($P56:$Q57),EA56:EA57),0)</f>
        <v>0</v>
      </c>
      <c r="EB58" s="1">
        <f t="array" aca="1" ref="EB58:EB59" ca="1">IF(ISNUMBER($A56),MMULT(TRANSPOSE($P56:$Q57),EB56:EB57),0)</f>
        <v>0</v>
      </c>
      <c r="EC58" s="1">
        <f t="array" aca="1" ref="EC58:EC59" ca="1">IF(ISNUMBER($A56),MMULT(TRANSPOSE($P56:$Q57),EC56:EC57),0)</f>
        <v>0</v>
      </c>
      <c r="ED58" s="1">
        <f t="array" aca="1" ref="ED58:ED59" ca="1">IF(ISNUMBER($A56),MMULT(TRANSPOSE($P56:$Q57),ED56:ED57),0)</f>
        <v>0</v>
      </c>
      <c r="EE58" s="1">
        <f t="array" aca="1" ref="EE58:EE59" ca="1">IF(ISNUMBER($A56),MMULT(TRANSPOSE($P56:$Q57),EE56:EE57),0)</f>
        <v>0</v>
      </c>
      <c r="EF58" s="1">
        <f t="array" aca="1" ref="EF58:EF59" ca="1">IF(ISNUMBER($A56),MMULT(TRANSPOSE($P56:$Q57),EF56:EF57),0)</f>
        <v>0</v>
      </c>
      <c r="EG58" s="1">
        <f t="array" aca="1" ref="EG58:EG59" ca="1">IF(ISNUMBER($A56),MMULT(TRANSPOSE($P56:$Q57),EG56:EG57),0)</f>
        <v>0</v>
      </c>
      <c r="EH58" s="1">
        <f t="array" aca="1" ref="EH58:EH59" ca="1">IF(ISNUMBER($A56),MMULT(TRANSPOSE($P56:$Q57),EH56:EH57),0)</f>
        <v>0</v>
      </c>
      <c r="EI58" s="1">
        <f t="array" aca="1" ref="EI58:EI59" ca="1">IF(ISNUMBER($A56),MMULT(TRANSPOSE($P56:$Q57),EI56:EI57),0)</f>
        <v>0</v>
      </c>
      <c r="EJ58" s="1">
        <f t="array" aca="1" ref="EJ58:EJ59" ca="1">IF(ISNUMBER($A56),MMULT(TRANSPOSE($P56:$Q57),EJ56:EJ57),0)</f>
        <v>0</v>
      </c>
      <c r="EK58" s="1"/>
      <c r="EL58" s="1"/>
      <c r="EM58" s="8"/>
      <c r="EN58" s="309"/>
      <c r="EO58" s="310"/>
      <c r="EP58" s="345"/>
    </row>
    <row r="59" spans="1:146" x14ac:dyDescent="0.2">
      <c r="E59" s="12"/>
      <c r="F59" s="12"/>
      <c r="J59" s="4">
        <f ca="1">-J56</f>
        <v>0</v>
      </c>
      <c r="K59" s="5">
        <v>0</v>
      </c>
      <c r="L59" s="6">
        <v>0</v>
      </c>
      <c r="M59" s="179">
        <f ca="1">J56</f>
        <v>0</v>
      </c>
      <c r="N59" s="5">
        <v>0</v>
      </c>
      <c r="O59" s="6">
        <v>0</v>
      </c>
      <c r="P59" s="184">
        <v>0</v>
      </c>
      <c r="Q59" s="101">
        <v>0</v>
      </c>
      <c r="R59" s="101">
        <v>0</v>
      </c>
      <c r="S59" s="99">
        <f ca="1">I56</f>
        <v>0</v>
      </c>
      <c r="T59" s="99">
        <f ca="1">-H56</f>
        <v>0</v>
      </c>
      <c r="U59" s="100">
        <v>0</v>
      </c>
      <c r="V59" s="4">
        <f ca="1"/>
        <v>0</v>
      </c>
      <c r="W59" s="5">
        <f ca="1"/>
        <v>0</v>
      </c>
      <c r="X59" s="6">
        <f ca="1"/>
        <v>0</v>
      </c>
      <c r="Y59" s="179">
        <f ca="1"/>
        <v>0</v>
      </c>
      <c r="Z59" s="5">
        <f ca="1"/>
        <v>0</v>
      </c>
      <c r="AA59" s="6">
        <f ca="1"/>
        <v>0</v>
      </c>
      <c r="AB59" s="61">
        <f ca="1">IF(ISNUMBER($A56),INDIRECT("System!" &amp; ADDRESS(A56+1,COLUMN(System!V55))),0)</f>
        <v>0</v>
      </c>
      <c r="AC59" s="301">
        <f ca="1">IF(ISNUMBER(E56),E56*D56/2,0)</f>
        <v>0</v>
      </c>
      <c r="AD59" s="61">
        <f ca="1"/>
        <v>0</v>
      </c>
      <c r="AE59" s="7">
        <f t="shared" ref="AE59:BR59" ca="1" si="110">IF(ABS($E58)=AE$1,SIGN($E58),0)</f>
        <v>0</v>
      </c>
      <c r="AF59" s="1">
        <f t="shared" ca="1" si="110"/>
        <v>0</v>
      </c>
      <c r="AG59" s="1">
        <f t="shared" ca="1" si="110"/>
        <v>0</v>
      </c>
      <c r="AH59" s="1">
        <f t="shared" ca="1" si="110"/>
        <v>0</v>
      </c>
      <c r="AI59" s="1">
        <f t="shared" ca="1" si="110"/>
        <v>0</v>
      </c>
      <c r="AJ59" s="26">
        <f t="shared" ca="1" si="110"/>
        <v>0</v>
      </c>
      <c r="AK59" s="26">
        <f t="shared" ca="1" si="110"/>
        <v>0</v>
      </c>
      <c r="AL59" s="26">
        <f t="shared" ca="1" si="110"/>
        <v>0</v>
      </c>
      <c r="AM59" s="26">
        <f t="shared" ca="1" si="110"/>
        <v>0</v>
      </c>
      <c r="AN59" s="26">
        <f t="shared" ca="1" si="110"/>
        <v>0</v>
      </c>
      <c r="AO59" s="26">
        <f t="shared" ca="1" si="110"/>
        <v>0</v>
      </c>
      <c r="AP59" s="26">
        <f t="shared" ca="1" si="110"/>
        <v>0</v>
      </c>
      <c r="AQ59" s="26">
        <f t="shared" ca="1" si="110"/>
        <v>0</v>
      </c>
      <c r="AR59" s="26">
        <f t="shared" ca="1" si="110"/>
        <v>0</v>
      </c>
      <c r="AS59" s="26">
        <f t="shared" ca="1" si="110"/>
        <v>0</v>
      </c>
      <c r="AT59" s="26">
        <f t="shared" ca="1" si="110"/>
        <v>0</v>
      </c>
      <c r="AU59" s="26">
        <f t="shared" ca="1" si="110"/>
        <v>0</v>
      </c>
      <c r="AV59" s="26">
        <f t="shared" ca="1" si="110"/>
        <v>0</v>
      </c>
      <c r="AW59" s="26">
        <f t="shared" ca="1" si="110"/>
        <v>0</v>
      </c>
      <c r="AX59" s="26">
        <f t="shared" ca="1" si="110"/>
        <v>0</v>
      </c>
      <c r="AY59" s="26">
        <f t="shared" ca="1" si="110"/>
        <v>0</v>
      </c>
      <c r="AZ59" s="26">
        <f t="shared" ca="1" si="110"/>
        <v>0</v>
      </c>
      <c r="BA59" s="26">
        <f t="shared" ca="1" si="110"/>
        <v>0</v>
      </c>
      <c r="BB59" s="26">
        <f t="shared" ca="1" si="110"/>
        <v>0</v>
      </c>
      <c r="BC59" s="26">
        <f t="shared" ca="1" si="110"/>
        <v>0</v>
      </c>
      <c r="BD59" s="26">
        <f t="shared" ca="1" si="110"/>
        <v>0</v>
      </c>
      <c r="BE59" s="26">
        <f t="shared" ca="1" si="110"/>
        <v>0</v>
      </c>
      <c r="BF59" s="26">
        <f t="shared" ca="1" si="110"/>
        <v>0</v>
      </c>
      <c r="BG59" s="26">
        <f t="shared" ca="1" si="110"/>
        <v>0</v>
      </c>
      <c r="BH59" s="26">
        <f t="shared" ca="1" si="110"/>
        <v>0</v>
      </c>
      <c r="BI59" s="26">
        <f t="shared" ca="1" si="110"/>
        <v>0</v>
      </c>
      <c r="BJ59" s="26">
        <f t="shared" ca="1" si="110"/>
        <v>0</v>
      </c>
      <c r="BK59" s="26">
        <f t="shared" ca="1" si="110"/>
        <v>0</v>
      </c>
      <c r="BL59" s="26">
        <f t="shared" ca="1" si="110"/>
        <v>0</v>
      </c>
      <c r="BM59" s="26">
        <f t="shared" ca="1" si="110"/>
        <v>0</v>
      </c>
      <c r="BN59" s="26">
        <f t="shared" ca="1" si="110"/>
        <v>0</v>
      </c>
      <c r="BO59" s="26">
        <f t="shared" ca="1" si="110"/>
        <v>0</v>
      </c>
      <c r="BP59" s="26">
        <f t="shared" ca="1" si="110"/>
        <v>0</v>
      </c>
      <c r="BQ59" s="26">
        <f t="shared" ca="1" si="110"/>
        <v>0</v>
      </c>
      <c r="BR59" s="26">
        <f t="shared" ca="1" si="110"/>
        <v>0</v>
      </c>
      <c r="BS59" s="282">
        <f ca="1">IF(ISNUMBER($A56),IF(INDEX(B58:G58,4)&lt;&gt;0,SIGN(INDEX(B58:G58,4))*INDIRECT(ADDRESS(1+ABS(INDEX(B58:G58,4)),COLUMN(Ksys!$B$1),1,TRUE,"Ksys")),0)+AB59,0)</f>
        <v>0</v>
      </c>
      <c r="BT59" s="284">
        <f ca="1"/>
        <v>0</v>
      </c>
      <c r="BU59" s="284">
        <f ca="1"/>
        <v>0</v>
      </c>
      <c r="BV59" s="284">
        <f t="array" aca="1" ref="BV59:BV61" ca="1">MMULT(J59:O61,BT56:BT61)-AC59:AC61</f>
        <v>0</v>
      </c>
      <c r="BW59" s="288" t="s">
        <v>101</v>
      </c>
      <c r="BX59" s="7">
        <f ca="1"/>
        <v>0</v>
      </c>
      <c r="BY59" s="1">
        <f ca="1"/>
        <v>0</v>
      </c>
      <c r="BZ59" s="1">
        <f ca="1"/>
        <v>0</v>
      </c>
      <c r="CA59" s="1">
        <f ca="1"/>
        <v>0</v>
      </c>
      <c r="CB59" s="1">
        <f ca="1"/>
        <v>0</v>
      </c>
      <c r="CC59" s="1">
        <f ca="1"/>
        <v>0</v>
      </c>
      <c r="CD59" s="1">
        <f ca="1"/>
        <v>0</v>
      </c>
      <c r="CE59" s="1">
        <f ca="1"/>
        <v>0</v>
      </c>
      <c r="CF59" s="1">
        <f ca="1"/>
        <v>0</v>
      </c>
      <c r="CG59" s="1">
        <f ca="1"/>
        <v>0</v>
      </c>
      <c r="CH59" s="8">
        <f ca="1"/>
        <v>0</v>
      </c>
      <c r="CI59" s="344" t="s">
        <v>1</v>
      </c>
      <c r="CJ59" s="344" t="s">
        <v>111</v>
      </c>
      <c r="CK59" s="310"/>
      <c r="CL59" s="12"/>
      <c r="CM59" s="292" t="s">
        <v>101</v>
      </c>
      <c r="CN59" s="7">
        <f ca="1"/>
        <v>0</v>
      </c>
      <c r="CO59" s="1">
        <f ca="1"/>
        <v>0</v>
      </c>
      <c r="CP59" s="1">
        <f ca="1"/>
        <v>0</v>
      </c>
      <c r="CQ59" s="1">
        <f ca="1"/>
        <v>0</v>
      </c>
      <c r="CR59" s="1">
        <f ca="1"/>
        <v>0</v>
      </c>
      <c r="CS59" s="1">
        <f ca="1"/>
        <v>0</v>
      </c>
      <c r="CT59" s="1">
        <f ca="1"/>
        <v>0</v>
      </c>
      <c r="CU59" s="1">
        <f ca="1"/>
        <v>0</v>
      </c>
      <c r="CV59" s="1">
        <f ca="1"/>
        <v>0</v>
      </c>
      <c r="CW59" s="1">
        <f ca="1"/>
        <v>0</v>
      </c>
      <c r="CX59" s="1">
        <f ca="1"/>
        <v>0</v>
      </c>
      <c r="CY59" s="1"/>
      <c r="CZ59" s="1"/>
      <c r="DA59" s="26"/>
      <c r="DB59" s="311" t="s">
        <v>1</v>
      </c>
      <c r="DC59" s="312" t="s">
        <v>111</v>
      </c>
      <c r="DD59" s="61">
        <f ca="1">MAX(MAX(CN58:CX59),ABS(MIN(CN58:CX59)))</f>
        <v>0</v>
      </c>
      <c r="DE59" s="12"/>
      <c r="DF59" s="292" t="s">
        <v>101</v>
      </c>
      <c r="DG59" s="7">
        <f ca="1"/>
        <v>0</v>
      </c>
      <c r="DH59" s="1">
        <f ca="1"/>
        <v>0</v>
      </c>
      <c r="DI59" s="1">
        <f ca="1"/>
        <v>0</v>
      </c>
      <c r="DJ59" s="1">
        <f ca="1"/>
        <v>0</v>
      </c>
      <c r="DK59" s="1">
        <f ca="1"/>
        <v>0</v>
      </c>
      <c r="DL59" s="1">
        <f ca="1"/>
        <v>0</v>
      </c>
      <c r="DM59" s="1">
        <f ca="1"/>
        <v>0</v>
      </c>
      <c r="DN59" s="1">
        <f ca="1"/>
        <v>0</v>
      </c>
      <c r="DO59" s="1">
        <f ca="1"/>
        <v>0</v>
      </c>
      <c r="DP59" s="1">
        <f ca="1"/>
        <v>0</v>
      </c>
      <c r="DQ59" s="1">
        <f ca="1"/>
        <v>0</v>
      </c>
      <c r="DR59" s="1"/>
      <c r="DS59" s="1"/>
      <c r="DT59" s="8"/>
      <c r="DU59" s="314" t="s">
        <v>1</v>
      </c>
      <c r="DV59" s="312" t="s">
        <v>111</v>
      </c>
      <c r="DW59" s="349">
        <f ca="1">MAX(MAX(DG58:DQ59),ABS(MIN(DG58:DQ59)))</f>
        <v>0</v>
      </c>
      <c r="DX59" s="12"/>
      <c r="DY59" s="292" t="s">
        <v>101</v>
      </c>
      <c r="DZ59" s="7">
        <f ca="1"/>
        <v>0</v>
      </c>
      <c r="EA59" s="1">
        <f ca="1"/>
        <v>0</v>
      </c>
      <c r="EB59" s="1">
        <f ca="1"/>
        <v>0</v>
      </c>
      <c r="EC59" s="1">
        <f ca="1"/>
        <v>0</v>
      </c>
      <c r="ED59" s="1">
        <f ca="1"/>
        <v>0</v>
      </c>
      <c r="EE59" s="1">
        <f ca="1"/>
        <v>0</v>
      </c>
      <c r="EF59" s="1">
        <f ca="1"/>
        <v>0</v>
      </c>
      <c r="EG59" s="1">
        <f ca="1"/>
        <v>0</v>
      </c>
      <c r="EH59" s="1">
        <f ca="1"/>
        <v>0</v>
      </c>
      <c r="EI59" s="1">
        <f ca="1"/>
        <v>0</v>
      </c>
      <c r="EJ59" s="1">
        <f ca="1"/>
        <v>0</v>
      </c>
      <c r="EK59" s="1"/>
      <c r="EL59" s="1"/>
      <c r="EM59" s="8"/>
      <c r="EN59" s="311" t="s">
        <v>1</v>
      </c>
      <c r="EO59" s="312" t="s">
        <v>111</v>
      </c>
      <c r="EP59" s="61">
        <f ca="1">MAX(MAX(DZ58:EJ59),ABS(MIN(DZ58:EJ59)))</f>
        <v>0</v>
      </c>
    </row>
    <row r="60" spans="1:146" x14ac:dyDescent="0.2">
      <c r="E60" s="1" t="str">
        <f ca="1">IF(ISNUMBER(A56),"" &amp; ADDRESS(ROW(A56),COLUMN($AD$1)) &amp; ":" &amp; ADDRESS(ROW(A61),COLUMN($AD$1)) &amp; "","")</f>
        <v/>
      </c>
      <c r="F60" s="1" t="str">
        <f ca="1">IF(ISNUMBER(A56),"" &amp; ADDRESS(ROW(A56),COLUMN($V$1)) &amp; ":" &amp; ADDRESS(ROW(A61),COLUMN($AA$1)) &amp; "","")</f>
        <v/>
      </c>
      <c r="G60" s="1" t="str">
        <f ca="1">IF(ISNUMBER(A56),"" &amp; ADDRESS(ROW(A56),COLUMN($AE$1)) &amp; ":" &amp; ADDRESS(ROW(A61),COLUMN($AD$1)+$C$6) &amp; "","")</f>
        <v/>
      </c>
      <c r="J60" s="7">
        <v>0</v>
      </c>
      <c r="K60" s="1">
        <f ca="1">-K57</f>
        <v>0</v>
      </c>
      <c r="L60" s="8">
        <f ca="1">IF(G56=1,6*B56/D56^2,IF(G56="2a",0,IF(G56="2b",3*B56/D56^2,0)))</f>
        <v>0</v>
      </c>
      <c r="M60" s="7">
        <v>0</v>
      </c>
      <c r="N60" s="180">
        <f ca="1">K57</f>
        <v>0</v>
      </c>
      <c r="O60" s="8">
        <f ca="1">N61</f>
        <v>0</v>
      </c>
      <c r="P60" s="184">
        <v>0</v>
      </c>
      <c r="Q60" s="101">
        <v>0</v>
      </c>
      <c r="R60" s="101">
        <v>0</v>
      </c>
      <c r="S60" s="99">
        <f ca="1">H56</f>
        <v>0</v>
      </c>
      <c r="T60" s="99">
        <f ca="1">I56</f>
        <v>0</v>
      </c>
      <c r="U60" s="100">
        <v>0</v>
      </c>
      <c r="V60" s="7">
        <f ca="1"/>
        <v>0</v>
      </c>
      <c r="W60" s="1">
        <f ca="1"/>
        <v>0</v>
      </c>
      <c r="X60" s="8">
        <f ca="1"/>
        <v>0</v>
      </c>
      <c r="Y60" s="7">
        <f ca="1"/>
        <v>0</v>
      </c>
      <c r="Z60" s="180">
        <f ca="1"/>
        <v>0</v>
      </c>
      <c r="AA60" s="8">
        <f ca="1"/>
        <v>0</v>
      </c>
      <c r="AB60" s="61">
        <f ca="1">IF(ISNUMBER($A56),INDIRECT("System!" &amp; ADDRESS(A56+1,COLUMN(System!W55))),0)</f>
        <v>0</v>
      </c>
      <c r="AC60" s="301">
        <f ca="1">IF(G56=1,F56*D56/2,IF(G56="2a",F56*5/8*D56,IF(G56="2b",F56*3/8*D56,0)))</f>
        <v>0</v>
      </c>
      <c r="AD60" s="61">
        <f ca="1"/>
        <v>0</v>
      </c>
      <c r="AE60" s="7">
        <f t="shared" ref="AE60:BR60" ca="1" si="111">IF(ABS($F58)=AE$1,SIGN($F58),0)</f>
        <v>0</v>
      </c>
      <c r="AF60" s="1">
        <f t="shared" ca="1" si="111"/>
        <v>0</v>
      </c>
      <c r="AG60" s="1">
        <f t="shared" ca="1" si="111"/>
        <v>0</v>
      </c>
      <c r="AH60" s="1">
        <f t="shared" ca="1" si="111"/>
        <v>0</v>
      </c>
      <c r="AI60" s="1">
        <f t="shared" ca="1" si="111"/>
        <v>0</v>
      </c>
      <c r="AJ60" s="26">
        <f t="shared" ca="1" si="111"/>
        <v>0</v>
      </c>
      <c r="AK60" s="26">
        <f t="shared" ca="1" si="111"/>
        <v>0</v>
      </c>
      <c r="AL60" s="26">
        <f t="shared" ca="1" si="111"/>
        <v>0</v>
      </c>
      <c r="AM60" s="26">
        <f t="shared" ca="1" si="111"/>
        <v>0</v>
      </c>
      <c r="AN60" s="26">
        <f t="shared" ca="1" si="111"/>
        <v>0</v>
      </c>
      <c r="AO60" s="26">
        <f t="shared" ca="1" si="111"/>
        <v>0</v>
      </c>
      <c r="AP60" s="26">
        <f t="shared" ca="1" si="111"/>
        <v>0</v>
      </c>
      <c r="AQ60" s="26">
        <f t="shared" ca="1" si="111"/>
        <v>0</v>
      </c>
      <c r="AR60" s="26">
        <f t="shared" ca="1" si="111"/>
        <v>0</v>
      </c>
      <c r="AS60" s="26">
        <f t="shared" ca="1" si="111"/>
        <v>0</v>
      </c>
      <c r="AT60" s="26">
        <f t="shared" ca="1" si="111"/>
        <v>0</v>
      </c>
      <c r="AU60" s="26">
        <f t="shared" ca="1" si="111"/>
        <v>0</v>
      </c>
      <c r="AV60" s="26">
        <f t="shared" ca="1" si="111"/>
        <v>0</v>
      </c>
      <c r="AW60" s="26">
        <f t="shared" ca="1" si="111"/>
        <v>0</v>
      </c>
      <c r="AX60" s="26">
        <f t="shared" ca="1" si="111"/>
        <v>0</v>
      </c>
      <c r="AY60" s="26">
        <f t="shared" ca="1" si="111"/>
        <v>0</v>
      </c>
      <c r="AZ60" s="26">
        <f t="shared" ca="1" si="111"/>
        <v>0</v>
      </c>
      <c r="BA60" s="26">
        <f t="shared" ca="1" si="111"/>
        <v>0</v>
      </c>
      <c r="BB60" s="26">
        <f t="shared" ca="1" si="111"/>
        <v>0</v>
      </c>
      <c r="BC60" s="26">
        <f t="shared" ca="1" si="111"/>
        <v>0</v>
      </c>
      <c r="BD60" s="26">
        <f t="shared" ca="1" si="111"/>
        <v>0</v>
      </c>
      <c r="BE60" s="26">
        <f t="shared" ca="1" si="111"/>
        <v>0</v>
      </c>
      <c r="BF60" s="26">
        <f t="shared" ca="1" si="111"/>
        <v>0</v>
      </c>
      <c r="BG60" s="26">
        <f t="shared" ca="1" si="111"/>
        <v>0</v>
      </c>
      <c r="BH60" s="26">
        <f t="shared" ca="1" si="111"/>
        <v>0</v>
      </c>
      <c r="BI60" s="26">
        <f t="shared" ca="1" si="111"/>
        <v>0</v>
      </c>
      <c r="BJ60" s="26">
        <f t="shared" ca="1" si="111"/>
        <v>0</v>
      </c>
      <c r="BK60" s="26">
        <f t="shared" ca="1" si="111"/>
        <v>0</v>
      </c>
      <c r="BL60" s="26">
        <f t="shared" ca="1" si="111"/>
        <v>0</v>
      </c>
      <c r="BM60" s="26">
        <f t="shared" ca="1" si="111"/>
        <v>0</v>
      </c>
      <c r="BN60" s="26">
        <f t="shared" ca="1" si="111"/>
        <v>0</v>
      </c>
      <c r="BO60" s="26">
        <f t="shared" ca="1" si="111"/>
        <v>0</v>
      </c>
      <c r="BP60" s="26">
        <f t="shared" ca="1" si="111"/>
        <v>0</v>
      </c>
      <c r="BQ60" s="26">
        <f t="shared" ca="1" si="111"/>
        <v>0</v>
      </c>
      <c r="BR60" s="26">
        <f t="shared" ca="1" si="111"/>
        <v>0</v>
      </c>
      <c r="BS60" s="282">
        <f ca="1">IF(ISNUMBER($A56),IF(INDEX(B58:G58,5)&lt;&gt;0,SIGN(INDEX(B58:G58,5))*INDIRECT(ADDRESS(1+ABS(INDEX(B58:G58,5)),COLUMN(Ksys!$B$1),1,TRUE,"Ksys")),0)+AB60,0)</f>
        <v>0</v>
      </c>
      <c r="BT60" s="284">
        <f ca="1"/>
        <v>0</v>
      </c>
      <c r="BU60" s="284">
        <f ca="1"/>
        <v>0</v>
      </c>
      <c r="BV60" s="284">
        <f ca="1"/>
        <v>0</v>
      </c>
      <c r="BW60" s="296" t="s">
        <v>102</v>
      </c>
      <c r="BX60" s="216">
        <f ca="1">IF(ISNUMBER($A56),$B57*(1-BX$1) + $C57*BX$1 + Knoten!$S$5*BX58,KnotenData!$H$2)</f>
        <v>0.5</v>
      </c>
      <c r="BY60" s="206">
        <f ca="1">IF(ISNUMBER($A56),$B57*(1-BY$1) + $C57*BY$1 + Knoten!$S$5*BY58,KnotenData!$H$2)</f>
        <v>0.5</v>
      </c>
      <c r="BZ60" s="206">
        <f ca="1">IF(ISNUMBER($A56),$B57*(1-BZ$1) + $C57*BZ$1 + Knoten!$S$5*BZ58,KnotenData!$H$2)</f>
        <v>0.5</v>
      </c>
      <c r="CA60" s="206">
        <f ca="1">IF(ISNUMBER($A56),$B57*(1-CA$1) + $C57*CA$1 + Knoten!$S$5*CA58,KnotenData!$H$2)</f>
        <v>0.5</v>
      </c>
      <c r="CB60" s="206">
        <f ca="1">IF(ISNUMBER($A56),$B57*(1-CB$1) + $C57*CB$1 + Knoten!$S$5*CB58,KnotenData!$H$2)</f>
        <v>0.5</v>
      </c>
      <c r="CC60" s="206">
        <f ca="1">IF(ISNUMBER($A56),$B57*(1-CC$1) + $C57*CC$1 + Knoten!$S$5*CC58,KnotenData!$H$2)</f>
        <v>0.5</v>
      </c>
      <c r="CD60" s="206">
        <f ca="1">IF(ISNUMBER($A56),$B57*(1-CD$1) + $C57*CD$1 + Knoten!$S$5*CD58,KnotenData!$H$2)</f>
        <v>0.5</v>
      </c>
      <c r="CE60" s="206">
        <f ca="1">IF(ISNUMBER($A56),$B57*(1-CE$1) + $C57*CE$1 + Knoten!$S$5*CE58,KnotenData!$H$2)</f>
        <v>0.5</v>
      </c>
      <c r="CF60" s="206">
        <f ca="1">IF(ISNUMBER($A56),$B57*(1-CF$1) + $C57*CF$1 + Knoten!$S$5*CF58,KnotenData!$H$2)</f>
        <v>0.5</v>
      </c>
      <c r="CG60" s="206">
        <f ca="1">IF(ISNUMBER($A56),$B57*(1-CG$1) + $C57*CG$1 + Knoten!$S$5*CG58,KnotenData!$H$2)</f>
        <v>0.5</v>
      </c>
      <c r="CH60" s="217">
        <f ca="1">IF(ISNUMBER($A56),$B57*(1-CH$1) + $C57*CH$1 + Knoten!$S$5*CH58,KnotenData!$H$2)</f>
        <v>0.5</v>
      </c>
      <c r="CI60" s="447">
        <f ca="1">MIN(BX60:CH60)</f>
        <v>0.5</v>
      </c>
      <c r="CJ60" s="447">
        <f ca="1">MIN(BX61:CH61)</f>
        <v>0.47499999999999998</v>
      </c>
      <c r="CK60" s="445"/>
      <c r="CL60" s="12"/>
      <c r="CM60" s="293" t="s">
        <v>102</v>
      </c>
      <c r="CN60" s="216">
        <f ca="1">IF(ISNUMBER($A56),$B57*(1-CN$1) + $C57*CN$1 + Momente!$D$6*CN58,KnotenData!$H$2)</f>
        <v>0.5</v>
      </c>
      <c r="CO60" s="206">
        <f ca="1">IF(ISNUMBER($A56),$B57*(1-CO$1) + $C57*CO$1 + Momente!$D$6*CO58,KnotenData!$H$2)</f>
        <v>0.5</v>
      </c>
      <c r="CP60" s="206">
        <f ca="1">IF(ISNUMBER($A56),$B57*(1-CP$1) + $C57*CP$1 + Momente!$D$6*CP58,KnotenData!$H$2)</f>
        <v>0.5</v>
      </c>
      <c r="CQ60" s="206">
        <f ca="1">IF(ISNUMBER($A56),$B57*(1-CQ$1) + $C57*CQ$1 + Momente!$D$6*CQ58,KnotenData!$H$2)</f>
        <v>0.5</v>
      </c>
      <c r="CR60" s="206">
        <f ca="1">IF(ISNUMBER($A56),$B57*(1-CR$1) + $C57*CR$1 + Momente!$D$6*CR58,KnotenData!$H$2)</f>
        <v>0.5</v>
      </c>
      <c r="CS60" s="206">
        <f ca="1">IF(ISNUMBER($A56),$B57*(1-CS$1) + $C57*CS$1 + Momente!$D$6*CS58,KnotenData!$H$2)</f>
        <v>0.5</v>
      </c>
      <c r="CT60" s="206">
        <f ca="1">IF(ISNUMBER($A56),$B57*(1-CT$1) + $C57*CT$1 + Momente!$D$6*CT58,KnotenData!$H$2)</f>
        <v>0.5</v>
      </c>
      <c r="CU60" s="206">
        <f ca="1">IF(ISNUMBER($A56),$B57*(1-CU$1) + $C57*CU$1 + Momente!$D$6*CU58,KnotenData!$H$2)</f>
        <v>0.5</v>
      </c>
      <c r="CV60" s="206">
        <f ca="1">IF(ISNUMBER($A56),$B57*(1-CV$1) + $C57*CV$1 + Momente!$D$6*CV58,KnotenData!$H$2)</f>
        <v>0.5</v>
      </c>
      <c r="CW60" s="206">
        <f ca="1">IF(ISNUMBER($A56),$B57*(1-CW$1) + $C57*CW$1 + Momente!$D$6*CW58,KnotenData!$H$2)</f>
        <v>0.5</v>
      </c>
      <c r="CX60" s="206">
        <f ca="1">IF(ISNUMBER($A56),$B57*(1-CX$1) + $C57*CX$1 + Momente!$D$6*CX58,KnotenData!$H$2)</f>
        <v>0.5</v>
      </c>
      <c r="CY60" s="206">
        <f ca="1">IF(ISNUMBER($A56),$C57,KnotenData!$H$2)</f>
        <v>0.5</v>
      </c>
      <c r="CZ60" s="206">
        <f ca="1">IF(ISNUMBER($A56),$B57,KnotenData!$H$2)</f>
        <v>0.5</v>
      </c>
      <c r="DA60" s="305">
        <f ca="1">IF(ISNUMBER($A56),CN60,KnotenData!$H$2)</f>
        <v>0.5</v>
      </c>
      <c r="DB60" s="7">
        <f ca="1">MIN(CN60:DA60)</f>
        <v>0.5</v>
      </c>
      <c r="DC60" s="8">
        <f ca="1">MIN(CN61:DA61)</f>
        <v>0.47499999999999998</v>
      </c>
      <c r="DD60" s="345"/>
      <c r="DE60" s="12"/>
      <c r="DF60" s="293" t="s">
        <v>102</v>
      </c>
      <c r="DG60" s="216">
        <f ca="1">IF(ISNUMBER($A56),$B57*(1-DG$1) + $C57*DG$1 + Querkräfte!$D$6*DG58,KnotenData!$H$2)</f>
        <v>0.5</v>
      </c>
      <c r="DH60" s="206">
        <f ca="1">IF(ISNUMBER($A56),$B57*(1-DH$1) + $C57*DH$1 + Querkräfte!$D$6*DH58,KnotenData!$H$2)</f>
        <v>0.5</v>
      </c>
      <c r="DI60" s="206">
        <f ca="1">IF(ISNUMBER($A56),$B57*(1-DI$1) + $C57*DI$1 + Querkräfte!$D$6*DI58,KnotenData!$H$2)</f>
        <v>0.5</v>
      </c>
      <c r="DJ60" s="206">
        <f ca="1">IF(ISNUMBER($A56),$B57*(1-DJ$1) + $C57*DJ$1 + Querkräfte!$D$6*DJ58,KnotenData!$H$2)</f>
        <v>0.5</v>
      </c>
      <c r="DK60" s="206">
        <f ca="1">IF(ISNUMBER($A56),$B57*(1-DK$1) + $C57*DK$1 + Querkräfte!$D$6*DK58,KnotenData!$H$2)</f>
        <v>0.5</v>
      </c>
      <c r="DL60" s="206">
        <f ca="1">IF(ISNUMBER($A56),$B57*(1-DL$1) + $C57*DL$1 + Querkräfte!$D$6*DL58,KnotenData!$H$2)</f>
        <v>0.5</v>
      </c>
      <c r="DM60" s="206">
        <f ca="1">IF(ISNUMBER($A56),$B57*(1-DM$1) + $C57*DM$1 + Querkräfte!$D$6*DM58,KnotenData!$H$2)</f>
        <v>0.5</v>
      </c>
      <c r="DN60" s="206">
        <f ca="1">IF(ISNUMBER($A56),$B57*(1-DN$1) + $C57*DN$1 + Querkräfte!$D$6*DN58,KnotenData!$H$2)</f>
        <v>0.5</v>
      </c>
      <c r="DO60" s="206">
        <f ca="1">IF(ISNUMBER($A56),$B57*(1-DO$1) + $C57*DO$1 + Querkräfte!$D$6*DO58,KnotenData!$H$2)</f>
        <v>0.5</v>
      </c>
      <c r="DP60" s="206">
        <f ca="1">IF(ISNUMBER($A56),$B57*(1-DP$1) + $C57*DP$1 + Querkräfte!$D$6*DP58,KnotenData!$H$2)</f>
        <v>0.5</v>
      </c>
      <c r="DQ60" s="206">
        <f ca="1">IF(ISNUMBER($A56),$B57*(1-DQ$1) + $C57*DQ$1 + Querkräfte!$D$6*DQ58,KnotenData!$H$2)</f>
        <v>0.5</v>
      </c>
      <c r="DR60" s="206">
        <f ca="1">IF(ISNUMBER($A56),$C57,KnotenData!$H$2)</f>
        <v>0.5</v>
      </c>
      <c r="DS60" s="206">
        <f ca="1">IF(ISNUMBER($A56),$B57,KnotenData!$H$2)</f>
        <v>0.5</v>
      </c>
      <c r="DT60" s="217">
        <f ca="1">IF(ISNUMBER($A56),DG60,KnotenData!$H$2)</f>
        <v>0.5</v>
      </c>
      <c r="DU60" s="145">
        <f ca="1">MIN(DG60:DQ60)</f>
        <v>0.5</v>
      </c>
      <c r="DV60" s="8">
        <f ca="1">MIN(DG61:DQ61)</f>
        <v>0.47499999999999998</v>
      </c>
      <c r="DW60" s="345"/>
      <c r="DX60" s="12"/>
      <c r="DY60" s="293" t="s">
        <v>102</v>
      </c>
      <c r="DZ60" s="216">
        <f ca="1">IF(ISNUMBER($A56),$B57*(1-DZ$1) + $C57*DZ$1 + Normalkräfte!$D$6*DZ58,KnotenData!$H$2)</f>
        <v>0.5</v>
      </c>
      <c r="EA60" s="206">
        <f ca="1">IF(ISNUMBER($A56),$B57*(1-EA$1) + $C57*EA$1 + Normalkräfte!$D$6*EA58,KnotenData!$H$2)</f>
        <v>0.5</v>
      </c>
      <c r="EB60" s="206">
        <f ca="1">IF(ISNUMBER($A56),$B57*(1-EB$1) + $C57*EB$1 + Normalkräfte!$D$6*EB58,KnotenData!$H$2)</f>
        <v>0.5</v>
      </c>
      <c r="EC60" s="206">
        <f ca="1">IF(ISNUMBER($A56),$B57*(1-EC$1) + $C57*EC$1 + Normalkräfte!$D$6*EC58,KnotenData!$H$2)</f>
        <v>0.5</v>
      </c>
      <c r="ED60" s="206">
        <f ca="1">IF(ISNUMBER($A56),$B57*(1-ED$1) + $C57*ED$1 + Normalkräfte!$D$6*ED58,KnotenData!$H$2)</f>
        <v>0.5</v>
      </c>
      <c r="EE60" s="206">
        <f ca="1">IF(ISNUMBER($A56),$B57*(1-EE$1) + $C57*EE$1 + Normalkräfte!$D$6*EE58,KnotenData!$H$2)</f>
        <v>0.5</v>
      </c>
      <c r="EF60" s="206">
        <f ca="1">IF(ISNUMBER($A56),$B57*(1-EF$1) + $C57*EF$1 + Normalkräfte!$D$6*EF58,KnotenData!$H$2)</f>
        <v>0.5</v>
      </c>
      <c r="EG60" s="206">
        <f ca="1">IF(ISNUMBER($A56),$B57*(1-EG$1) + $C57*EG$1 + Normalkräfte!$D$6*EG58,KnotenData!$H$2)</f>
        <v>0.5</v>
      </c>
      <c r="EH60" s="206">
        <f ca="1">IF(ISNUMBER($A56),$B57*(1-EH$1) + $C57*EH$1 + Normalkräfte!$D$6*EH58,KnotenData!$H$2)</f>
        <v>0.5</v>
      </c>
      <c r="EI60" s="206">
        <f ca="1">IF(ISNUMBER($A56),$B57*(1-EI$1) + $C57*EI$1 + Normalkräfte!$D$6*EI58,KnotenData!$H$2)</f>
        <v>0.5</v>
      </c>
      <c r="EJ60" s="206">
        <f ca="1">IF(ISNUMBER($A56),$B57*(1-EJ$1) + $C57*EJ$1 + Normalkräfte!$D$6*EJ58,KnotenData!$H$2)</f>
        <v>0.5</v>
      </c>
      <c r="EK60" s="256">
        <f ca="1">IF(ISNUMBER($A56),$C57,KnotenData!$H$2)</f>
        <v>0.5</v>
      </c>
      <c r="EL60" s="206">
        <f ca="1">IF(ISNUMBER($A56),$B57,KnotenData!$H$2)</f>
        <v>0.5</v>
      </c>
      <c r="EM60" s="217">
        <f ca="1">IF(ISNUMBER($A56),DZ60,KnotenData!$H$2)</f>
        <v>0.5</v>
      </c>
      <c r="EN60" s="7">
        <f ca="1">MIN(DZ60:EJ60)</f>
        <v>0.5</v>
      </c>
      <c r="EO60" s="8">
        <f ca="1">MIN(DZ61:EJ61)</f>
        <v>0.47499999999999998</v>
      </c>
      <c r="EP60" s="345"/>
    </row>
    <row r="61" spans="1:146" ht="13.5" thickBot="1" x14ac:dyDescent="0.25">
      <c r="E61" s="12"/>
      <c r="F61" s="12"/>
      <c r="J61" s="9">
        <v>0</v>
      </c>
      <c r="K61" s="10">
        <f ca="1">IF(G56=1,-6*B56/D56^2,IF(G56="2a",-3*B56/D56^2,IF(G56="2b",0,0)))</f>
        <v>0</v>
      </c>
      <c r="L61" s="146">
        <f ca="1">IF(G56=1,2*B56/D56,IF(G56="2a",0,IF(G56="2b",0,0)))</f>
        <v>0</v>
      </c>
      <c r="M61" s="9">
        <v>0</v>
      </c>
      <c r="N61" s="10">
        <f ca="1">-K61</f>
        <v>0</v>
      </c>
      <c r="O61" s="181">
        <f ca="1">IF(G56=1,4*B56/D56,IF(G56="2a",3*B56/D56,IF(G56="2b",0,0)))</f>
        <v>0</v>
      </c>
      <c r="P61" s="185">
        <v>0</v>
      </c>
      <c r="Q61" s="103">
        <v>0</v>
      </c>
      <c r="R61" s="103">
        <v>0</v>
      </c>
      <c r="S61" s="111">
        <v>0</v>
      </c>
      <c r="T61" s="111">
        <v>0</v>
      </c>
      <c r="U61" s="112">
        <v>1</v>
      </c>
      <c r="V61" s="9">
        <f ca="1"/>
        <v>0</v>
      </c>
      <c r="W61" s="10">
        <f ca="1"/>
        <v>0</v>
      </c>
      <c r="X61" s="146">
        <f ca="1"/>
        <v>0</v>
      </c>
      <c r="Y61" s="9">
        <f ca="1"/>
        <v>0</v>
      </c>
      <c r="Z61" s="10">
        <f ca="1"/>
        <v>0</v>
      </c>
      <c r="AA61" s="181">
        <f ca="1"/>
        <v>0</v>
      </c>
      <c r="AB61" s="62">
        <f ca="1">IF(ISNUMBER($A56),INDIRECT("System!" &amp; ADDRESS(A56+1,COLUMN(System!X55))),0)</f>
        <v>0</v>
      </c>
      <c r="AC61" s="302">
        <f ca="1">IF(G56=1,F56*D56^2/12,IF(G56="2a",F56*D56^2/8,IF(G56="2b",0,0)))</f>
        <v>0</v>
      </c>
      <c r="AD61" s="62">
        <f ca="1"/>
        <v>0</v>
      </c>
      <c r="AE61" s="9">
        <f t="shared" ref="AE61:BR61" ca="1" si="112">IF(ABS($G58)=AE$1,SIGN($G58),0)</f>
        <v>0</v>
      </c>
      <c r="AF61" s="10">
        <f t="shared" ca="1" si="112"/>
        <v>0</v>
      </c>
      <c r="AG61" s="10">
        <f t="shared" ca="1" si="112"/>
        <v>0</v>
      </c>
      <c r="AH61" s="10">
        <f t="shared" ca="1" si="112"/>
        <v>0</v>
      </c>
      <c r="AI61" s="10">
        <f t="shared" ca="1" si="112"/>
        <v>0</v>
      </c>
      <c r="AJ61" s="188">
        <f t="shared" ca="1" si="112"/>
        <v>0</v>
      </c>
      <c r="AK61" s="188">
        <f t="shared" ca="1" si="112"/>
        <v>0</v>
      </c>
      <c r="AL61" s="188">
        <f t="shared" ca="1" si="112"/>
        <v>0</v>
      </c>
      <c r="AM61" s="188">
        <f t="shared" ca="1" si="112"/>
        <v>0</v>
      </c>
      <c r="AN61" s="188">
        <f t="shared" ca="1" si="112"/>
        <v>0</v>
      </c>
      <c r="AO61" s="188">
        <f t="shared" ca="1" si="112"/>
        <v>0</v>
      </c>
      <c r="AP61" s="188">
        <f t="shared" ca="1" si="112"/>
        <v>0</v>
      </c>
      <c r="AQ61" s="188">
        <f t="shared" ca="1" si="112"/>
        <v>0</v>
      </c>
      <c r="AR61" s="188">
        <f t="shared" ca="1" si="112"/>
        <v>0</v>
      </c>
      <c r="AS61" s="188">
        <f t="shared" ca="1" si="112"/>
        <v>0</v>
      </c>
      <c r="AT61" s="188">
        <f t="shared" ca="1" si="112"/>
        <v>0</v>
      </c>
      <c r="AU61" s="188">
        <f t="shared" ca="1" si="112"/>
        <v>0</v>
      </c>
      <c r="AV61" s="188">
        <f t="shared" ca="1" si="112"/>
        <v>0</v>
      </c>
      <c r="AW61" s="188">
        <f t="shared" ca="1" si="112"/>
        <v>0</v>
      </c>
      <c r="AX61" s="188">
        <f t="shared" ca="1" si="112"/>
        <v>0</v>
      </c>
      <c r="AY61" s="188">
        <f t="shared" ca="1" si="112"/>
        <v>0</v>
      </c>
      <c r="AZ61" s="188">
        <f t="shared" ca="1" si="112"/>
        <v>0</v>
      </c>
      <c r="BA61" s="188">
        <f t="shared" ca="1" si="112"/>
        <v>0</v>
      </c>
      <c r="BB61" s="188">
        <f t="shared" ca="1" si="112"/>
        <v>0</v>
      </c>
      <c r="BC61" s="188">
        <f t="shared" ca="1" si="112"/>
        <v>0</v>
      </c>
      <c r="BD61" s="188">
        <f t="shared" ca="1" si="112"/>
        <v>0</v>
      </c>
      <c r="BE61" s="188">
        <f t="shared" ca="1" si="112"/>
        <v>0</v>
      </c>
      <c r="BF61" s="188">
        <f t="shared" ca="1" si="112"/>
        <v>0</v>
      </c>
      <c r="BG61" s="188">
        <f t="shared" ca="1" si="112"/>
        <v>0</v>
      </c>
      <c r="BH61" s="188">
        <f t="shared" ca="1" si="112"/>
        <v>0</v>
      </c>
      <c r="BI61" s="188">
        <f t="shared" ca="1" si="112"/>
        <v>0</v>
      </c>
      <c r="BJ61" s="188">
        <f t="shared" ca="1" si="112"/>
        <v>0</v>
      </c>
      <c r="BK61" s="188">
        <f t="shared" ca="1" si="112"/>
        <v>0</v>
      </c>
      <c r="BL61" s="188">
        <f t="shared" ca="1" si="112"/>
        <v>0</v>
      </c>
      <c r="BM61" s="188">
        <f t="shared" ca="1" si="112"/>
        <v>0</v>
      </c>
      <c r="BN61" s="188">
        <f t="shared" ca="1" si="112"/>
        <v>0</v>
      </c>
      <c r="BO61" s="188">
        <f t="shared" ca="1" si="112"/>
        <v>0</v>
      </c>
      <c r="BP61" s="188">
        <f t="shared" ca="1" si="112"/>
        <v>0</v>
      </c>
      <c r="BQ61" s="188">
        <f t="shared" ca="1" si="112"/>
        <v>0</v>
      </c>
      <c r="BR61" s="188">
        <f t="shared" ca="1" si="112"/>
        <v>0</v>
      </c>
      <c r="BS61" s="283">
        <f ca="1">IF(ISNUMBER($A56),IF(INDEX(B58:G58,6)&lt;&gt;0,SIGN(INDEX(B58:G58,6))*INDIRECT(ADDRESS(1+ABS(INDEX(B58:G58,6)),COLUMN(Ksys!$B$1),1,TRUE,"Ksys")),0)+AB61,0)</f>
        <v>0</v>
      </c>
      <c r="BT61" s="178">
        <f ca="1"/>
        <v>0</v>
      </c>
      <c r="BU61" s="178">
        <f ca="1"/>
        <v>0</v>
      </c>
      <c r="BV61" s="178">
        <f ca="1"/>
        <v>0</v>
      </c>
      <c r="BW61" s="297" t="s">
        <v>103</v>
      </c>
      <c r="BX61" s="218">
        <f ca="1">IF(ISNUMBER($A56),$D57*(1-BX$1) + $E57*BX$1 + Knoten!$S$5*BX59,KnotenData!$H$3)</f>
        <v>0.47499999999999998</v>
      </c>
      <c r="BY61" s="295">
        <f ca="1">IF(ISNUMBER($A56),$D57*(1-BY$1) + $E57*BY$1 + Knoten!$S$5*BY59,KnotenData!$H$3)</f>
        <v>0.47499999999999998</v>
      </c>
      <c r="BZ61" s="295">
        <f ca="1">IF(ISNUMBER($A56),$D57*(1-BZ$1) + $E57*BZ$1 + Knoten!$S$5*BZ59,KnotenData!$H$3)</f>
        <v>0.47499999999999998</v>
      </c>
      <c r="CA61" s="295">
        <f ca="1">IF(ISNUMBER($A56),$D57*(1-CA$1) + $E57*CA$1 + Knoten!$S$5*CA59,KnotenData!$H$3)</f>
        <v>0.47499999999999998</v>
      </c>
      <c r="CB61" s="295">
        <f ca="1">IF(ISNUMBER($A56),$D57*(1-CB$1) + $E57*CB$1 + Knoten!$S$5*CB59,KnotenData!$H$3)</f>
        <v>0.47499999999999998</v>
      </c>
      <c r="CC61" s="295">
        <f ca="1">IF(ISNUMBER($A56),$D57*(1-CC$1) + $E57*CC$1 + Knoten!$S$5*CC59,KnotenData!$H$3)</f>
        <v>0.47499999999999998</v>
      </c>
      <c r="CD61" s="295">
        <f ca="1">IF(ISNUMBER($A56),$D57*(1-CD$1) + $E57*CD$1 + Knoten!$S$5*CD59,KnotenData!$H$3)</f>
        <v>0.47499999999999998</v>
      </c>
      <c r="CE61" s="295">
        <f ca="1">IF(ISNUMBER($A56),$D57*(1-CE$1) + $E57*CE$1 + Knoten!$S$5*CE59,KnotenData!$H$3)</f>
        <v>0.47499999999999998</v>
      </c>
      <c r="CF61" s="295">
        <f ca="1">IF(ISNUMBER($A56),$D57*(1-CF$1) + $E57*CF$1 + Knoten!$S$5*CF59,KnotenData!$H$3)</f>
        <v>0.47499999999999998</v>
      </c>
      <c r="CG61" s="295">
        <f ca="1">IF(ISNUMBER($A56),$D57*(1-CG$1) + $E57*CG$1 + Knoten!$S$5*CG59,KnotenData!$H$3)</f>
        <v>0.47499999999999998</v>
      </c>
      <c r="CH61" s="219">
        <f ca="1">IF(ISNUMBER($A56),$D57*(1-CH$1) + $E57*CH$1 + Knoten!$S$5*CH59,KnotenData!$H$3)</f>
        <v>0.47499999999999998</v>
      </c>
      <c r="CI61" s="449">
        <f ca="1">MAX(BX60:CH60)</f>
        <v>0.5</v>
      </c>
      <c r="CJ61" s="448">
        <f ca="1">MAX(BX61:CH61)</f>
        <v>0.47499999999999998</v>
      </c>
      <c r="CK61" s="446"/>
      <c r="CL61" s="12">
        <v>10</v>
      </c>
      <c r="CM61" s="294" t="s">
        <v>103</v>
      </c>
      <c r="CN61" s="218">
        <f ca="1">IF(ISNUMBER($A56),$D57*(1-CN$1) + $E57*CN$1 + Momente!$D$6*CN59,KnotenData!$H$3)</f>
        <v>0.47499999999999998</v>
      </c>
      <c r="CO61" s="295">
        <f ca="1">IF(ISNUMBER($A56),$D57*(1-CO$1) + $E57*CO$1 + Momente!$D$6*CO59,KnotenData!$H$3)</f>
        <v>0.47499999999999998</v>
      </c>
      <c r="CP61" s="295">
        <f ca="1">IF(ISNUMBER($A56),$D57*(1-CP$1) + $E57*CP$1 + Momente!$D$6*CP59,KnotenData!$H$3)</f>
        <v>0.47499999999999998</v>
      </c>
      <c r="CQ61" s="295">
        <f ca="1">IF(ISNUMBER($A56),$D57*(1-CQ$1) + $E57*CQ$1 + Momente!$D$6*CQ59,KnotenData!$H$3)</f>
        <v>0.47499999999999998</v>
      </c>
      <c r="CR61" s="295">
        <f ca="1">IF(ISNUMBER($A56),$D57*(1-CR$1) + $E57*CR$1 + Momente!$D$6*CR59,KnotenData!$H$3)</f>
        <v>0.47499999999999998</v>
      </c>
      <c r="CS61" s="295">
        <f ca="1">IF(ISNUMBER($A56),$D57*(1-CS$1) + $E57*CS$1 + Momente!$D$6*CS59,KnotenData!$H$3)</f>
        <v>0.47499999999999998</v>
      </c>
      <c r="CT61" s="295">
        <f ca="1">IF(ISNUMBER($A56),$D57*(1-CT$1) + $E57*CT$1 + Momente!$D$6*CT59,KnotenData!$H$3)</f>
        <v>0.47499999999999998</v>
      </c>
      <c r="CU61" s="295">
        <f ca="1">IF(ISNUMBER($A56),$D57*(1-CU$1) + $E57*CU$1 + Momente!$D$6*CU59,KnotenData!$H$3)</f>
        <v>0.47499999999999998</v>
      </c>
      <c r="CV61" s="295">
        <f ca="1">IF(ISNUMBER($A56),$D57*(1-CV$1) + $E57*CV$1 + Momente!$D$6*CV59,KnotenData!$H$3)</f>
        <v>0.47499999999999998</v>
      </c>
      <c r="CW61" s="295">
        <f ca="1">IF(ISNUMBER($A56),$D57*(1-CW$1) + $E57*CW$1 + Momente!$D$6*CW59,KnotenData!$H$3)</f>
        <v>0.47499999999999998</v>
      </c>
      <c r="CX61" s="295">
        <f ca="1">IF(ISNUMBER($A56),$D57*(1-CX$1) + $E57*CX$1 + Momente!$D$6*CX59,KnotenData!$H$3)</f>
        <v>0.47499999999999998</v>
      </c>
      <c r="CY61" s="295">
        <f ca="1">IF(ISNUMBER($A56),$E57,KnotenData!$H$3)</f>
        <v>0.47499999999999998</v>
      </c>
      <c r="CZ61" s="295">
        <f ca="1">IF(ISNUMBER($A56),$D57,KnotenData!$H$3)</f>
        <v>0.47499999999999998</v>
      </c>
      <c r="DA61" s="306">
        <f ca="1">IF(ISNUMBER($A56),CN61,KnotenData!$H$3)</f>
        <v>0.47499999999999998</v>
      </c>
      <c r="DB61" s="9">
        <f ca="1">MAX(CN60:DA60)</f>
        <v>0.5</v>
      </c>
      <c r="DC61" s="146">
        <f ca="1">MAX(CN61:DA61)</f>
        <v>0.47499999999999998</v>
      </c>
      <c r="DD61" s="346"/>
      <c r="DE61" s="12">
        <v>10</v>
      </c>
      <c r="DF61" s="294" t="s">
        <v>103</v>
      </c>
      <c r="DG61" s="218">
        <f ca="1">IF(ISNUMBER($A56),$D57*(1-DG$1) + $E57*DG$1 + Querkräfte!$D$6*DG59,KnotenData!$H$3)</f>
        <v>0.47499999999999998</v>
      </c>
      <c r="DH61" s="295">
        <f ca="1">IF(ISNUMBER($A56),$D57*(1-DH$1) + $E57*DH$1 + Querkräfte!$D$6*DH59,KnotenData!$H$3)</f>
        <v>0.47499999999999998</v>
      </c>
      <c r="DI61" s="295">
        <f ca="1">IF(ISNUMBER($A56),$D57*(1-DI$1) + $E57*DI$1 + Querkräfte!$D$6*DI59,KnotenData!$H$3)</f>
        <v>0.47499999999999998</v>
      </c>
      <c r="DJ61" s="295">
        <f ca="1">IF(ISNUMBER($A56),$D57*(1-DJ$1) + $E57*DJ$1 + Querkräfte!$D$6*DJ59,KnotenData!$H$3)</f>
        <v>0.47499999999999998</v>
      </c>
      <c r="DK61" s="295">
        <f ca="1">IF(ISNUMBER($A56),$D57*(1-DK$1) + $E57*DK$1 + Querkräfte!$D$6*DK59,KnotenData!$H$3)</f>
        <v>0.47499999999999998</v>
      </c>
      <c r="DL61" s="295">
        <f ca="1">IF(ISNUMBER($A56),$D57*(1-DL$1) + $E57*DL$1 + Querkräfte!$D$6*DL59,KnotenData!$H$3)</f>
        <v>0.47499999999999998</v>
      </c>
      <c r="DM61" s="295">
        <f ca="1">IF(ISNUMBER($A56),$D57*(1-DM$1) + $E57*DM$1 + Querkräfte!$D$6*DM59,KnotenData!$H$3)</f>
        <v>0.47499999999999998</v>
      </c>
      <c r="DN61" s="295">
        <f ca="1">IF(ISNUMBER($A56),$D57*(1-DN$1) + $E57*DN$1 + Querkräfte!$D$6*DN59,KnotenData!$H$3)</f>
        <v>0.47499999999999998</v>
      </c>
      <c r="DO61" s="295">
        <f ca="1">IF(ISNUMBER($A56),$D57*(1-DO$1) + $E57*DO$1 + Querkräfte!$D$6*DO59,KnotenData!$H$3)</f>
        <v>0.47499999999999998</v>
      </c>
      <c r="DP61" s="295">
        <f ca="1">IF(ISNUMBER($A56),$D57*(1-DP$1) + $E57*DP$1 + Querkräfte!$D$6*DP59,KnotenData!$H$3)</f>
        <v>0.47499999999999998</v>
      </c>
      <c r="DQ61" s="295">
        <f ca="1">IF(ISNUMBER($A56),$D57*(1-DQ$1) + $E57*DQ$1 + Querkräfte!$D$6*DQ59,KnotenData!$H$3)</f>
        <v>0.47499999999999998</v>
      </c>
      <c r="DR61" s="295">
        <f ca="1">IF(ISNUMBER($A56),$E57,KnotenData!$H$3)</f>
        <v>0.47499999999999998</v>
      </c>
      <c r="DS61" s="295">
        <f ca="1">IF(ISNUMBER($A56),$D57,KnotenData!$H$3)</f>
        <v>0.47499999999999998</v>
      </c>
      <c r="DT61" s="219">
        <f ca="1">IF(ISNUMBER($A56),DG61,KnotenData!$H$3)</f>
        <v>0.47499999999999998</v>
      </c>
      <c r="DU61" s="11">
        <f ca="1">MAX(DG60:DQ60)</f>
        <v>0.5</v>
      </c>
      <c r="DV61" s="146">
        <f ca="1">MAX(DG61:DQ61)</f>
        <v>0.47499999999999998</v>
      </c>
      <c r="DW61" s="346"/>
      <c r="DX61" s="12">
        <v>10</v>
      </c>
      <c r="DY61" s="294" t="s">
        <v>103</v>
      </c>
      <c r="DZ61" s="218">
        <f ca="1">IF(ISNUMBER($A56),$D57*(1-DZ$1) + $E57*DZ$1 + Normalkräfte!$D$6*DZ59,KnotenData!$H$3)</f>
        <v>0.47499999999999998</v>
      </c>
      <c r="EA61" s="295">
        <f ca="1">IF(ISNUMBER($A56),$D57*(1-EA$1) + $E57*EA$1 + Normalkräfte!$D$6*EA59,KnotenData!$H$3)</f>
        <v>0.47499999999999998</v>
      </c>
      <c r="EB61" s="295">
        <f ca="1">IF(ISNUMBER($A56),$D57*(1-EB$1) + $E57*EB$1 + Normalkräfte!$D$6*EB59,KnotenData!$H$3)</f>
        <v>0.47499999999999998</v>
      </c>
      <c r="EC61" s="295">
        <f ca="1">IF(ISNUMBER($A56),$D57*(1-EC$1) + $E57*EC$1 + Normalkräfte!$D$6*EC59,KnotenData!$H$3)</f>
        <v>0.47499999999999998</v>
      </c>
      <c r="ED61" s="295">
        <f ca="1">IF(ISNUMBER($A56),$D57*(1-ED$1) + $E57*ED$1 + Normalkräfte!$D$6*ED59,KnotenData!$H$3)</f>
        <v>0.47499999999999998</v>
      </c>
      <c r="EE61" s="295">
        <f ca="1">IF(ISNUMBER($A56),$D57*(1-EE$1) + $E57*EE$1 + Normalkräfte!$D$6*EE59,KnotenData!$H$3)</f>
        <v>0.47499999999999998</v>
      </c>
      <c r="EF61" s="295">
        <f ca="1">IF(ISNUMBER($A56),$D57*(1-EF$1) + $E57*EF$1 + Normalkräfte!$D$6*EF59,KnotenData!$H$3)</f>
        <v>0.47499999999999998</v>
      </c>
      <c r="EG61" s="295">
        <f ca="1">IF(ISNUMBER($A56),$D57*(1-EG$1) + $E57*EG$1 + Normalkräfte!$D$6*EG59,KnotenData!$H$3)</f>
        <v>0.47499999999999998</v>
      </c>
      <c r="EH61" s="295">
        <f ca="1">IF(ISNUMBER($A56),$D57*(1-EH$1) + $E57*EH$1 + Normalkräfte!$D$6*EH59,KnotenData!$H$3)</f>
        <v>0.47499999999999998</v>
      </c>
      <c r="EI61" s="295">
        <f ca="1">IF(ISNUMBER($A56),$D57*(1-EI$1) + $E57*EI$1 + Normalkräfte!$D$6*EI59,KnotenData!$H$3)</f>
        <v>0.47499999999999998</v>
      </c>
      <c r="EJ61" s="295">
        <f ca="1">IF(ISNUMBER($A56),$D57*(1-EJ$1) + $E57*EJ$1 + Normalkräfte!$D$6*EJ59,KnotenData!$H$3)</f>
        <v>0.47499999999999998</v>
      </c>
      <c r="EK61" s="295">
        <f ca="1">IF(ISNUMBER($A56),$E57,KnotenData!$H$3)</f>
        <v>0.47499999999999998</v>
      </c>
      <c r="EL61" s="295">
        <f ca="1">IF(ISNUMBER($A56),$D57,KnotenData!$H$3)</f>
        <v>0.47499999999999998</v>
      </c>
      <c r="EM61" s="219">
        <f ca="1">IF(ISNUMBER($A56),DZ61,KnotenData!$H$3)</f>
        <v>0.47499999999999998</v>
      </c>
      <c r="EN61" s="9">
        <f ca="1">MAX(DZ60:EJ60)</f>
        <v>0.5</v>
      </c>
      <c r="EO61" s="146">
        <f ca="1">MAX(DZ61:EJ61)</f>
        <v>0.47499999999999998</v>
      </c>
      <c r="EP61" s="346"/>
    </row>
    <row r="62" spans="1:146" x14ac:dyDescent="0.2">
      <c r="A62" s="205" t="str">
        <f ca="1">IF(ISNUMBER(INDIRECT("System!C" &amp;(ROW(A62)+4)/6+1)),INDIRECT("System!B"&amp;(ROW(A62)+4)/6+1),"")</f>
        <v/>
      </c>
      <c r="B62" s="206">
        <f ca="1">IF(ISNUMBER(A62),INDIRECT("System!" &amp; ADDRESS(A62 +1,COLUMN(System!E61))),0)</f>
        <v>0</v>
      </c>
      <c r="C62" s="206">
        <f ca="1">IF(ISNUMBER(A62),INDIRECT("System!" &amp; ADDRESS(A62 +1,COLUMN(System!F61))),0)</f>
        <v>0</v>
      </c>
      <c r="D62" s="209">
        <f ca="1">IF(ISNUMBER(A62),INDIRECT("System!" &amp; ADDRESS(A62 +1,COLUMN(System!O61))),0)</f>
        <v>0</v>
      </c>
      <c r="E62" s="208" t="str">
        <f ca="1">IF(ISNUMBER(A62),INDIRECT("System!" &amp; ADDRESS(A62 +1,COLUMN(System!G61))),"")</f>
        <v/>
      </c>
      <c r="F62" s="208" t="str">
        <f ca="1">IF(ISNUMBER(A62),INDIRECT("System!" &amp; ADDRESS(A62 +1,COLUMN(System!H61))),"")</f>
        <v/>
      </c>
      <c r="G62" s="261" t="str">
        <f ca="1">IF(ISNUMBER(A62),INDIRECT("System!" &amp; ADDRESS(A62 +1,COLUMN(System!I61))),"")</f>
        <v/>
      </c>
      <c r="H62" s="207">
        <f ca="1">IF(ISNUMBER($A62),INDIRECT("System!" &amp; ADDRESS($A62 +1,COLUMN(System!Q61))),0)</f>
        <v>0</v>
      </c>
      <c r="I62" s="209">
        <f ca="1">IF(ISNUMBER($A62),INDIRECT("System!" &amp; ADDRESS($A62 +1,COLUMN(System!R61))),0)</f>
        <v>0</v>
      </c>
      <c r="J62" s="179">
        <f ca="1">IF(ISNUMBER(A62),C62/D62,0)</f>
        <v>0</v>
      </c>
      <c r="K62" s="5">
        <v>0</v>
      </c>
      <c r="L62" s="6">
        <v>0</v>
      </c>
      <c r="M62" s="4">
        <f ca="1">-J62</f>
        <v>0</v>
      </c>
      <c r="N62" s="5">
        <v>0</v>
      </c>
      <c r="O62" s="6">
        <v>0</v>
      </c>
      <c r="P62" s="141">
        <f ca="1">I62</f>
        <v>0</v>
      </c>
      <c r="Q62" s="142">
        <f ca="1">-H62</f>
        <v>0</v>
      </c>
      <c r="R62" s="142">
        <v>0</v>
      </c>
      <c r="S62" s="182">
        <v>0</v>
      </c>
      <c r="T62" s="182">
        <v>0</v>
      </c>
      <c r="U62" s="183">
        <v>0</v>
      </c>
      <c r="V62" s="179">
        <f t="array" aca="1" ref="V62:AA67" ca="1">MMULT(TRANSPOSE(P62:U67),MMULT(J62:O67,P62:U67))</f>
        <v>0</v>
      </c>
      <c r="W62" s="5">
        <f ca="1"/>
        <v>0</v>
      </c>
      <c r="X62" s="6">
        <f ca="1"/>
        <v>0</v>
      </c>
      <c r="Y62" s="4">
        <f ca="1"/>
        <v>0</v>
      </c>
      <c r="Z62" s="5">
        <f ca="1"/>
        <v>0</v>
      </c>
      <c r="AA62" s="6">
        <f ca="1"/>
        <v>0</v>
      </c>
      <c r="AB62" s="60">
        <f ca="1">IF(ISNUMBER($A62),INDIRECT("System!" &amp; ADDRESS(A62+1,COLUMN(System!S61))),0)</f>
        <v>0</v>
      </c>
      <c r="AC62" s="299">
        <f ca="1">IF(ISNUMBER(E62),E62*D62/2,0)</f>
        <v>0</v>
      </c>
      <c r="AD62" s="60">
        <f t="array" aca="1" ref="AD62:AD67" ca="1">MMULT(TRANSPOSE(P62:U67),AC62:AC67) - MMULT(V62:AA67,AB62:AB67)</f>
        <v>0</v>
      </c>
      <c r="AE62" s="4">
        <f t="shared" ref="AE62:BR62" ca="1" si="113">IF(ABS($B64)=AE$1,SIGN($B64),0)</f>
        <v>0</v>
      </c>
      <c r="AF62" s="5">
        <f t="shared" ca="1" si="113"/>
        <v>0</v>
      </c>
      <c r="AG62" s="5">
        <f t="shared" ca="1" si="113"/>
        <v>0</v>
      </c>
      <c r="AH62" s="5">
        <f t="shared" ca="1" si="113"/>
        <v>0</v>
      </c>
      <c r="AI62" s="5">
        <f t="shared" ca="1" si="113"/>
        <v>0</v>
      </c>
      <c r="AJ62" s="189">
        <f t="shared" ca="1" si="113"/>
        <v>0</v>
      </c>
      <c r="AK62" s="189">
        <f t="shared" ca="1" si="113"/>
        <v>0</v>
      </c>
      <c r="AL62" s="189">
        <f t="shared" ca="1" si="113"/>
        <v>0</v>
      </c>
      <c r="AM62" s="189">
        <f t="shared" ca="1" si="113"/>
        <v>0</v>
      </c>
      <c r="AN62" s="189">
        <f t="shared" ca="1" si="113"/>
        <v>0</v>
      </c>
      <c r="AO62" s="189">
        <f t="shared" ca="1" si="113"/>
        <v>0</v>
      </c>
      <c r="AP62" s="189">
        <f t="shared" ca="1" si="113"/>
        <v>0</v>
      </c>
      <c r="AQ62" s="189">
        <f t="shared" ca="1" si="113"/>
        <v>0</v>
      </c>
      <c r="AR62" s="189">
        <f t="shared" ca="1" si="113"/>
        <v>0</v>
      </c>
      <c r="AS62" s="189">
        <f t="shared" ca="1" si="113"/>
        <v>0</v>
      </c>
      <c r="AT62" s="189">
        <f t="shared" ca="1" si="113"/>
        <v>0</v>
      </c>
      <c r="AU62" s="189">
        <f t="shared" ca="1" si="113"/>
        <v>0</v>
      </c>
      <c r="AV62" s="189">
        <f t="shared" ca="1" si="113"/>
        <v>0</v>
      </c>
      <c r="AW62" s="189">
        <f t="shared" ca="1" si="113"/>
        <v>0</v>
      </c>
      <c r="AX62" s="189">
        <f t="shared" ca="1" si="113"/>
        <v>0</v>
      </c>
      <c r="AY62" s="189">
        <f t="shared" ca="1" si="113"/>
        <v>0</v>
      </c>
      <c r="AZ62" s="189">
        <f t="shared" ca="1" si="113"/>
        <v>0</v>
      </c>
      <c r="BA62" s="189">
        <f t="shared" ca="1" si="113"/>
        <v>0</v>
      </c>
      <c r="BB62" s="189">
        <f t="shared" ca="1" si="113"/>
        <v>0</v>
      </c>
      <c r="BC62" s="189">
        <f t="shared" ca="1" si="113"/>
        <v>0</v>
      </c>
      <c r="BD62" s="189">
        <f t="shared" ca="1" si="113"/>
        <v>0</v>
      </c>
      <c r="BE62" s="189">
        <f t="shared" ca="1" si="113"/>
        <v>0</v>
      </c>
      <c r="BF62" s="189">
        <f t="shared" ca="1" si="113"/>
        <v>0</v>
      </c>
      <c r="BG62" s="189">
        <f t="shared" ca="1" si="113"/>
        <v>0</v>
      </c>
      <c r="BH62" s="189">
        <f t="shared" ca="1" si="113"/>
        <v>0</v>
      </c>
      <c r="BI62" s="189">
        <f t="shared" ca="1" si="113"/>
        <v>0</v>
      </c>
      <c r="BJ62" s="189">
        <f t="shared" ca="1" si="113"/>
        <v>0</v>
      </c>
      <c r="BK62" s="189">
        <f t="shared" ca="1" si="113"/>
        <v>0</v>
      </c>
      <c r="BL62" s="189">
        <f t="shared" ca="1" si="113"/>
        <v>0</v>
      </c>
      <c r="BM62" s="189">
        <f t="shared" ca="1" si="113"/>
        <v>0</v>
      </c>
      <c r="BN62" s="189">
        <f t="shared" ca="1" si="113"/>
        <v>0</v>
      </c>
      <c r="BO62" s="189">
        <f t="shared" ca="1" si="113"/>
        <v>0</v>
      </c>
      <c r="BP62" s="189">
        <f t="shared" ca="1" si="113"/>
        <v>0</v>
      </c>
      <c r="BQ62" s="189">
        <f t="shared" ca="1" si="113"/>
        <v>0</v>
      </c>
      <c r="BR62" s="189">
        <f t="shared" ca="1" si="113"/>
        <v>0</v>
      </c>
      <c r="BS62" s="281">
        <f ca="1">IF(ISNUMBER($A62),IF(INDEX(B64:G64,1)&lt;&gt;0,SIGN(INDEX(B64:G64,1))*INDIRECT(ADDRESS(1+ABS(INDEX(B64:G64,1)),COLUMN(Ksys!$B$1),1,TRUE,"Ksys")),0)+AB62,0)</f>
        <v>0</v>
      </c>
      <c r="BT62" s="60">
        <f t="array" aca="1" ref="BT62:BT67" ca="1">MMULT(P62:U67,BS62:BS67)</f>
        <v>0</v>
      </c>
      <c r="BU62" s="60">
        <f t="array" aca="1" ref="BU62:BU67" ca="1">MMULT(J62:O67,BT62:BT67)-AC62:AC67</f>
        <v>0</v>
      </c>
      <c r="BV62" s="60">
        <f t="array" aca="1" ref="BV62:BV64" ca="1">-(MMULT(J62:O64,BT62:BT67)-AC62:AC64)</f>
        <v>0</v>
      </c>
      <c r="BW62" s="286" t="s">
        <v>97</v>
      </c>
      <c r="BX62" s="4">
        <f t="shared" ref="BX62:CH62" ca="1" si="114">IF(ISNUMBER($A62),$BT62*(1-BX$1) + $BT65*BX$1,0)</f>
        <v>0</v>
      </c>
      <c r="BY62" s="5">
        <f t="shared" ca="1" si="114"/>
        <v>0</v>
      </c>
      <c r="BZ62" s="5">
        <f t="shared" ca="1" si="114"/>
        <v>0</v>
      </c>
      <c r="CA62" s="5">
        <f t="shared" ca="1" si="114"/>
        <v>0</v>
      </c>
      <c r="CB62" s="5">
        <f t="shared" ca="1" si="114"/>
        <v>0</v>
      </c>
      <c r="CC62" s="5">
        <f t="shared" ca="1" si="114"/>
        <v>0</v>
      </c>
      <c r="CD62" s="5">
        <f t="shared" ca="1" si="114"/>
        <v>0</v>
      </c>
      <c r="CE62" s="5">
        <f t="shared" ca="1" si="114"/>
        <v>0</v>
      </c>
      <c r="CF62" s="5">
        <f t="shared" ca="1" si="114"/>
        <v>0</v>
      </c>
      <c r="CG62" s="5">
        <f t="shared" ca="1" si="114"/>
        <v>0</v>
      </c>
      <c r="CH62" s="6">
        <f t="shared" ca="1" si="114"/>
        <v>0</v>
      </c>
      <c r="CI62" s="343"/>
      <c r="CJ62" s="343"/>
      <c r="CK62" s="308"/>
      <c r="CM62" s="290" t="s">
        <v>97</v>
      </c>
      <c r="CN62" s="4">
        <v>0</v>
      </c>
      <c r="CO62" s="5">
        <v>0</v>
      </c>
      <c r="CP62" s="5">
        <v>0</v>
      </c>
      <c r="CQ62" s="5">
        <v>0</v>
      </c>
      <c r="CR62" s="5">
        <v>0</v>
      </c>
      <c r="CS62" s="5">
        <v>0</v>
      </c>
      <c r="CT62" s="5">
        <v>0</v>
      </c>
      <c r="CU62" s="5">
        <v>0</v>
      </c>
      <c r="CV62" s="5">
        <v>0</v>
      </c>
      <c r="CW62" s="5">
        <v>0</v>
      </c>
      <c r="CX62" s="5">
        <v>0</v>
      </c>
      <c r="CY62" s="5"/>
      <c r="CZ62" s="5"/>
      <c r="DA62" s="189"/>
      <c r="DB62" s="307"/>
      <c r="DC62" s="308"/>
      <c r="DD62" s="343"/>
      <c r="DF62" s="290" t="s">
        <v>97</v>
      </c>
      <c r="DG62" s="4">
        <v>0</v>
      </c>
      <c r="DH62" s="5">
        <v>0</v>
      </c>
      <c r="DI62" s="5">
        <v>0</v>
      </c>
      <c r="DJ62" s="5">
        <v>0</v>
      </c>
      <c r="DK62" s="5">
        <v>0</v>
      </c>
      <c r="DL62" s="5">
        <v>0</v>
      </c>
      <c r="DM62" s="5">
        <v>0</v>
      </c>
      <c r="DN62" s="5">
        <v>0</v>
      </c>
      <c r="DO62" s="5">
        <v>0</v>
      </c>
      <c r="DP62" s="5">
        <v>0</v>
      </c>
      <c r="DQ62" s="5">
        <v>0</v>
      </c>
      <c r="DR62" s="5"/>
      <c r="DS62" s="5"/>
      <c r="DT62" s="6"/>
      <c r="DU62" s="325"/>
      <c r="DV62" s="308"/>
      <c r="DW62" s="343"/>
      <c r="DY62" s="290" t="s">
        <v>97</v>
      </c>
      <c r="DZ62" s="4">
        <v>0</v>
      </c>
      <c r="EA62" s="5">
        <v>0</v>
      </c>
      <c r="EB62" s="5">
        <v>0</v>
      </c>
      <c r="EC62" s="5">
        <v>0</v>
      </c>
      <c r="ED62" s="5">
        <v>0</v>
      </c>
      <c r="EE62" s="5">
        <v>0</v>
      </c>
      <c r="EF62" s="5">
        <v>0</v>
      </c>
      <c r="EG62" s="5">
        <v>0</v>
      </c>
      <c r="EH62" s="5">
        <v>0</v>
      </c>
      <c r="EI62" s="5">
        <v>0</v>
      </c>
      <c r="EJ62" s="5">
        <v>0</v>
      </c>
      <c r="EK62" s="5"/>
      <c r="EL62" s="5"/>
      <c r="EM62" s="6"/>
      <c r="EN62" s="307"/>
      <c r="EO62" s="308"/>
      <c r="EP62" s="343"/>
    </row>
    <row r="63" spans="1:146" x14ac:dyDescent="0.2">
      <c r="B63" s="1">
        <f ca="1">IF(ISNUMBER($A62),INDIRECT(ADDRESS($A62+1,COLUMN(System!K$2),1,TRUE,"System")),0)</f>
        <v>0</v>
      </c>
      <c r="C63" s="1">
        <f ca="1">IF(ISNUMBER($A62),INDIRECT(ADDRESS($A62+1,COLUMN(System!L$2),1,TRUE,"System")),0)</f>
        <v>0</v>
      </c>
      <c r="D63" s="1">
        <f ca="1">IF(ISNUMBER($A62),INDIRECT(ADDRESS($A62+1,COLUMN(System!M$2),1,TRUE,"System")),0)</f>
        <v>0</v>
      </c>
      <c r="E63" s="1">
        <f ca="1">IF(ISNUMBER($A62),INDIRECT(ADDRESS($A62+1,COLUMN(System!N$2),1,TRUE,"System")),0)</f>
        <v>0</v>
      </c>
      <c r="F63" s="12"/>
      <c r="J63" s="7">
        <v>0</v>
      </c>
      <c r="K63" s="180">
        <f ca="1">IF(G62=1,12*B62/D62^3,IF(G62="2a",3*B62/D62^3,IF(G62="2b",3*B62/D62^3,0)))</f>
        <v>0</v>
      </c>
      <c r="L63" s="8">
        <f ca="1">K64</f>
        <v>0</v>
      </c>
      <c r="M63" s="7">
        <v>0</v>
      </c>
      <c r="N63" s="1">
        <f ca="1">-K63</f>
        <v>0</v>
      </c>
      <c r="O63" s="8">
        <f ca="1">K67</f>
        <v>0</v>
      </c>
      <c r="P63" s="143">
        <f ca="1">H62</f>
        <v>0</v>
      </c>
      <c r="Q63" s="99">
        <f ca="1">I62</f>
        <v>0</v>
      </c>
      <c r="R63" s="99">
        <v>0</v>
      </c>
      <c r="S63" s="101">
        <v>0</v>
      </c>
      <c r="T63" s="101">
        <v>0</v>
      </c>
      <c r="U63" s="110">
        <v>0</v>
      </c>
      <c r="V63" s="7">
        <f ca="1"/>
        <v>0</v>
      </c>
      <c r="W63" s="180">
        <f ca="1"/>
        <v>0</v>
      </c>
      <c r="X63" s="8">
        <f ca="1"/>
        <v>0</v>
      </c>
      <c r="Y63" s="7">
        <f ca="1"/>
        <v>0</v>
      </c>
      <c r="Z63" s="1">
        <f ca="1"/>
        <v>0</v>
      </c>
      <c r="AA63" s="8">
        <f ca="1"/>
        <v>0</v>
      </c>
      <c r="AB63" s="61">
        <f ca="1">IF(ISNUMBER($A62),INDIRECT("System!" &amp; ADDRESS(A62+1,COLUMN(System!T61))),0)</f>
        <v>0</v>
      </c>
      <c r="AC63" s="301">
        <f ca="1">IF(G62=1,F62*D62/2,IF(G62="2a",F62*3/8*D62,IF(G62="2b",F62*5/8*D62,0)))</f>
        <v>0</v>
      </c>
      <c r="AD63" s="61">
        <f ca="1"/>
        <v>0</v>
      </c>
      <c r="AE63" s="7">
        <f t="shared" ref="AE63:BR63" ca="1" si="115">IF(ABS($C64)=AE$1,SIGN($C64),0)</f>
        <v>0</v>
      </c>
      <c r="AF63" s="1">
        <f t="shared" ca="1" si="115"/>
        <v>0</v>
      </c>
      <c r="AG63" s="1">
        <f t="shared" ca="1" si="115"/>
        <v>0</v>
      </c>
      <c r="AH63" s="1">
        <f t="shared" ca="1" si="115"/>
        <v>0</v>
      </c>
      <c r="AI63" s="1">
        <f t="shared" ca="1" si="115"/>
        <v>0</v>
      </c>
      <c r="AJ63" s="26">
        <f t="shared" ca="1" si="115"/>
        <v>0</v>
      </c>
      <c r="AK63" s="26">
        <f t="shared" ca="1" si="115"/>
        <v>0</v>
      </c>
      <c r="AL63" s="26">
        <f t="shared" ca="1" si="115"/>
        <v>0</v>
      </c>
      <c r="AM63" s="26">
        <f t="shared" ca="1" si="115"/>
        <v>0</v>
      </c>
      <c r="AN63" s="26">
        <f t="shared" ca="1" si="115"/>
        <v>0</v>
      </c>
      <c r="AO63" s="26">
        <f t="shared" ca="1" si="115"/>
        <v>0</v>
      </c>
      <c r="AP63" s="26">
        <f t="shared" ca="1" si="115"/>
        <v>0</v>
      </c>
      <c r="AQ63" s="26">
        <f t="shared" ca="1" si="115"/>
        <v>0</v>
      </c>
      <c r="AR63" s="26">
        <f t="shared" ca="1" si="115"/>
        <v>0</v>
      </c>
      <c r="AS63" s="26">
        <f t="shared" ca="1" si="115"/>
        <v>0</v>
      </c>
      <c r="AT63" s="26">
        <f t="shared" ca="1" si="115"/>
        <v>0</v>
      </c>
      <c r="AU63" s="26">
        <f t="shared" ca="1" si="115"/>
        <v>0</v>
      </c>
      <c r="AV63" s="26">
        <f t="shared" ca="1" si="115"/>
        <v>0</v>
      </c>
      <c r="AW63" s="26">
        <f t="shared" ca="1" si="115"/>
        <v>0</v>
      </c>
      <c r="AX63" s="26">
        <f t="shared" ca="1" si="115"/>
        <v>0</v>
      </c>
      <c r="AY63" s="26">
        <f t="shared" ca="1" si="115"/>
        <v>0</v>
      </c>
      <c r="AZ63" s="26">
        <f t="shared" ca="1" si="115"/>
        <v>0</v>
      </c>
      <c r="BA63" s="26">
        <f t="shared" ca="1" si="115"/>
        <v>0</v>
      </c>
      <c r="BB63" s="26">
        <f t="shared" ca="1" si="115"/>
        <v>0</v>
      </c>
      <c r="BC63" s="26">
        <f t="shared" ca="1" si="115"/>
        <v>0</v>
      </c>
      <c r="BD63" s="26">
        <f t="shared" ca="1" si="115"/>
        <v>0</v>
      </c>
      <c r="BE63" s="26">
        <f t="shared" ca="1" si="115"/>
        <v>0</v>
      </c>
      <c r="BF63" s="26">
        <f t="shared" ca="1" si="115"/>
        <v>0</v>
      </c>
      <c r="BG63" s="26">
        <f t="shared" ca="1" si="115"/>
        <v>0</v>
      </c>
      <c r="BH63" s="26">
        <f t="shared" ca="1" si="115"/>
        <v>0</v>
      </c>
      <c r="BI63" s="26">
        <f t="shared" ca="1" si="115"/>
        <v>0</v>
      </c>
      <c r="BJ63" s="26">
        <f t="shared" ca="1" si="115"/>
        <v>0</v>
      </c>
      <c r="BK63" s="26">
        <f t="shared" ca="1" si="115"/>
        <v>0</v>
      </c>
      <c r="BL63" s="26">
        <f t="shared" ca="1" si="115"/>
        <v>0</v>
      </c>
      <c r="BM63" s="26">
        <f t="shared" ca="1" si="115"/>
        <v>0</v>
      </c>
      <c r="BN63" s="26">
        <f t="shared" ca="1" si="115"/>
        <v>0</v>
      </c>
      <c r="BO63" s="26">
        <f t="shared" ca="1" si="115"/>
        <v>0</v>
      </c>
      <c r="BP63" s="26">
        <f t="shared" ca="1" si="115"/>
        <v>0</v>
      </c>
      <c r="BQ63" s="26">
        <f t="shared" ca="1" si="115"/>
        <v>0</v>
      </c>
      <c r="BR63" s="26">
        <f t="shared" ca="1" si="115"/>
        <v>0</v>
      </c>
      <c r="BS63" s="282">
        <f ca="1">IF(ISNUMBER($A62),IF(INDEX(B64:G64,2)&lt;&gt;0,SIGN(INDEX(B64:G64,2))*INDIRECT(ADDRESS(1+ABS(INDEX(B64:G64,2)),COLUMN(Ksys!$B$1),1,TRUE,"Ksys")),0)+AB63,0)</f>
        <v>0</v>
      </c>
      <c r="BT63" s="61">
        <f ca="1"/>
        <v>0</v>
      </c>
      <c r="BU63" s="61">
        <f ca="1"/>
        <v>0</v>
      </c>
      <c r="BV63" s="61">
        <f ca="1"/>
        <v>0</v>
      </c>
      <c r="BW63" s="287" t="s">
        <v>100</v>
      </c>
      <c r="BX63" s="272">
        <f t="shared" ref="BX63:CH63" ca="1" si="116" xml:space="preserve">  IF(ISNUMBER($A62),$BT63*(1-BX$1) + $BT66*BX$1 + ((1-BX$1)-(1-BX$1)^3)*$D62^2/6*$BV64/$B62 + (BX$1-(BX$1)^3)*$D62^2/6*$BV67/$B62 + (BX$1-2*(BX$1)^3+(BX$1)^4)*$D62^2/3*$F62*$D62^2/8/$B62,0)</f>
        <v>0</v>
      </c>
      <c r="BY63" s="173">
        <f t="shared" ca="1" si="116"/>
        <v>0</v>
      </c>
      <c r="BZ63" s="173">
        <f t="shared" ca="1" si="116"/>
        <v>0</v>
      </c>
      <c r="CA63" s="173">
        <f t="shared" ca="1" si="116"/>
        <v>0</v>
      </c>
      <c r="CB63" s="173">
        <f t="shared" ca="1" si="116"/>
        <v>0</v>
      </c>
      <c r="CC63" s="173">
        <f t="shared" ca="1" si="116"/>
        <v>0</v>
      </c>
      <c r="CD63" s="173">
        <f t="shared" ca="1" si="116"/>
        <v>0</v>
      </c>
      <c r="CE63" s="173">
        <f t="shared" ca="1" si="116"/>
        <v>0</v>
      </c>
      <c r="CF63" s="173">
        <f t="shared" ca="1" si="116"/>
        <v>0</v>
      </c>
      <c r="CG63" s="173">
        <f t="shared" ca="1" si="116"/>
        <v>0</v>
      </c>
      <c r="CH63" s="289">
        <f t="shared" ca="1" si="116"/>
        <v>0</v>
      </c>
      <c r="CI63" s="344"/>
      <c r="CJ63" s="344"/>
      <c r="CK63" s="312"/>
      <c r="CM63" s="291" t="s">
        <v>100</v>
      </c>
      <c r="CN63" s="7">
        <f t="shared" ref="CN63:CX63" ca="1" si="117" xml:space="preserve">  IF(ISNUMBER($A62),$BV64*(1-CN$1) + $BV67*CN$1  + CN$1*(1-CN$1)*$F62*$D62^2/2,0)</f>
        <v>0</v>
      </c>
      <c r="CO63" s="1">
        <f t="shared" ca="1" si="117"/>
        <v>0</v>
      </c>
      <c r="CP63" s="1">
        <f t="shared" ca="1" si="117"/>
        <v>0</v>
      </c>
      <c r="CQ63" s="1">
        <f t="shared" ca="1" si="117"/>
        <v>0</v>
      </c>
      <c r="CR63" s="1">
        <f t="shared" ca="1" si="117"/>
        <v>0</v>
      </c>
      <c r="CS63" s="1">
        <f t="shared" ca="1" si="117"/>
        <v>0</v>
      </c>
      <c r="CT63" s="1">
        <f t="shared" ca="1" si="117"/>
        <v>0</v>
      </c>
      <c r="CU63" s="1">
        <f t="shared" ca="1" si="117"/>
        <v>0</v>
      </c>
      <c r="CV63" s="1">
        <f t="shared" ca="1" si="117"/>
        <v>0</v>
      </c>
      <c r="CW63" s="1">
        <f t="shared" ca="1" si="117"/>
        <v>0</v>
      </c>
      <c r="CX63" s="1">
        <f t="shared" ca="1" si="117"/>
        <v>0</v>
      </c>
      <c r="CY63" s="1"/>
      <c r="CZ63" s="1"/>
      <c r="DA63" s="26"/>
      <c r="DB63" s="309"/>
      <c r="DC63" s="310"/>
      <c r="DD63" s="345"/>
      <c r="DF63" s="291" t="s">
        <v>100</v>
      </c>
      <c r="DG63" s="7">
        <f t="shared" ref="DG63:DQ63" ca="1" si="118" xml:space="preserve">  IF(ISNUMBER($A62),$BV63*(1-DG$1) + $BV66*DG$1,0)</f>
        <v>0</v>
      </c>
      <c r="DH63" s="1">
        <f t="shared" ca="1" si="118"/>
        <v>0</v>
      </c>
      <c r="DI63" s="1">
        <f t="shared" ca="1" si="118"/>
        <v>0</v>
      </c>
      <c r="DJ63" s="1">
        <f t="shared" ca="1" si="118"/>
        <v>0</v>
      </c>
      <c r="DK63" s="1">
        <f t="shared" ca="1" si="118"/>
        <v>0</v>
      </c>
      <c r="DL63" s="1">
        <f t="shared" ca="1" si="118"/>
        <v>0</v>
      </c>
      <c r="DM63" s="1">
        <f t="shared" ca="1" si="118"/>
        <v>0</v>
      </c>
      <c r="DN63" s="1">
        <f t="shared" ca="1" si="118"/>
        <v>0</v>
      </c>
      <c r="DO63" s="1">
        <f t="shared" ca="1" si="118"/>
        <v>0</v>
      </c>
      <c r="DP63" s="1">
        <f t="shared" ca="1" si="118"/>
        <v>0</v>
      </c>
      <c r="DQ63" s="1">
        <f t="shared" ca="1" si="118"/>
        <v>0</v>
      </c>
      <c r="DR63" s="1"/>
      <c r="DS63" s="1"/>
      <c r="DT63" s="8"/>
      <c r="DU63" s="12"/>
      <c r="DV63" s="310"/>
      <c r="DW63" s="345"/>
      <c r="DY63" s="291" t="s">
        <v>100</v>
      </c>
      <c r="DZ63" s="7">
        <f t="shared" ref="DZ63:EJ63" ca="1" si="119" xml:space="preserve">  IF(ISNUMBER($A62),$BV62*(1-DZ$1) + $BV65*DZ$1,0)</f>
        <v>0</v>
      </c>
      <c r="EA63" s="1">
        <f t="shared" ca="1" si="119"/>
        <v>0</v>
      </c>
      <c r="EB63" s="1">
        <f t="shared" ca="1" si="119"/>
        <v>0</v>
      </c>
      <c r="EC63" s="1">
        <f t="shared" ca="1" si="119"/>
        <v>0</v>
      </c>
      <c r="ED63" s="1">
        <f t="shared" ca="1" si="119"/>
        <v>0</v>
      </c>
      <c r="EE63" s="1">
        <f t="shared" ca="1" si="119"/>
        <v>0</v>
      </c>
      <c r="EF63" s="1">
        <f t="shared" ca="1" si="119"/>
        <v>0</v>
      </c>
      <c r="EG63" s="1">
        <f t="shared" ca="1" si="119"/>
        <v>0</v>
      </c>
      <c r="EH63" s="1">
        <f t="shared" ca="1" si="119"/>
        <v>0</v>
      </c>
      <c r="EI63" s="1">
        <f t="shared" ca="1" si="119"/>
        <v>0</v>
      </c>
      <c r="EJ63" s="1">
        <f t="shared" ca="1" si="119"/>
        <v>0</v>
      </c>
      <c r="EK63" s="1"/>
      <c r="EL63" s="1"/>
      <c r="EM63" s="8"/>
      <c r="EN63" s="309"/>
      <c r="EO63" s="310"/>
      <c r="EP63" s="345"/>
    </row>
    <row r="64" spans="1:146" ht="13.5" thickBot="1" x14ac:dyDescent="0.25">
      <c r="B64" s="1">
        <f ca="1">IF(ISNUMBER($A62),INDIRECT("System!" &amp; ADDRESS($A62 +1,COLUMN(System!Y61))),0)</f>
        <v>0</v>
      </c>
      <c r="C64" s="1">
        <f ca="1">IF(ISNUMBER($A62),INDIRECT("System!" &amp; ADDRESS($A62 +1,COLUMN(System!Z61))),0)</f>
        <v>0</v>
      </c>
      <c r="D64" s="1">
        <f ca="1">IF(ISNUMBER($A62),INDIRECT("System!" &amp; ADDRESS($A62 +1,COLUMN(System!AA61))),0)</f>
        <v>0</v>
      </c>
      <c r="E64" s="1">
        <f ca="1">IF(ISNUMBER($A62),INDIRECT("System!" &amp; ADDRESS($A62 +1,COLUMN(System!AB61))),0)</f>
        <v>0</v>
      </c>
      <c r="F64" s="1">
        <f ca="1">IF(ISNUMBER($A62),INDIRECT("System!" &amp; ADDRESS($A62 +1,COLUMN(System!AC61))),0)</f>
        <v>0</v>
      </c>
      <c r="G64" s="1">
        <f ca="1">IF(ISNUMBER($A62),INDIRECT("System!" &amp; ADDRESS($A62 +1,COLUMN(System!AD61))),0)</f>
        <v>0</v>
      </c>
      <c r="J64" s="9">
        <v>0</v>
      </c>
      <c r="K64" s="10">
        <f ca="1">IF(G62=1,-6*B62/D62^2,IF(G62="2a",0,IF(G62="2b",-3*B62/D62^2,0)))</f>
        <v>0</v>
      </c>
      <c r="L64" s="181">
        <f ca="1">IF(G62=1,4*B62/D62,IF(G62="2a",0,IF(G62="2b",3*B62/D62,0)))</f>
        <v>0</v>
      </c>
      <c r="M64" s="9">
        <v>0</v>
      </c>
      <c r="N64" s="10">
        <f ca="1">L66</f>
        <v>0</v>
      </c>
      <c r="O64" s="146">
        <f ca="1">L67</f>
        <v>0</v>
      </c>
      <c r="P64" s="143">
        <v>0</v>
      </c>
      <c r="Q64" s="99">
        <v>0</v>
      </c>
      <c r="R64" s="99">
        <v>1</v>
      </c>
      <c r="S64" s="101">
        <v>0</v>
      </c>
      <c r="T64" s="101">
        <v>0</v>
      </c>
      <c r="U64" s="110">
        <v>0</v>
      </c>
      <c r="V64" s="9">
        <f ca="1"/>
        <v>0</v>
      </c>
      <c r="W64" s="10">
        <f ca="1"/>
        <v>0</v>
      </c>
      <c r="X64" s="181">
        <f ca="1"/>
        <v>0</v>
      </c>
      <c r="Y64" s="9">
        <f ca="1"/>
        <v>0</v>
      </c>
      <c r="Z64" s="10">
        <f ca="1"/>
        <v>0</v>
      </c>
      <c r="AA64" s="146">
        <f ca="1"/>
        <v>0</v>
      </c>
      <c r="AB64" s="61">
        <f ca="1">IF(ISNUMBER($A62),INDIRECT("System!" &amp; ADDRESS(A62+1,COLUMN(System!U61))),0)</f>
        <v>0</v>
      </c>
      <c r="AC64" s="301">
        <f ca="1">IF(G62=1,-F62*D62^2/12,IF(G62="2a",0,IF(G62="2b",-F62*D62^2/8,0)))</f>
        <v>0</v>
      </c>
      <c r="AD64" s="61">
        <f ca="1"/>
        <v>0</v>
      </c>
      <c r="AE64" s="7">
        <f t="shared" ref="AE64:BR64" ca="1" si="120">IF(ABS($D64)=AE$1,SIGN($D64),0)</f>
        <v>0</v>
      </c>
      <c r="AF64" s="1">
        <f t="shared" ca="1" si="120"/>
        <v>0</v>
      </c>
      <c r="AG64" s="1">
        <f t="shared" ca="1" si="120"/>
        <v>0</v>
      </c>
      <c r="AH64" s="1">
        <f t="shared" ca="1" si="120"/>
        <v>0</v>
      </c>
      <c r="AI64" s="1">
        <f t="shared" ca="1" si="120"/>
        <v>0</v>
      </c>
      <c r="AJ64" s="26">
        <f t="shared" ca="1" si="120"/>
        <v>0</v>
      </c>
      <c r="AK64" s="26">
        <f t="shared" ca="1" si="120"/>
        <v>0</v>
      </c>
      <c r="AL64" s="26">
        <f t="shared" ca="1" si="120"/>
        <v>0</v>
      </c>
      <c r="AM64" s="26">
        <f t="shared" ca="1" si="120"/>
        <v>0</v>
      </c>
      <c r="AN64" s="26">
        <f t="shared" ca="1" si="120"/>
        <v>0</v>
      </c>
      <c r="AO64" s="26">
        <f t="shared" ca="1" si="120"/>
        <v>0</v>
      </c>
      <c r="AP64" s="26">
        <f t="shared" ca="1" si="120"/>
        <v>0</v>
      </c>
      <c r="AQ64" s="26">
        <f t="shared" ca="1" si="120"/>
        <v>0</v>
      </c>
      <c r="AR64" s="26">
        <f t="shared" ca="1" si="120"/>
        <v>0</v>
      </c>
      <c r="AS64" s="26">
        <f t="shared" ca="1" si="120"/>
        <v>0</v>
      </c>
      <c r="AT64" s="26">
        <f t="shared" ca="1" si="120"/>
        <v>0</v>
      </c>
      <c r="AU64" s="26">
        <f t="shared" ca="1" si="120"/>
        <v>0</v>
      </c>
      <c r="AV64" s="26">
        <f t="shared" ca="1" si="120"/>
        <v>0</v>
      </c>
      <c r="AW64" s="26">
        <f t="shared" ca="1" si="120"/>
        <v>0</v>
      </c>
      <c r="AX64" s="26">
        <f t="shared" ca="1" si="120"/>
        <v>0</v>
      </c>
      <c r="AY64" s="26">
        <f t="shared" ca="1" si="120"/>
        <v>0</v>
      </c>
      <c r="AZ64" s="26">
        <f t="shared" ca="1" si="120"/>
        <v>0</v>
      </c>
      <c r="BA64" s="26">
        <f t="shared" ca="1" si="120"/>
        <v>0</v>
      </c>
      <c r="BB64" s="26">
        <f t="shared" ca="1" si="120"/>
        <v>0</v>
      </c>
      <c r="BC64" s="26">
        <f t="shared" ca="1" si="120"/>
        <v>0</v>
      </c>
      <c r="BD64" s="26">
        <f t="shared" ca="1" si="120"/>
        <v>0</v>
      </c>
      <c r="BE64" s="26">
        <f t="shared" ca="1" si="120"/>
        <v>0</v>
      </c>
      <c r="BF64" s="26">
        <f t="shared" ca="1" si="120"/>
        <v>0</v>
      </c>
      <c r="BG64" s="26">
        <f t="shared" ca="1" si="120"/>
        <v>0</v>
      </c>
      <c r="BH64" s="26">
        <f t="shared" ca="1" si="120"/>
        <v>0</v>
      </c>
      <c r="BI64" s="26">
        <f t="shared" ca="1" si="120"/>
        <v>0</v>
      </c>
      <c r="BJ64" s="26">
        <f t="shared" ca="1" si="120"/>
        <v>0</v>
      </c>
      <c r="BK64" s="26">
        <f t="shared" ca="1" si="120"/>
        <v>0</v>
      </c>
      <c r="BL64" s="26">
        <f t="shared" ca="1" si="120"/>
        <v>0</v>
      </c>
      <c r="BM64" s="26">
        <f t="shared" ca="1" si="120"/>
        <v>0</v>
      </c>
      <c r="BN64" s="26">
        <f t="shared" ca="1" si="120"/>
        <v>0</v>
      </c>
      <c r="BO64" s="26">
        <f t="shared" ca="1" si="120"/>
        <v>0</v>
      </c>
      <c r="BP64" s="26">
        <f t="shared" ca="1" si="120"/>
        <v>0</v>
      </c>
      <c r="BQ64" s="26">
        <f t="shared" ca="1" si="120"/>
        <v>0</v>
      </c>
      <c r="BR64" s="26">
        <f t="shared" ca="1" si="120"/>
        <v>0</v>
      </c>
      <c r="BS64" s="282">
        <f ca="1">IF(ISNUMBER($A62),IF(INDEX(B64:G64,3)&lt;&gt;0,SIGN(INDEX(B64:G64,3))*INDIRECT(ADDRESS(1+ABS(INDEX(B64:G64,3)),COLUMN(Ksys!$B$1),1,TRUE,"Ksys")),0)+AB64,0)</f>
        <v>0</v>
      </c>
      <c r="BT64" s="61">
        <f ca="1"/>
        <v>0</v>
      </c>
      <c r="BU64" s="61">
        <f ca="1"/>
        <v>0</v>
      </c>
      <c r="BV64" s="61">
        <f ca="1"/>
        <v>0</v>
      </c>
      <c r="BW64" s="287" t="s">
        <v>96</v>
      </c>
      <c r="BX64" s="7">
        <f t="array" aca="1" ref="BX64:BX65" ca="1">IF(ISNUMBER($A62),MMULT(TRANSPOSE($P62:$Q63),BX62:BX63),0)</f>
        <v>0</v>
      </c>
      <c r="BY64" s="1">
        <f t="array" aca="1" ref="BY64:BY65" ca="1">IF(ISNUMBER($A62),MMULT(TRANSPOSE($P62:$Q63),BY62:BY63),0)</f>
        <v>0</v>
      </c>
      <c r="BZ64" s="1">
        <f t="array" aca="1" ref="BZ64:BZ65" ca="1">IF(ISNUMBER($A62),MMULT(TRANSPOSE($P62:$Q63),BZ62:BZ63),0)</f>
        <v>0</v>
      </c>
      <c r="CA64" s="1">
        <f t="array" aca="1" ref="CA64:CA65" ca="1">IF(ISNUMBER($A62),MMULT(TRANSPOSE($P62:$Q63),CA62:CA63),0)</f>
        <v>0</v>
      </c>
      <c r="CB64" s="1">
        <f t="array" aca="1" ref="CB64:CB65" ca="1">IF(ISNUMBER($A62),MMULT(TRANSPOSE($P62:$Q63),CB62:CB63),0)</f>
        <v>0</v>
      </c>
      <c r="CC64" s="1">
        <f t="array" aca="1" ref="CC64:CC65" ca="1">IF(ISNUMBER($A62),MMULT(TRANSPOSE($P62:$Q63),CC62:CC63),0)</f>
        <v>0</v>
      </c>
      <c r="CD64" s="1">
        <f t="array" aca="1" ref="CD64:CD65" ca="1">IF(ISNUMBER($A62),MMULT(TRANSPOSE($P62:$Q63),CD62:CD63),0)</f>
        <v>0</v>
      </c>
      <c r="CE64" s="1">
        <f t="array" aca="1" ref="CE64:CE65" ca="1">IF(ISNUMBER($A62),MMULT(TRANSPOSE($P62:$Q63),CE62:CE63),0)</f>
        <v>0</v>
      </c>
      <c r="CF64" s="1">
        <f t="array" aca="1" ref="CF64:CF65" ca="1">IF(ISNUMBER($A62),MMULT(TRANSPOSE($P62:$Q63),CF62:CF63),0)</f>
        <v>0</v>
      </c>
      <c r="CG64" s="1">
        <f t="array" aca="1" ref="CG64:CG65" ca="1">IF(ISNUMBER($A62),MMULT(TRANSPOSE($P62:$Q63),CG62:CG63),0)</f>
        <v>0</v>
      </c>
      <c r="CH64" s="8">
        <f t="array" aca="1" ref="CH64:CH65" ca="1">IF(ISNUMBER($A62),MMULT(TRANSPOSE($P62:$Q63),CH62:CH63),0)</f>
        <v>0</v>
      </c>
      <c r="CI64" s="345"/>
      <c r="CJ64" s="345"/>
      <c r="CK64" s="444">
        <f ca="1">MAX(MAX(BX64:CH65),ABS(MIN(BX64:CH65)))</f>
        <v>0</v>
      </c>
      <c r="CM64" s="291" t="s">
        <v>96</v>
      </c>
      <c r="CN64" s="7">
        <f t="array" aca="1" ref="CN64:CN65" ca="1">IF(ISNUMBER($A62),MMULT(TRANSPOSE($P62:$Q63),CN62:CN63),0)</f>
        <v>0</v>
      </c>
      <c r="CO64" s="1">
        <f t="array" aca="1" ref="CO64:CO65" ca="1">IF(ISNUMBER($A62),MMULT(TRANSPOSE($P62:$Q63),CO62:CO63),0)</f>
        <v>0</v>
      </c>
      <c r="CP64" s="1">
        <f t="array" aca="1" ref="CP64:CP65" ca="1">IF(ISNUMBER($A62),MMULT(TRANSPOSE($P62:$Q63),CP62:CP63),0)</f>
        <v>0</v>
      </c>
      <c r="CQ64" s="1">
        <f t="array" aca="1" ref="CQ64:CQ65" ca="1">IF(ISNUMBER($A62),MMULT(TRANSPOSE($P62:$Q63),CQ62:CQ63),0)</f>
        <v>0</v>
      </c>
      <c r="CR64" s="1">
        <f t="array" aca="1" ref="CR64:CR65" ca="1">IF(ISNUMBER($A62),MMULT(TRANSPOSE($P62:$Q63),CR62:CR63),0)</f>
        <v>0</v>
      </c>
      <c r="CS64" s="1">
        <f t="array" aca="1" ref="CS64:CS65" ca="1">IF(ISNUMBER($A62),MMULT(TRANSPOSE($P62:$Q63),CS62:CS63),0)</f>
        <v>0</v>
      </c>
      <c r="CT64" s="1">
        <f t="array" aca="1" ref="CT64:CT65" ca="1">IF(ISNUMBER($A62),MMULT(TRANSPOSE($P62:$Q63),CT62:CT63),0)</f>
        <v>0</v>
      </c>
      <c r="CU64" s="1">
        <f t="array" aca="1" ref="CU64:CU65" ca="1">IF(ISNUMBER($A62),MMULT(TRANSPOSE($P62:$Q63),CU62:CU63),0)</f>
        <v>0</v>
      </c>
      <c r="CV64" s="1">
        <f t="array" aca="1" ref="CV64:CV65" ca="1">IF(ISNUMBER($A62),MMULT(TRANSPOSE($P62:$Q63),CV62:CV63),0)</f>
        <v>0</v>
      </c>
      <c r="CW64" s="1">
        <f t="array" aca="1" ref="CW64:CW65" ca="1">IF(ISNUMBER($A62),MMULT(TRANSPOSE($P62:$Q63),CW62:CW63),0)</f>
        <v>0</v>
      </c>
      <c r="CX64" s="1">
        <f t="array" aca="1" ref="CX64:CX65" ca="1">IF(ISNUMBER($A62),MMULT(TRANSPOSE($P62:$Q63),CX62:CX63),0)</f>
        <v>0</v>
      </c>
      <c r="CY64" s="1"/>
      <c r="CZ64" s="1"/>
      <c r="DA64" s="26"/>
      <c r="DB64" s="309"/>
      <c r="DC64" s="310"/>
      <c r="DD64" s="345"/>
      <c r="DF64" s="291" t="s">
        <v>96</v>
      </c>
      <c r="DG64" s="7">
        <f t="array" aca="1" ref="DG64:DG65" ca="1">IF(ISNUMBER($A62),MMULT(TRANSPOSE($P62:$Q63),DG62:DG63),0)</f>
        <v>0</v>
      </c>
      <c r="DH64" s="1">
        <f t="array" aca="1" ref="DH64:DH65" ca="1">IF(ISNUMBER($A62),MMULT(TRANSPOSE($P62:$Q63),DH62:DH63),0)</f>
        <v>0</v>
      </c>
      <c r="DI64" s="1">
        <f t="array" aca="1" ref="DI64:DI65" ca="1">IF(ISNUMBER($A62),MMULT(TRANSPOSE($P62:$Q63),DI62:DI63),0)</f>
        <v>0</v>
      </c>
      <c r="DJ64" s="1">
        <f t="array" aca="1" ref="DJ64:DJ65" ca="1">IF(ISNUMBER($A62),MMULT(TRANSPOSE($P62:$Q63),DJ62:DJ63),0)</f>
        <v>0</v>
      </c>
      <c r="DK64" s="1">
        <f t="array" aca="1" ref="DK64:DK65" ca="1">IF(ISNUMBER($A62),MMULT(TRANSPOSE($P62:$Q63),DK62:DK63),0)</f>
        <v>0</v>
      </c>
      <c r="DL64" s="1">
        <f t="array" aca="1" ref="DL64:DL65" ca="1">IF(ISNUMBER($A62),MMULT(TRANSPOSE($P62:$Q63),DL62:DL63),0)</f>
        <v>0</v>
      </c>
      <c r="DM64" s="1">
        <f t="array" aca="1" ref="DM64:DM65" ca="1">IF(ISNUMBER($A62),MMULT(TRANSPOSE($P62:$Q63),DM62:DM63),0)</f>
        <v>0</v>
      </c>
      <c r="DN64" s="1">
        <f t="array" aca="1" ref="DN64:DN65" ca="1">IF(ISNUMBER($A62),MMULT(TRANSPOSE($P62:$Q63),DN62:DN63),0)</f>
        <v>0</v>
      </c>
      <c r="DO64" s="1">
        <f t="array" aca="1" ref="DO64:DO65" ca="1">IF(ISNUMBER($A62),MMULT(TRANSPOSE($P62:$Q63),DO62:DO63),0)</f>
        <v>0</v>
      </c>
      <c r="DP64" s="1">
        <f t="array" aca="1" ref="DP64:DP65" ca="1">IF(ISNUMBER($A62),MMULT(TRANSPOSE($P62:$Q63),DP62:DP63),0)</f>
        <v>0</v>
      </c>
      <c r="DQ64" s="1">
        <f t="array" aca="1" ref="DQ64:DQ65" ca="1">IF(ISNUMBER($A62),MMULT(TRANSPOSE($P62:$Q63),DQ62:DQ63),0)</f>
        <v>0</v>
      </c>
      <c r="DR64" s="1"/>
      <c r="DS64" s="1"/>
      <c r="DT64" s="8"/>
      <c r="DU64" s="12"/>
      <c r="DV64" s="310"/>
      <c r="DW64" s="345"/>
      <c r="DY64" s="291" t="s">
        <v>96</v>
      </c>
      <c r="DZ64" s="7">
        <f t="array" aca="1" ref="DZ64:DZ65" ca="1">IF(ISNUMBER($A62),MMULT(TRANSPOSE($P62:$Q63),DZ62:DZ63),0)</f>
        <v>0</v>
      </c>
      <c r="EA64" s="1">
        <f t="array" aca="1" ref="EA64:EA65" ca="1">IF(ISNUMBER($A62),MMULT(TRANSPOSE($P62:$Q63),EA62:EA63),0)</f>
        <v>0</v>
      </c>
      <c r="EB64" s="1">
        <f t="array" aca="1" ref="EB64:EB65" ca="1">IF(ISNUMBER($A62),MMULT(TRANSPOSE($P62:$Q63),EB62:EB63),0)</f>
        <v>0</v>
      </c>
      <c r="EC64" s="1">
        <f t="array" aca="1" ref="EC64:EC65" ca="1">IF(ISNUMBER($A62),MMULT(TRANSPOSE($P62:$Q63),EC62:EC63),0)</f>
        <v>0</v>
      </c>
      <c r="ED64" s="1">
        <f t="array" aca="1" ref="ED64:ED65" ca="1">IF(ISNUMBER($A62),MMULT(TRANSPOSE($P62:$Q63),ED62:ED63),0)</f>
        <v>0</v>
      </c>
      <c r="EE64" s="1">
        <f t="array" aca="1" ref="EE64:EE65" ca="1">IF(ISNUMBER($A62),MMULT(TRANSPOSE($P62:$Q63),EE62:EE63),0)</f>
        <v>0</v>
      </c>
      <c r="EF64" s="1">
        <f t="array" aca="1" ref="EF64:EF65" ca="1">IF(ISNUMBER($A62),MMULT(TRANSPOSE($P62:$Q63),EF62:EF63),0)</f>
        <v>0</v>
      </c>
      <c r="EG64" s="1">
        <f t="array" aca="1" ref="EG64:EG65" ca="1">IF(ISNUMBER($A62),MMULT(TRANSPOSE($P62:$Q63),EG62:EG63),0)</f>
        <v>0</v>
      </c>
      <c r="EH64" s="1">
        <f t="array" aca="1" ref="EH64:EH65" ca="1">IF(ISNUMBER($A62),MMULT(TRANSPOSE($P62:$Q63),EH62:EH63),0)</f>
        <v>0</v>
      </c>
      <c r="EI64" s="1">
        <f t="array" aca="1" ref="EI64:EI65" ca="1">IF(ISNUMBER($A62),MMULT(TRANSPOSE($P62:$Q63),EI62:EI63),0)</f>
        <v>0</v>
      </c>
      <c r="EJ64" s="1">
        <f t="array" aca="1" ref="EJ64:EJ65" ca="1">IF(ISNUMBER($A62),MMULT(TRANSPOSE($P62:$Q63),EJ62:EJ63),0)</f>
        <v>0</v>
      </c>
      <c r="EK64" s="1"/>
      <c r="EL64" s="1"/>
      <c r="EM64" s="8"/>
      <c r="EN64" s="309"/>
      <c r="EO64" s="310"/>
      <c r="EP64" s="345"/>
    </row>
    <row r="65" spans="1:146" x14ac:dyDescent="0.2">
      <c r="E65" s="12"/>
      <c r="F65" s="12"/>
      <c r="J65" s="4">
        <f ca="1">-J62</f>
        <v>0</v>
      </c>
      <c r="K65" s="5">
        <v>0</v>
      </c>
      <c r="L65" s="6">
        <v>0</v>
      </c>
      <c r="M65" s="179">
        <f ca="1">J62</f>
        <v>0</v>
      </c>
      <c r="N65" s="5">
        <v>0</v>
      </c>
      <c r="O65" s="6">
        <v>0</v>
      </c>
      <c r="P65" s="184">
        <v>0</v>
      </c>
      <c r="Q65" s="101">
        <v>0</v>
      </c>
      <c r="R65" s="101">
        <v>0</v>
      </c>
      <c r="S65" s="99">
        <f ca="1">I62</f>
        <v>0</v>
      </c>
      <c r="T65" s="99">
        <f ca="1">-H62</f>
        <v>0</v>
      </c>
      <c r="U65" s="100">
        <v>0</v>
      </c>
      <c r="V65" s="4">
        <f ca="1"/>
        <v>0</v>
      </c>
      <c r="W65" s="5">
        <f ca="1"/>
        <v>0</v>
      </c>
      <c r="X65" s="6">
        <f ca="1"/>
        <v>0</v>
      </c>
      <c r="Y65" s="179">
        <f ca="1"/>
        <v>0</v>
      </c>
      <c r="Z65" s="5">
        <f ca="1"/>
        <v>0</v>
      </c>
      <c r="AA65" s="6">
        <f ca="1"/>
        <v>0</v>
      </c>
      <c r="AB65" s="61">
        <f ca="1">IF(ISNUMBER($A62),INDIRECT("System!" &amp; ADDRESS(A62+1,COLUMN(System!V61))),0)</f>
        <v>0</v>
      </c>
      <c r="AC65" s="301">
        <f ca="1">IF(ISNUMBER(E62),E62*D62/2,0)</f>
        <v>0</v>
      </c>
      <c r="AD65" s="61">
        <f ca="1"/>
        <v>0</v>
      </c>
      <c r="AE65" s="7">
        <f t="shared" ref="AE65:BR65" ca="1" si="121">IF(ABS($E64)=AE$1,SIGN($E64),0)</f>
        <v>0</v>
      </c>
      <c r="AF65" s="1">
        <f t="shared" ca="1" si="121"/>
        <v>0</v>
      </c>
      <c r="AG65" s="1">
        <f t="shared" ca="1" si="121"/>
        <v>0</v>
      </c>
      <c r="AH65" s="1">
        <f t="shared" ca="1" si="121"/>
        <v>0</v>
      </c>
      <c r="AI65" s="1">
        <f t="shared" ca="1" si="121"/>
        <v>0</v>
      </c>
      <c r="AJ65" s="26">
        <f t="shared" ca="1" si="121"/>
        <v>0</v>
      </c>
      <c r="AK65" s="26">
        <f t="shared" ca="1" si="121"/>
        <v>0</v>
      </c>
      <c r="AL65" s="26">
        <f t="shared" ca="1" si="121"/>
        <v>0</v>
      </c>
      <c r="AM65" s="26">
        <f t="shared" ca="1" si="121"/>
        <v>0</v>
      </c>
      <c r="AN65" s="26">
        <f t="shared" ca="1" si="121"/>
        <v>0</v>
      </c>
      <c r="AO65" s="26">
        <f t="shared" ca="1" si="121"/>
        <v>0</v>
      </c>
      <c r="AP65" s="26">
        <f t="shared" ca="1" si="121"/>
        <v>0</v>
      </c>
      <c r="AQ65" s="26">
        <f t="shared" ca="1" si="121"/>
        <v>0</v>
      </c>
      <c r="AR65" s="26">
        <f t="shared" ca="1" si="121"/>
        <v>0</v>
      </c>
      <c r="AS65" s="26">
        <f t="shared" ca="1" si="121"/>
        <v>0</v>
      </c>
      <c r="AT65" s="26">
        <f t="shared" ca="1" si="121"/>
        <v>0</v>
      </c>
      <c r="AU65" s="26">
        <f t="shared" ca="1" si="121"/>
        <v>0</v>
      </c>
      <c r="AV65" s="26">
        <f t="shared" ca="1" si="121"/>
        <v>0</v>
      </c>
      <c r="AW65" s="26">
        <f t="shared" ca="1" si="121"/>
        <v>0</v>
      </c>
      <c r="AX65" s="26">
        <f t="shared" ca="1" si="121"/>
        <v>0</v>
      </c>
      <c r="AY65" s="26">
        <f t="shared" ca="1" si="121"/>
        <v>0</v>
      </c>
      <c r="AZ65" s="26">
        <f t="shared" ca="1" si="121"/>
        <v>0</v>
      </c>
      <c r="BA65" s="26">
        <f t="shared" ca="1" si="121"/>
        <v>0</v>
      </c>
      <c r="BB65" s="26">
        <f t="shared" ca="1" si="121"/>
        <v>0</v>
      </c>
      <c r="BC65" s="26">
        <f t="shared" ca="1" si="121"/>
        <v>0</v>
      </c>
      <c r="BD65" s="26">
        <f t="shared" ca="1" si="121"/>
        <v>0</v>
      </c>
      <c r="BE65" s="26">
        <f t="shared" ca="1" si="121"/>
        <v>0</v>
      </c>
      <c r="BF65" s="26">
        <f t="shared" ca="1" si="121"/>
        <v>0</v>
      </c>
      <c r="BG65" s="26">
        <f t="shared" ca="1" si="121"/>
        <v>0</v>
      </c>
      <c r="BH65" s="26">
        <f t="shared" ca="1" si="121"/>
        <v>0</v>
      </c>
      <c r="BI65" s="26">
        <f t="shared" ca="1" si="121"/>
        <v>0</v>
      </c>
      <c r="BJ65" s="26">
        <f t="shared" ca="1" si="121"/>
        <v>0</v>
      </c>
      <c r="BK65" s="26">
        <f t="shared" ca="1" si="121"/>
        <v>0</v>
      </c>
      <c r="BL65" s="26">
        <f t="shared" ca="1" si="121"/>
        <v>0</v>
      </c>
      <c r="BM65" s="26">
        <f t="shared" ca="1" si="121"/>
        <v>0</v>
      </c>
      <c r="BN65" s="26">
        <f t="shared" ca="1" si="121"/>
        <v>0</v>
      </c>
      <c r="BO65" s="26">
        <f t="shared" ca="1" si="121"/>
        <v>0</v>
      </c>
      <c r="BP65" s="26">
        <f t="shared" ca="1" si="121"/>
        <v>0</v>
      </c>
      <c r="BQ65" s="26">
        <f t="shared" ca="1" si="121"/>
        <v>0</v>
      </c>
      <c r="BR65" s="26">
        <f t="shared" ca="1" si="121"/>
        <v>0</v>
      </c>
      <c r="BS65" s="282">
        <f ca="1">IF(ISNUMBER($A62),IF(INDEX(B64:G64,4)&lt;&gt;0,SIGN(INDEX(B64:G64,4))*INDIRECT(ADDRESS(1+ABS(INDEX(B64:G64,4)),COLUMN(Ksys!$B$1),1,TRUE,"Ksys")),0)+AB65,0)</f>
        <v>0</v>
      </c>
      <c r="BT65" s="61">
        <f ca="1"/>
        <v>0</v>
      </c>
      <c r="BU65" s="61">
        <f ca="1"/>
        <v>0</v>
      </c>
      <c r="BV65" s="61">
        <f t="array" aca="1" ref="BV65:BV67" ca="1">MMULT(J65:O67,BT62:BT67)-AC65:AC67</f>
        <v>0</v>
      </c>
      <c r="BW65" s="288" t="s">
        <v>101</v>
      </c>
      <c r="BX65" s="7">
        <f ca="1"/>
        <v>0</v>
      </c>
      <c r="BY65" s="1">
        <f ca="1"/>
        <v>0</v>
      </c>
      <c r="BZ65" s="1">
        <f ca="1"/>
        <v>0</v>
      </c>
      <c r="CA65" s="1">
        <f ca="1"/>
        <v>0</v>
      </c>
      <c r="CB65" s="1">
        <f ca="1"/>
        <v>0</v>
      </c>
      <c r="CC65" s="1">
        <f ca="1"/>
        <v>0</v>
      </c>
      <c r="CD65" s="1">
        <f ca="1"/>
        <v>0</v>
      </c>
      <c r="CE65" s="1">
        <f ca="1"/>
        <v>0</v>
      </c>
      <c r="CF65" s="1">
        <f ca="1"/>
        <v>0</v>
      </c>
      <c r="CG65" s="1">
        <f ca="1"/>
        <v>0</v>
      </c>
      <c r="CH65" s="8">
        <f ca="1"/>
        <v>0</v>
      </c>
      <c r="CI65" s="344" t="s">
        <v>1</v>
      </c>
      <c r="CJ65" s="344" t="s">
        <v>111</v>
      </c>
      <c r="CK65" s="310"/>
      <c r="CM65" s="292" t="s">
        <v>101</v>
      </c>
      <c r="CN65" s="7">
        <f ca="1"/>
        <v>0</v>
      </c>
      <c r="CO65" s="1">
        <f ca="1"/>
        <v>0</v>
      </c>
      <c r="CP65" s="1">
        <f ca="1"/>
        <v>0</v>
      </c>
      <c r="CQ65" s="1">
        <f ca="1"/>
        <v>0</v>
      </c>
      <c r="CR65" s="1">
        <f ca="1"/>
        <v>0</v>
      </c>
      <c r="CS65" s="1">
        <f ca="1"/>
        <v>0</v>
      </c>
      <c r="CT65" s="1">
        <f ca="1"/>
        <v>0</v>
      </c>
      <c r="CU65" s="1">
        <f ca="1"/>
        <v>0</v>
      </c>
      <c r="CV65" s="1">
        <f ca="1"/>
        <v>0</v>
      </c>
      <c r="CW65" s="1">
        <f ca="1"/>
        <v>0</v>
      </c>
      <c r="CX65" s="1">
        <f ca="1"/>
        <v>0</v>
      </c>
      <c r="CY65" s="1"/>
      <c r="CZ65" s="1"/>
      <c r="DA65" s="26"/>
      <c r="DB65" s="311" t="s">
        <v>1</v>
      </c>
      <c r="DC65" s="312" t="s">
        <v>111</v>
      </c>
      <c r="DD65" s="61">
        <f ca="1">MAX(MAX(CN64:CX65),ABS(MIN(CN64:CX65)))</f>
        <v>0</v>
      </c>
      <c r="DF65" s="292" t="s">
        <v>101</v>
      </c>
      <c r="DG65" s="7">
        <f ca="1"/>
        <v>0</v>
      </c>
      <c r="DH65" s="1">
        <f ca="1"/>
        <v>0</v>
      </c>
      <c r="DI65" s="1">
        <f ca="1"/>
        <v>0</v>
      </c>
      <c r="DJ65" s="1">
        <f ca="1"/>
        <v>0</v>
      </c>
      <c r="DK65" s="1">
        <f ca="1"/>
        <v>0</v>
      </c>
      <c r="DL65" s="1">
        <f ca="1"/>
        <v>0</v>
      </c>
      <c r="DM65" s="1">
        <f ca="1"/>
        <v>0</v>
      </c>
      <c r="DN65" s="1">
        <f ca="1"/>
        <v>0</v>
      </c>
      <c r="DO65" s="1">
        <f ca="1"/>
        <v>0</v>
      </c>
      <c r="DP65" s="1">
        <f ca="1"/>
        <v>0</v>
      </c>
      <c r="DQ65" s="1">
        <f ca="1"/>
        <v>0</v>
      </c>
      <c r="DR65" s="1"/>
      <c r="DS65" s="1"/>
      <c r="DT65" s="8"/>
      <c r="DU65" s="314" t="s">
        <v>1</v>
      </c>
      <c r="DV65" s="312" t="s">
        <v>111</v>
      </c>
      <c r="DW65" s="349">
        <f ca="1">MAX(MAX(DG64:DQ65),ABS(MIN(DG64:DQ65)))</f>
        <v>0</v>
      </c>
      <c r="DY65" s="292" t="s">
        <v>101</v>
      </c>
      <c r="DZ65" s="7">
        <f ca="1"/>
        <v>0</v>
      </c>
      <c r="EA65" s="1">
        <f ca="1"/>
        <v>0</v>
      </c>
      <c r="EB65" s="1">
        <f ca="1"/>
        <v>0</v>
      </c>
      <c r="EC65" s="1">
        <f ca="1"/>
        <v>0</v>
      </c>
      <c r="ED65" s="1">
        <f ca="1"/>
        <v>0</v>
      </c>
      <c r="EE65" s="1">
        <f ca="1"/>
        <v>0</v>
      </c>
      <c r="EF65" s="1">
        <f ca="1"/>
        <v>0</v>
      </c>
      <c r="EG65" s="1">
        <f ca="1"/>
        <v>0</v>
      </c>
      <c r="EH65" s="1">
        <f ca="1"/>
        <v>0</v>
      </c>
      <c r="EI65" s="1">
        <f ca="1"/>
        <v>0</v>
      </c>
      <c r="EJ65" s="1">
        <f ca="1"/>
        <v>0</v>
      </c>
      <c r="EK65" s="1"/>
      <c r="EL65" s="1"/>
      <c r="EM65" s="8"/>
      <c r="EN65" s="311" t="s">
        <v>1</v>
      </c>
      <c r="EO65" s="312" t="s">
        <v>111</v>
      </c>
      <c r="EP65" s="61">
        <f ca="1">MAX(MAX(DZ64:EJ65),ABS(MIN(DZ64:EJ65)))</f>
        <v>0</v>
      </c>
    </row>
    <row r="66" spans="1:146" x14ac:dyDescent="0.2">
      <c r="E66" s="1" t="str">
        <f ca="1">IF(ISNUMBER(A62),"" &amp; ADDRESS(ROW(A62),COLUMN($AD$1)) &amp; ":" &amp; ADDRESS(ROW(A67),COLUMN($AD$1)) &amp; "","")</f>
        <v/>
      </c>
      <c r="F66" s="1" t="str">
        <f ca="1">IF(ISNUMBER(A62),"" &amp; ADDRESS(ROW(A62),COLUMN($V$1)) &amp; ":" &amp; ADDRESS(ROW(A67),COLUMN($AA$1)) &amp; "","")</f>
        <v/>
      </c>
      <c r="G66" s="1" t="str">
        <f ca="1">IF(ISNUMBER(A62),"" &amp; ADDRESS(ROW(A62),COLUMN($AE$1)) &amp; ":" &amp; ADDRESS(ROW(A67),COLUMN($AD$1)+$C$6) &amp; "","")</f>
        <v/>
      </c>
      <c r="J66" s="7">
        <v>0</v>
      </c>
      <c r="K66" s="1">
        <f ca="1">-K63</f>
        <v>0</v>
      </c>
      <c r="L66" s="8">
        <f ca="1">IF(G62=1,6*B62/D62^2,IF(G62="2a",0,IF(G62="2b",3*B62/D62^2,0)))</f>
        <v>0</v>
      </c>
      <c r="M66" s="7">
        <v>0</v>
      </c>
      <c r="N66" s="180">
        <f ca="1">K63</f>
        <v>0</v>
      </c>
      <c r="O66" s="8">
        <f ca="1">N67</f>
        <v>0</v>
      </c>
      <c r="P66" s="184">
        <v>0</v>
      </c>
      <c r="Q66" s="101">
        <v>0</v>
      </c>
      <c r="R66" s="101">
        <v>0</v>
      </c>
      <c r="S66" s="99">
        <f ca="1">H62</f>
        <v>0</v>
      </c>
      <c r="T66" s="99">
        <f ca="1">I62</f>
        <v>0</v>
      </c>
      <c r="U66" s="100">
        <v>0</v>
      </c>
      <c r="V66" s="7">
        <f ca="1"/>
        <v>0</v>
      </c>
      <c r="W66" s="1">
        <f ca="1"/>
        <v>0</v>
      </c>
      <c r="X66" s="8">
        <f ca="1"/>
        <v>0</v>
      </c>
      <c r="Y66" s="7">
        <f ca="1"/>
        <v>0</v>
      </c>
      <c r="Z66" s="180">
        <f ca="1"/>
        <v>0</v>
      </c>
      <c r="AA66" s="8">
        <f ca="1"/>
        <v>0</v>
      </c>
      <c r="AB66" s="61">
        <f ca="1">IF(ISNUMBER($A62),INDIRECT("System!" &amp; ADDRESS(A62+1,COLUMN(System!W61))),0)</f>
        <v>0</v>
      </c>
      <c r="AC66" s="301">
        <f ca="1">IF(G62=1,F62*D62/2,IF(G62="2a",F62*5/8*D62,IF(G62="2b",F62*3/8*D62,0)))</f>
        <v>0</v>
      </c>
      <c r="AD66" s="61">
        <f ca="1"/>
        <v>0</v>
      </c>
      <c r="AE66" s="7">
        <f t="shared" ref="AE66:BR66" ca="1" si="122">IF(ABS($F64)=AE$1,SIGN($F64),0)</f>
        <v>0</v>
      </c>
      <c r="AF66" s="1">
        <f t="shared" ca="1" si="122"/>
        <v>0</v>
      </c>
      <c r="AG66" s="1">
        <f t="shared" ca="1" si="122"/>
        <v>0</v>
      </c>
      <c r="AH66" s="1">
        <f t="shared" ca="1" si="122"/>
        <v>0</v>
      </c>
      <c r="AI66" s="1">
        <f t="shared" ca="1" si="122"/>
        <v>0</v>
      </c>
      <c r="AJ66" s="26">
        <f t="shared" ca="1" si="122"/>
        <v>0</v>
      </c>
      <c r="AK66" s="26">
        <f t="shared" ca="1" si="122"/>
        <v>0</v>
      </c>
      <c r="AL66" s="26">
        <f t="shared" ca="1" si="122"/>
        <v>0</v>
      </c>
      <c r="AM66" s="26">
        <f t="shared" ca="1" si="122"/>
        <v>0</v>
      </c>
      <c r="AN66" s="26">
        <f t="shared" ca="1" si="122"/>
        <v>0</v>
      </c>
      <c r="AO66" s="26">
        <f t="shared" ca="1" si="122"/>
        <v>0</v>
      </c>
      <c r="AP66" s="26">
        <f t="shared" ca="1" si="122"/>
        <v>0</v>
      </c>
      <c r="AQ66" s="26">
        <f t="shared" ca="1" si="122"/>
        <v>0</v>
      </c>
      <c r="AR66" s="26">
        <f t="shared" ca="1" si="122"/>
        <v>0</v>
      </c>
      <c r="AS66" s="26">
        <f t="shared" ca="1" si="122"/>
        <v>0</v>
      </c>
      <c r="AT66" s="26">
        <f t="shared" ca="1" si="122"/>
        <v>0</v>
      </c>
      <c r="AU66" s="26">
        <f t="shared" ca="1" si="122"/>
        <v>0</v>
      </c>
      <c r="AV66" s="26">
        <f t="shared" ca="1" si="122"/>
        <v>0</v>
      </c>
      <c r="AW66" s="26">
        <f t="shared" ca="1" si="122"/>
        <v>0</v>
      </c>
      <c r="AX66" s="26">
        <f t="shared" ca="1" si="122"/>
        <v>0</v>
      </c>
      <c r="AY66" s="26">
        <f t="shared" ca="1" si="122"/>
        <v>0</v>
      </c>
      <c r="AZ66" s="26">
        <f t="shared" ca="1" si="122"/>
        <v>0</v>
      </c>
      <c r="BA66" s="26">
        <f t="shared" ca="1" si="122"/>
        <v>0</v>
      </c>
      <c r="BB66" s="26">
        <f t="shared" ca="1" si="122"/>
        <v>0</v>
      </c>
      <c r="BC66" s="26">
        <f t="shared" ca="1" si="122"/>
        <v>0</v>
      </c>
      <c r="BD66" s="26">
        <f t="shared" ca="1" si="122"/>
        <v>0</v>
      </c>
      <c r="BE66" s="26">
        <f t="shared" ca="1" si="122"/>
        <v>0</v>
      </c>
      <c r="BF66" s="26">
        <f t="shared" ca="1" si="122"/>
        <v>0</v>
      </c>
      <c r="BG66" s="26">
        <f t="shared" ca="1" si="122"/>
        <v>0</v>
      </c>
      <c r="BH66" s="26">
        <f t="shared" ca="1" si="122"/>
        <v>0</v>
      </c>
      <c r="BI66" s="26">
        <f t="shared" ca="1" si="122"/>
        <v>0</v>
      </c>
      <c r="BJ66" s="26">
        <f t="shared" ca="1" si="122"/>
        <v>0</v>
      </c>
      <c r="BK66" s="26">
        <f t="shared" ca="1" si="122"/>
        <v>0</v>
      </c>
      <c r="BL66" s="26">
        <f t="shared" ca="1" si="122"/>
        <v>0</v>
      </c>
      <c r="BM66" s="26">
        <f t="shared" ca="1" si="122"/>
        <v>0</v>
      </c>
      <c r="BN66" s="26">
        <f t="shared" ca="1" si="122"/>
        <v>0</v>
      </c>
      <c r="BO66" s="26">
        <f t="shared" ca="1" si="122"/>
        <v>0</v>
      </c>
      <c r="BP66" s="26">
        <f t="shared" ca="1" si="122"/>
        <v>0</v>
      </c>
      <c r="BQ66" s="26">
        <f t="shared" ca="1" si="122"/>
        <v>0</v>
      </c>
      <c r="BR66" s="26">
        <f t="shared" ca="1" si="122"/>
        <v>0</v>
      </c>
      <c r="BS66" s="282">
        <f ca="1">IF(ISNUMBER($A62),IF(INDEX(B64:G64,5)&lt;&gt;0,SIGN(INDEX(B64:G64,5))*INDIRECT(ADDRESS(1+ABS(INDEX(B64:G64,5)),COLUMN(Ksys!$B$1),1,TRUE,"Ksys")),0)+AB66,0)</f>
        <v>0</v>
      </c>
      <c r="BT66" s="61">
        <f ca="1"/>
        <v>0</v>
      </c>
      <c r="BU66" s="61">
        <f ca="1"/>
        <v>0</v>
      </c>
      <c r="BV66" s="61">
        <f ca="1"/>
        <v>0</v>
      </c>
      <c r="BW66" s="296" t="s">
        <v>102</v>
      </c>
      <c r="BX66" s="216">
        <f ca="1">IF(ISNUMBER($A62),$B63*(1-BX$1) + $C63*BX$1 + Knoten!$S$5*BX64,KnotenData!$H$2)</f>
        <v>0.5</v>
      </c>
      <c r="BY66" s="206">
        <f ca="1">IF(ISNUMBER($A62),$B63*(1-BY$1) + $C63*BY$1 + Knoten!$S$5*BY64,KnotenData!$H$2)</f>
        <v>0.5</v>
      </c>
      <c r="BZ66" s="206">
        <f ca="1">IF(ISNUMBER($A62),$B63*(1-BZ$1) + $C63*BZ$1 + Knoten!$S$5*BZ64,KnotenData!$H$2)</f>
        <v>0.5</v>
      </c>
      <c r="CA66" s="206">
        <f ca="1">IF(ISNUMBER($A62),$B63*(1-CA$1) + $C63*CA$1 + Knoten!$S$5*CA64,KnotenData!$H$2)</f>
        <v>0.5</v>
      </c>
      <c r="CB66" s="206">
        <f ca="1">IF(ISNUMBER($A62),$B63*(1-CB$1) + $C63*CB$1 + Knoten!$S$5*CB64,KnotenData!$H$2)</f>
        <v>0.5</v>
      </c>
      <c r="CC66" s="206">
        <f ca="1">IF(ISNUMBER($A62),$B63*(1-CC$1) + $C63*CC$1 + Knoten!$S$5*CC64,KnotenData!$H$2)</f>
        <v>0.5</v>
      </c>
      <c r="CD66" s="206">
        <f ca="1">IF(ISNUMBER($A62),$B63*(1-CD$1) + $C63*CD$1 + Knoten!$S$5*CD64,KnotenData!$H$2)</f>
        <v>0.5</v>
      </c>
      <c r="CE66" s="206">
        <f ca="1">IF(ISNUMBER($A62),$B63*(1-CE$1) + $C63*CE$1 + Knoten!$S$5*CE64,KnotenData!$H$2)</f>
        <v>0.5</v>
      </c>
      <c r="CF66" s="206">
        <f ca="1">IF(ISNUMBER($A62),$B63*(1-CF$1) + $C63*CF$1 + Knoten!$S$5*CF64,KnotenData!$H$2)</f>
        <v>0.5</v>
      </c>
      <c r="CG66" s="206">
        <f ca="1">IF(ISNUMBER($A62),$B63*(1-CG$1) + $C63*CG$1 + Knoten!$S$5*CG64,KnotenData!$H$2)</f>
        <v>0.5</v>
      </c>
      <c r="CH66" s="217">
        <f ca="1">IF(ISNUMBER($A62),$B63*(1-CH$1) + $C63*CH$1 + Knoten!$S$5*CH64,KnotenData!$H$2)</f>
        <v>0.5</v>
      </c>
      <c r="CI66" s="447">
        <f ca="1">MIN(BX66:CH66)</f>
        <v>0.5</v>
      </c>
      <c r="CJ66" s="447">
        <f ca="1">MIN(BX67:CH67)</f>
        <v>0.47499999999999998</v>
      </c>
      <c r="CK66" s="445"/>
      <c r="CM66" s="293" t="s">
        <v>102</v>
      </c>
      <c r="CN66" s="216">
        <f ca="1">IF(ISNUMBER($A62),$B63*(1-CN$1) + $C63*CN$1 + Momente!$D$6*CN64,KnotenData!$H$2)</f>
        <v>0.5</v>
      </c>
      <c r="CO66" s="206">
        <f ca="1">IF(ISNUMBER($A62),$B63*(1-CO$1) + $C63*CO$1 + Momente!$D$6*CO64,KnotenData!$H$2)</f>
        <v>0.5</v>
      </c>
      <c r="CP66" s="206">
        <f ca="1">IF(ISNUMBER($A62),$B63*(1-CP$1) + $C63*CP$1 + Momente!$D$6*CP64,KnotenData!$H$2)</f>
        <v>0.5</v>
      </c>
      <c r="CQ66" s="206">
        <f ca="1">IF(ISNUMBER($A62),$B63*(1-CQ$1) + $C63*CQ$1 + Momente!$D$6*CQ64,KnotenData!$H$2)</f>
        <v>0.5</v>
      </c>
      <c r="CR66" s="206">
        <f ca="1">IF(ISNUMBER($A62),$B63*(1-CR$1) + $C63*CR$1 + Momente!$D$6*CR64,KnotenData!$H$2)</f>
        <v>0.5</v>
      </c>
      <c r="CS66" s="206">
        <f ca="1">IF(ISNUMBER($A62),$B63*(1-CS$1) + $C63*CS$1 + Momente!$D$6*CS64,KnotenData!$H$2)</f>
        <v>0.5</v>
      </c>
      <c r="CT66" s="206">
        <f ca="1">IF(ISNUMBER($A62),$B63*(1-CT$1) + $C63*CT$1 + Momente!$D$6*CT64,KnotenData!$H$2)</f>
        <v>0.5</v>
      </c>
      <c r="CU66" s="206">
        <f ca="1">IF(ISNUMBER($A62),$B63*(1-CU$1) + $C63*CU$1 + Momente!$D$6*CU64,KnotenData!$H$2)</f>
        <v>0.5</v>
      </c>
      <c r="CV66" s="206">
        <f ca="1">IF(ISNUMBER($A62),$B63*(1-CV$1) + $C63*CV$1 + Momente!$D$6*CV64,KnotenData!$H$2)</f>
        <v>0.5</v>
      </c>
      <c r="CW66" s="206">
        <f ca="1">IF(ISNUMBER($A62),$B63*(1-CW$1) + $C63*CW$1 + Momente!$D$6*CW64,KnotenData!$H$2)</f>
        <v>0.5</v>
      </c>
      <c r="CX66" s="206">
        <f ca="1">IF(ISNUMBER($A62),$B63*(1-CX$1) + $C63*CX$1 + Momente!$D$6*CX64,KnotenData!$H$2)</f>
        <v>0.5</v>
      </c>
      <c r="CY66" s="206">
        <f ca="1">IF(ISNUMBER($A62),$C63,KnotenData!$H$2)</f>
        <v>0.5</v>
      </c>
      <c r="CZ66" s="206">
        <f ca="1">IF(ISNUMBER($A62),$B63,KnotenData!$H$2)</f>
        <v>0.5</v>
      </c>
      <c r="DA66" s="305">
        <f ca="1">IF(ISNUMBER($A62),CN66,KnotenData!$H$2)</f>
        <v>0.5</v>
      </c>
      <c r="DB66" s="7">
        <f ca="1">MIN(CN66:DA66)</f>
        <v>0.5</v>
      </c>
      <c r="DC66" s="8">
        <f ca="1">MIN(CN67:DA67)</f>
        <v>0.47499999999999998</v>
      </c>
      <c r="DD66" s="345"/>
      <c r="DF66" s="293" t="s">
        <v>102</v>
      </c>
      <c r="DG66" s="216">
        <f ca="1">IF(ISNUMBER($A62),$B63*(1-DG$1) + $C63*DG$1 + Querkräfte!$D$6*DG64,KnotenData!$H$2)</f>
        <v>0.5</v>
      </c>
      <c r="DH66" s="206">
        <f ca="1">IF(ISNUMBER($A62),$B63*(1-DH$1) + $C63*DH$1 + Querkräfte!$D$6*DH64,KnotenData!$H$2)</f>
        <v>0.5</v>
      </c>
      <c r="DI66" s="206">
        <f ca="1">IF(ISNUMBER($A62),$B63*(1-DI$1) + $C63*DI$1 + Querkräfte!$D$6*DI64,KnotenData!$H$2)</f>
        <v>0.5</v>
      </c>
      <c r="DJ66" s="206">
        <f ca="1">IF(ISNUMBER($A62),$B63*(1-DJ$1) + $C63*DJ$1 + Querkräfte!$D$6*DJ64,KnotenData!$H$2)</f>
        <v>0.5</v>
      </c>
      <c r="DK66" s="206">
        <f ca="1">IF(ISNUMBER($A62),$B63*(1-DK$1) + $C63*DK$1 + Querkräfte!$D$6*DK64,KnotenData!$H$2)</f>
        <v>0.5</v>
      </c>
      <c r="DL66" s="206">
        <f ca="1">IF(ISNUMBER($A62),$B63*(1-DL$1) + $C63*DL$1 + Querkräfte!$D$6*DL64,KnotenData!$H$2)</f>
        <v>0.5</v>
      </c>
      <c r="DM66" s="206">
        <f ca="1">IF(ISNUMBER($A62),$B63*(1-DM$1) + $C63*DM$1 + Querkräfte!$D$6*DM64,KnotenData!$H$2)</f>
        <v>0.5</v>
      </c>
      <c r="DN66" s="206">
        <f ca="1">IF(ISNUMBER($A62),$B63*(1-DN$1) + $C63*DN$1 + Querkräfte!$D$6*DN64,KnotenData!$H$2)</f>
        <v>0.5</v>
      </c>
      <c r="DO66" s="206">
        <f ca="1">IF(ISNUMBER($A62),$B63*(1-DO$1) + $C63*DO$1 + Querkräfte!$D$6*DO64,KnotenData!$H$2)</f>
        <v>0.5</v>
      </c>
      <c r="DP66" s="206">
        <f ca="1">IF(ISNUMBER($A62),$B63*(1-DP$1) + $C63*DP$1 + Querkräfte!$D$6*DP64,KnotenData!$H$2)</f>
        <v>0.5</v>
      </c>
      <c r="DQ66" s="206">
        <f ca="1">IF(ISNUMBER($A62),$B63*(1-DQ$1) + $C63*DQ$1 + Querkräfte!$D$6*DQ64,KnotenData!$H$2)</f>
        <v>0.5</v>
      </c>
      <c r="DR66" s="206">
        <f ca="1">IF(ISNUMBER($A62),$C63,KnotenData!$H$2)</f>
        <v>0.5</v>
      </c>
      <c r="DS66" s="206">
        <f ca="1">IF(ISNUMBER($A62),$B63,KnotenData!$H$2)</f>
        <v>0.5</v>
      </c>
      <c r="DT66" s="217">
        <f ca="1">IF(ISNUMBER($A62),DG66,KnotenData!$H$2)</f>
        <v>0.5</v>
      </c>
      <c r="DU66" s="145">
        <f ca="1">MIN(DG66:DQ66)</f>
        <v>0.5</v>
      </c>
      <c r="DV66" s="8">
        <f ca="1">MIN(DG67:DQ67)</f>
        <v>0.47499999999999998</v>
      </c>
      <c r="DW66" s="345"/>
      <c r="DY66" s="293" t="s">
        <v>102</v>
      </c>
      <c r="DZ66" s="216">
        <f ca="1">IF(ISNUMBER($A62),$B63*(1-DZ$1) + $C63*DZ$1 + Normalkräfte!$D$6*DZ64,KnotenData!$H$2)</f>
        <v>0.5</v>
      </c>
      <c r="EA66" s="206">
        <f ca="1">IF(ISNUMBER($A62),$B63*(1-EA$1) + $C63*EA$1 + Normalkräfte!$D$6*EA64,KnotenData!$H$2)</f>
        <v>0.5</v>
      </c>
      <c r="EB66" s="206">
        <f ca="1">IF(ISNUMBER($A62),$B63*(1-EB$1) + $C63*EB$1 + Normalkräfte!$D$6*EB64,KnotenData!$H$2)</f>
        <v>0.5</v>
      </c>
      <c r="EC66" s="206">
        <f ca="1">IF(ISNUMBER($A62),$B63*(1-EC$1) + $C63*EC$1 + Normalkräfte!$D$6*EC64,KnotenData!$H$2)</f>
        <v>0.5</v>
      </c>
      <c r="ED66" s="206">
        <f ca="1">IF(ISNUMBER($A62),$B63*(1-ED$1) + $C63*ED$1 + Normalkräfte!$D$6*ED64,KnotenData!$H$2)</f>
        <v>0.5</v>
      </c>
      <c r="EE66" s="206">
        <f ca="1">IF(ISNUMBER($A62),$B63*(1-EE$1) + $C63*EE$1 + Normalkräfte!$D$6*EE64,KnotenData!$H$2)</f>
        <v>0.5</v>
      </c>
      <c r="EF66" s="206">
        <f ca="1">IF(ISNUMBER($A62),$B63*(1-EF$1) + $C63*EF$1 + Normalkräfte!$D$6*EF64,KnotenData!$H$2)</f>
        <v>0.5</v>
      </c>
      <c r="EG66" s="206">
        <f ca="1">IF(ISNUMBER($A62),$B63*(1-EG$1) + $C63*EG$1 + Normalkräfte!$D$6*EG64,KnotenData!$H$2)</f>
        <v>0.5</v>
      </c>
      <c r="EH66" s="206">
        <f ca="1">IF(ISNUMBER($A62),$B63*(1-EH$1) + $C63*EH$1 + Normalkräfte!$D$6*EH64,KnotenData!$H$2)</f>
        <v>0.5</v>
      </c>
      <c r="EI66" s="206">
        <f ca="1">IF(ISNUMBER($A62),$B63*(1-EI$1) + $C63*EI$1 + Normalkräfte!$D$6*EI64,KnotenData!$H$2)</f>
        <v>0.5</v>
      </c>
      <c r="EJ66" s="206">
        <f ca="1">IF(ISNUMBER($A62),$B63*(1-EJ$1) + $C63*EJ$1 + Normalkräfte!$D$6*EJ64,KnotenData!$H$2)</f>
        <v>0.5</v>
      </c>
      <c r="EK66" s="256">
        <f ca="1">IF(ISNUMBER($A62),$C63,KnotenData!$H$2)</f>
        <v>0.5</v>
      </c>
      <c r="EL66" s="206">
        <f ca="1">IF(ISNUMBER($A62),$B63,KnotenData!$H$2)</f>
        <v>0.5</v>
      </c>
      <c r="EM66" s="217">
        <f ca="1">IF(ISNUMBER($A62),DZ66,KnotenData!$H$2)</f>
        <v>0.5</v>
      </c>
      <c r="EN66" s="7">
        <f ca="1">MIN(DZ66:EJ66)</f>
        <v>0.5</v>
      </c>
      <c r="EO66" s="8">
        <f ca="1">MIN(DZ67:EJ67)</f>
        <v>0.47499999999999998</v>
      </c>
      <c r="EP66" s="345"/>
    </row>
    <row r="67" spans="1:146" ht="13.5" thickBot="1" x14ac:dyDescent="0.25">
      <c r="E67" s="12"/>
      <c r="F67" s="12"/>
      <c r="J67" s="9">
        <v>0</v>
      </c>
      <c r="K67" s="10">
        <f ca="1">IF(G62=1,-6*B62/D62^2,IF(G62="2a",-3*B62/D62^2,IF(G62="2b",0,0)))</f>
        <v>0</v>
      </c>
      <c r="L67" s="146">
        <f ca="1">IF(G62=1,2*B62/D62,IF(G62="2a",0,IF(G62="2b",0,0)))</f>
        <v>0</v>
      </c>
      <c r="M67" s="9">
        <v>0</v>
      </c>
      <c r="N67" s="10">
        <f ca="1">-K67</f>
        <v>0</v>
      </c>
      <c r="O67" s="181">
        <f ca="1">IF(G62=1,4*B62/D62,IF(G62="2a",3*B62/D62,IF(G62="2b",0,0)))</f>
        <v>0</v>
      </c>
      <c r="P67" s="185">
        <v>0</v>
      </c>
      <c r="Q67" s="103">
        <v>0</v>
      </c>
      <c r="R67" s="103">
        <v>0</v>
      </c>
      <c r="S67" s="111">
        <v>0</v>
      </c>
      <c r="T67" s="111">
        <v>0</v>
      </c>
      <c r="U67" s="112">
        <v>1</v>
      </c>
      <c r="V67" s="9">
        <f ca="1"/>
        <v>0</v>
      </c>
      <c r="W67" s="10">
        <f ca="1"/>
        <v>0</v>
      </c>
      <c r="X67" s="146">
        <f ca="1"/>
        <v>0</v>
      </c>
      <c r="Y67" s="9">
        <f ca="1"/>
        <v>0</v>
      </c>
      <c r="Z67" s="10">
        <f ca="1"/>
        <v>0</v>
      </c>
      <c r="AA67" s="181">
        <f ca="1"/>
        <v>0</v>
      </c>
      <c r="AB67" s="62">
        <f ca="1">IF(ISNUMBER($A62),INDIRECT("System!" &amp; ADDRESS(A62+1,COLUMN(System!X61))),0)</f>
        <v>0</v>
      </c>
      <c r="AC67" s="302">
        <f ca="1">IF(G62=1,F62*D62^2/12,IF(G62="2a",F62*D62^2/8,IF(G62="2b",0,0)))</f>
        <v>0</v>
      </c>
      <c r="AD67" s="62">
        <f ca="1"/>
        <v>0</v>
      </c>
      <c r="AE67" s="9">
        <f t="shared" ref="AE67:BR67" ca="1" si="123">IF(ABS($G64)=AE$1,SIGN($G64),0)</f>
        <v>0</v>
      </c>
      <c r="AF67" s="10">
        <f t="shared" ca="1" si="123"/>
        <v>0</v>
      </c>
      <c r="AG67" s="10">
        <f t="shared" ca="1" si="123"/>
        <v>0</v>
      </c>
      <c r="AH67" s="10">
        <f t="shared" ca="1" si="123"/>
        <v>0</v>
      </c>
      <c r="AI67" s="10">
        <f t="shared" ca="1" si="123"/>
        <v>0</v>
      </c>
      <c r="AJ67" s="188">
        <f t="shared" ca="1" si="123"/>
        <v>0</v>
      </c>
      <c r="AK67" s="188">
        <f t="shared" ca="1" si="123"/>
        <v>0</v>
      </c>
      <c r="AL67" s="188">
        <f t="shared" ca="1" si="123"/>
        <v>0</v>
      </c>
      <c r="AM67" s="188">
        <f t="shared" ca="1" si="123"/>
        <v>0</v>
      </c>
      <c r="AN67" s="188">
        <f t="shared" ca="1" si="123"/>
        <v>0</v>
      </c>
      <c r="AO67" s="188">
        <f t="shared" ca="1" si="123"/>
        <v>0</v>
      </c>
      <c r="AP67" s="188">
        <f t="shared" ca="1" si="123"/>
        <v>0</v>
      </c>
      <c r="AQ67" s="188">
        <f t="shared" ca="1" si="123"/>
        <v>0</v>
      </c>
      <c r="AR67" s="188">
        <f t="shared" ca="1" si="123"/>
        <v>0</v>
      </c>
      <c r="AS67" s="188">
        <f t="shared" ca="1" si="123"/>
        <v>0</v>
      </c>
      <c r="AT67" s="188">
        <f t="shared" ca="1" si="123"/>
        <v>0</v>
      </c>
      <c r="AU67" s="188">
        <f t="shared" ca="1" si="123"/>
        <v>0</v>
      </c>
      <c r="AV67" s="188">
        <f t="shared" ca="1" si="123"/>
        <v>0</v>
      </c>
      <c r="AW67" s="188">
        <f t="shared" ca="1" si="123"/>
        <v>0</v>
      </c>
      <c r="AX67" s="188">
        <f t="shared" ca="1" si="123"/>
        <v>0</v>
      </c>
      <c r="AY67" s="188">
        <f t="shared" ca="1" si="123"/>
        <v>0</v>
      </c>
      <c r="AZ67" s="188">
        <f t="shared" ca="1" si="123"/>
        <v>0</v>
      </c>
      <c r="BA67" s="188">
        <f t="shared" ca="1" si="123"/>
        <v>0</v>
      </c>
      <c r="BB67" s="188">
        <f t="shared" ca="1" si="123"/>
        <v>0</v>
      </c>
      <c r="BC67" s="188">
        <f t="shared" ca="1" si="123"/>
        <v>0</v>
      </c>
      <c r="BD67" s="188">
        <f t="shared" ca="1" si="123"/>
        <v>0</v>
      </c>
      <c r="BE67" s="188">
        <f t="shared" ca="1" si="123"/>
        <v>0</v>
      </c>
      <c r="BF67" s="188">
        <f t="shared" ca="1" si="123"/>
        <v>0</v>
      </c>
      <c r="BG67" s="188">
        <f t="shared" ca="1" si="123"/>
        <v>0</v>
      </c>
      <c r="BH67" s="188">
        <f t="shared" ca="1" si="123"/>
        <v>0</v>
      </c>
      <c r="BI67" s="188">
        <f t="shared" ca="1" si="123"/>
        <v>0</v>
      </c>
      <c r="BJ67" s="188">
        <f t="shared" ca="1" si="123"/>
        <v>0</v>
      </c>
      <c r="BK67" s="188">
        <f t="shared" ca="1" si="123"/>
        <v>0</v>
      </c>
      <c r="BL67" s="188">
        <f t="shared" ca="1" si="123"/>
        <v>0</v>
      </c>
      <c r="BM67" s="188">
        <f t="shared" ca="1" si="123"/>
        <v>0</v>
      </c>
      <c r="BN67" s="188">
        <f t="shared" ca="1" si="123"/>
        <v>0</v>
      </c>
      <c r="BO67" s="188">
        <f t="shared" ca="1" si="123"/>
        <v>0</v>
      </c>
      <c r="BP67" s="188">
        <f t="shared" ca="1" si="123"/>
        <v>0</v>
      </c>
      <c r="BQ67" s="188">
        <f t="shared" ca="1" si="123"/>
        <v>0</v>
      </c>
      <c r="BR67" s="188">
        <f t="shared" ca="1" si="123"/>
        <v>0</v>
      </c>
      <c r="BS67" s="283">
        <f ca="1">IF(ISNUMBER($A62),IF(INDEX(B64:G64,6)&lt;&gt;0,SIGN(INDEX(B64:G64,6))*INDIRECT(ADDRESS(1+ABS(INDEX(B64:G64,6)),COLUMN(Ksys!$B$1),1,TRUE,"Ksys")),0)+AB67,0)</f>
        <v>0</v>
      </c>
      <c r="BT67" s="62">
        <f ca="1"/>
        <v>0</v>
      </c>
      <c r="BU67" s="62">
        <f ca="1"/>
        <v>0</v>
      </c>
      <c r="BV67" s="62">
        <f ca="1"/>
        <v>0</v>
      </c>
      <c r="BW67" s="297" t="s">
        <v>103</v>
      </c>
      <c r="BX67" s="218">
        <f ca="1">IF(ISNUMBER($A62),$D63*(1-BX$1) + $E63*BX$1 + Knoten!$S$5*BX65,KnotenData!$H$3)</f>
        <v>0.47499999999999998</v>
      </c>
      <c r="BY67" s="295">
        <f ca="1">IF(ISNUMBER($A62),$D63*(1-BY$1) + $E63*BY$1 + Knoten!$S$5*BY65,KnotenData!$H$3)</f>
        <v>0.47499999999999998</v>
      </c>
      <c r="BZ67" s="295">
        <f ca="1">IF(ISNUMBER($A62),$D63*(1-BZ$1) + $E63*BZ$1 + Knoten!$S$5*BZ65,KnotenData!$H$3)</f>
        <v>0.47499999999999998</v>
      </c>
      <c r="CA67" s="295">
        <f ca="1">IF(ISNUMBER($A62),$D63*(1-CA$1) + $E63*CA$1 + Knoten!$S$5*CA65,KnotenData!$H$3)</f>
        <v>0.47499999999999998</v>
      </c>
      <c r="CB67" s="295">
        <f ca="1">IF(ISNUMBER($A62),$D63*(1-CB$1) + $E63*CB$1 + Knoten!$S$5*CB65,KnotenData!$H$3)</f>
        <v>0.47499999999999998</v>
      </c>
      <c r="CC67" s="295">
        <f ca="1">IF(ISNUMBER($A62),$D63*(1-CC$1) + $E63*CC$1 + Knoten!$S$5*CC65,KnotenData!$H$3)</f>
        <v>0.47499999999999998</v>
      </c>
      <c r="CD67" s="295">
        <f ca="1">IF(ISNUMBER($A62),$D63*(1-CD$1) + $E63*CD$1 + Knoten!$S$5*CD65,KnotenData!$H$3)</f>
        <v>0.47499999999999998</v>
      </c>
      <c r="CE67" s="295">
        <f ca="1">IF(ISNUMBER($A62),$D63*(1-CE$1) + $E63*CE$1 + Knoten!$S$5*CE65,KnotenData!$H$3)</f>
        <v>0.47499999999999998</v>
      </c>
      <c r="CF67" s="295">
        <f ca="1">IF(ISNUMBER($A62),$D63*(1-CF$1) + $E63*CF$1 + Knoten!$S$5*CF65,KnotenData!$H$3)</f>
        <v>0.47499999999999998</v>
      </c>
      <c r="CG67" s="295">
        <f ca="1">IF(ISNUMBER($A62),$D63*(1-CG$1) + $E63*CG$1 + Knoten!$S$5*CG65,KnotenData!$H$3)</f>
        <v>0.47499999999999998</v>
      </c>
      <c r="CH67" s="219">
        <f ca="1">IF(ISNUMBER($A62),$D63*(1-CH$1) + $E63*CH$1 + Knoten!$S$5*CH65,KnotenData!$H$3)</f>
        <v>0.47499999999999998</v>
      </c>
      <c r="CI67" s="449">
        <f ca="1">MAX(BX66:CH66)</f>
        <v>0.5</v>
      </c>
      <c r="CJ67" s="448">
        <f ca="1">MAX(BX67:CH67)</f>
        <v>0.47499999999999998</v>
      </c>
      <c r="CK67" s="446"/>
      <c r="CL67">
        <v>11</v>
      </c>
      <c r="CM67" s="294" t="s">
        <v>103</v>
      </c>
      <c r="CN67" s="218">
        <f ca="1">IF(ISNUMBER($A62),$D63*(1-CN$1) + $E63*CN$1 + Momente!$D$6*CN65,KnotenData!$H$3)</f>
        <v>0.47499999999999998</v>
      </c>
      <c r="CO67" s="295">
        <f ca="1">IF(ISNUMBER($A62),$D63*(1-CO$1) + $E63*CO$1 + Momente!$D$6*CO65,KnotenData!$H$3)</f>
        <v>0.47499999999999998</v>
      </c>
      <c r="CP67" s="295">
        <f ca="1">IF(ISNUMBER($A62),$D63*(1-CP$1) + $E63*CP$1 + Momente!$D$6*CP65,KnotenData!$H$3)</f>
        <v>0.47499999999999998</v>
      </c>
      <c r="CQ67" s="295">
        <f ca="1">IF(ISNUMBER($A62),$D63*(1-CQ$1) + $E63*CQ$1 + Momente!$D$6*CQ65,KnotenData!$H$3)</f>
        <v>0.47499999999999998</v>
      </c>
      <c r="CR67" s="295">
        <f ca="1">IF(ISNUMBER($A62),$D63*(1-CR$1) + $E63*CR$1 + Momente!$D$6*CR65,KnotenData!$H$3)</f>
        <v>0.47499999999999998</v>
      </c>
      <c r="CS67" s="295">
        <f ca="1">IF(ISNUMBER($A62),$D63*(1-CS$1) + $E63*CS$1 + Momente!$D$6*CS65,KnotenData!$H$3)</f>
        <v>0.47499999999999998</v>
      </c>
      <c r="CT67" s="295">
        <f ca="1">IF(ISNUMBER($A62),$D63*(1-CT$1) + $E63*CT$1 + Momente!$D$6*CT65,KnotenData!$H$3)</f>
        <v>0.47499999999999998</v>
      </c>
      <c r="CU67" s="295">
        <f ca="1">IF(ISNUMBER($A62),$D63*(1-CU$1) + $E63*CU$1 + Momente!$D$6*CU65,KnotenData!$H$3)</f>
        <v>0.47499999999999998</v>
      </c>
      <c r="CV67" s="295">
        <f ca="1">IF(ISNUMBER($A62),$D63*(1-CV$1) + $E63*CV$1 + Momente!$D$6*CV65,KnotenData!$H$3)</f>
        <v>0.47499999999999998</v>
      </c>
      <c r="CW67" s="295">
        <f ca="1">IF(ISNUMBER($A62),$D63*(1-CW$1) + $E63*CW$1 + Momente!$D$6*CW65,KnotenData!$H$3)</f>
        <v>0.47499999999999998</v>
      </c>
      <c r="CX67" s="295">
        <f ca="1">IF(ISNUMBER($A62),$D63*(1-CX$1) + $E63*CX$1 + Momente!$D$6*CX65,KnotenData!$H$3)</f>
        <v>0.47499999999999998</v>
      </c>
      <c r="CY67" s="295">
        <f ca="1">IF(ISNUMBER($A62),$E63,KnotenData!$H$3)</f>
        <v>0.47499999999999998</v>
      </c>
      <c r="CZ67" s="295">
        <f ca="1">IF(ISNUMBER($A62),$D63,KnotenData!$H$3)</f>
        <v>0.47499999999999998</v>
      </c>
      <c r="DA67" s="306">
        <f ca="1">IF(ISNUMBER($A62),CN67,KnotenData!$H$3)</f>
        <v>0.47499999999999998</v>
      </c>
      <c r="DB67" s="9">
        <f ca="1">MAX(CN66:DA66)</f>
        <v>0.5</v>
      </c>
      <c r="DC67" s="146">
        <f ca="1">MAX(CN67:DA67)</f>
        <v>0.47499999999999998</v>
      </c>
      <c r="DD67" s="346"/>
      <c r="DE67">
        <v>11</v>
      </c>
      <c r="DF67" s="294" t="s">
        <v>103</v>
      </c>
      <c r="DG67" s="218">
        <f ca="1">IF(ISNUMBER($A62),$D63*(1-DG$1) + $E63*DG$1 + Querkräfte!$D$6*DG65,KnotenData!$H$3)</f>
        <v>0.47499999999999998</v>
      </c>
      <c r="DH67" s="295">
        <f ca="1">IF(ISNUMBER($A62),$D63*(1-DH$1) + $E63*DH$1 + Querkräfte!$D$6*DH65,KnotenData!$H$3)</f>
        <v>0.47499999999999998</v>
      </c>
      <c r="DI67" s="295">
        <f ca="1">IF(ISNUMBER($A62),$D63*(1-DI$1) + $E63*DI$1 + Querkräfte!$D$6*DI65,KnotenData!$H$3)</f>
        <v>0.47499999999999998</v>
      </c>
      <c r="DJ67" s="295">
        <f ca="1">IF(ISNUMBER($A62),$D63*(1-DJ$1) + $E63*DJ$1 + Querkräfte!$D$6*DJ65,KnotenData!$H$3)</f>
        <v>0.47499999999999998</v>
      </c>
      <c r="DK67" s="295">
        <f ca="1">IF(ISNUMBER($A62),$D63*(1-DK$1) + $E63*DK$1 + Querkräfte!$D$6*DK65,KnotenData!$H$3)</f>
        <v>0.47499999999999998</v>
      </c>
      <c r="DL67" s="295">
        <f ca="1">IF(ISNUMBER($A62),$D63*(1-DL$1) + $E63*DL$1 + Querkräfte!$D$6*DL65,KnotenData!$H$3)</f>
        <v>0.47499999999999998</v>
      </c>
      <c r="DM67" s="295">
        <f ca="1">IF(ISNUMBER($A62),$D63*(1-DM$1) + $E63*DM$1 + Querkräfte!$D$6*DM65,KnotenData!$H$3)</f>
        <v>0.47499999999999998</v>
      </c>
      <c r="DN67" s="295">
        <f ca="1">IF(ISNUMBER($A62),$D63*(1-DN$1) + $E63*DN$1 + Querkräfte!$D$6*DN65,KnotenData!$H$3)</f>
        <v>0.47499999999999998</v>
      </c>
      <c r="DO67" s="295">
        <f ca="1">IF(ISNUMBER($A62),$D63*(1-DO$1) + $E63*DO$1 + Querkräfte!$D$6*DO65,KnotenData!$H$3)</f>
        <v>0.47499999999999998</v>
      </c>
      <c r="DP67" s="295">
        <f ca="1">IF(ISNUMBER($A62),$D63*(1-DP$1) + $E63*DP$1 + Querkräfte!$D$6*DP65,KnotenData!$H$3)</f>
        <v>0.47499999999999998</v>
      </c>
      <c r="DQ67" s="295">
        <f ca="1">IF(ISNUMBER($A62),$D63*(1-DQ$1) + $E63*DQ$1 + Querkräfte!$D$6*DQ65,KnotenData!$H$3)</f>
        <v>0.47499999999999998</v>
      </c>
      <c r="DR67" s="295">
        <f ca="1">IF(ISNUMBER($A62),$E63,KnotenData!$H$3)</f>
        <v>0.47499999999999998</v>
      </c>
      <c r="DS67" s="295">
        <f ca="1">IF(ISNUMBER($A62),$D63,KnotenData!$H$3)</f>
        <v>0.47499999999999998</v>
      </c>
      <c r="DT67" s="219">
        <f ca="1">IF(ISNUMBER($A62),DG67,KnotenData!$H$3)</f>
        <v>0.47499999999999998</v>
      </c>
      <c r="DU67" s="11">
        <f ca="1">MAX(DG66:DQ66)</f>
        <v>0.5</v>
      </c>
      <c r="DV67" s="146">
        <f ca="1">MAX(DG67:DQ67)</f>
        <v>0.47499999999999998</v>
      </c>
      <c r="DW67" s="346"/>
      <c r="DX67">
        <v>11</v>
      </c>
      <c r="DY67" s="294" t="s">
        <v>103</v>
      </c>
      <c r="DZ67" s="218">
        <f ca="1">IF(ISNUMBER($A62),$D63*(1-DZ$1) + $E63*DZ$1 + Normalkräfte!$D$6*DZ65,KnotenData!$H$3)</f>
        <v>0.47499999999999998</v>
      </c>
      <c r="EA67" s="295">
        <f ca="1">IF(ISNUMBER($A62),$D63*(1-EA$1) + $E63*EA$1 + Normalkräfte!$D$6*EA65,KnotenData!$H$3)</f>
        <v>0.47499999999999998</v>
      </c>
      <c r="EB67" s="295">
        <f ca="1">IF(ISNUMBER($A62),$D63*(1-EB$1) + $E63*EB$1 + Normalkräfte!$D$6*EB65,KnotenData!$H$3)</f>
        <v>0.47499999999999998</v>
      </c>
      <c r="EC67" s="295">
        <f ca="1">IF(ISNUMBER($A62),$D63*(1-EC$1) + $E63*EC$1 + Normalkräfte!$D$6*EC65,KnotenData!$H$3)</f>
        <v>0.47499999999999998</v>
      </c>
      <c r="ED67" s="295">
        <f ca="1">IF(ISNUMBER($A62),$D63*(1-ED$1) + $E63*ED$1 + Normalkräfte!$D$6*ED65,KnotenData!$H$3)</f>
        <v>0.47499999999999998</v>
      </c>
      <c r="EE67" s="295">
        <f ca="1">IF(ISNUMBER($A62),$D63*(1-EE$1) + $E63*EE$1 + Normalkräfte!$D$6*EE65,KnotenData!$H$3)</f>
        <v>0.47499999999999998</v>
      </c>
      <c r="EF67" s="295">
        <f ca="1">IF(ISNUMBER($A62),$D63*(1-EF$1) + $E63*EF$1 + Normalkräfte!$D$6*EF65,KnotenData!$H$3)</f>
        <v>0.47499999999999998</v>
      </c>
      <c r="EG67" s="295">
        <f ca="1">IF(ISNUMBER($A62),$D63*(1-EG$1) + $E63*EG$1 + Normalkräfte!$D$6*EG65,KnotenData!$H$3)</f>
        <v>0.47499999999999998</v>
      </c>
      <c r="EH67" s="295">
        <f ca="1">IF(ISNUMBER($A62),$D63*(1-EH$1) + $E63*EH$1 + Normalkräfte!$D$6*EH65,KnotenData!$H$3)</f>
        <v>0.47499999999999998</v>
      </c>
      <c r="EI67" s="295">
        <f ca="1">IF(ISNUMBER($A62),$D63*(1-EI$1) + $E63*EI$1 + Normalkräfte!$D$6*EI65,KnotenData!$H$3)</f>
        <v>0.47499999999999998</v>
      </c>
      <c r="EJ67" s="295">
        <f ca="1">IF(ISNUMBER($A62),$D63*(1-EJ$1) + $E63*EJ$1 + Normalkräfte!$D$6*EJ65,KnotenData!$H$3)</f>
        <v>0.47499999999999998</v>
      </c>
      <c r="EK67" s="295">
        <f ca="1">IF(ISNUMBER($A62),$E63,KnotenData!$H$3)</f>
        <v>0.47499999999999998</v>
      </c>
      <c r="EL67" s="295">
        <f ca="1">IF(ISNUMBER($A62),$D63,KnotenData!$H$3)</f>
        <v>0.47499999999999998</v>
      </c>
      <c r="EM67" s="219">
        <f ca="1">IF(ISNUMBER($A62),DZ67,KnotenData!$H$3)</f>
        <v>0.47499999999999998</v>
      </c>
      <c r="EN67" s="9">
        <f ca="1">MAX(DZ66:EJ66)</f>
        <v>0.5</v>
      </c>
      <c r="EO67" s="146">
        <f ca="1">MAX(DZ67:EJ67)</f>
        <v>0.47499999999999998</v>
      </c>
      <c r="EP67" s="346"/>
    </row>
    <row r="68" spans="1:146" x14ac:dyDescent="0.2">
      <c r="A68" s="205" t="str">
        <f ca="1">IF(ISNUMBER(INDIRECT("System!C" &amp;(ROW(A68)+4)/6+1)),INDIRECT("System!B"&amp;(ROW(A68)+4)/6+1),"")</f>
        <v/>
      </c>
      <c r="B68" s="206">
        <f ca="1">IF(ISNUMBER(A68),INDIRECT("System!" &amp; ADDRESS(A68 +1,COLUMN(System!E67))),0)</f>
        <v>0</v>
      </c>
      <c r="C68" s="206">
        <f ca="1">IF(ISNUMBER(A68),INDIRECT("System!" &amp; ADDRESS(A68 +1,COLUMN(System!F67))),0)</f>
        <v>0</v>
      </c>
      <c r="D68" s="209">
        <f ca="1">IF(ISNUMBER(A68),INDIRECT("System!" &amp; ADDRESS(A68 +1,COLUMN(System!O67))),0)</f>
        <v>0</v>
      </c>
      <c r="E68" s="208" t="str">
        <f ca="1">IF(ISNUMBER(A68),INDIRECT("System!" &amp; ADDRESS(A68 +1,COLUMN(System!G67))),"")</f>
        <v/>
      </c>
      <c r="F68" s="208" t="str">
        <f ca="1">IF(ISNUMBER(A68),INDIRECT("System!" &amp; ADDRESS(A68 +1,COLUMN(System!H67))),"")</f>
        <v/>
      </c>
      <c r="G68" s="261" t="str">
        <f ca="1">IF(ISNUMBER(A68),INDIRECT("System!" &amp; ADDRESS(A68 +1,COLUMN(System!I67))),"")</f>
        <v/>
      </c>
      <c r="H68" s="207">
        <f ca="1">IF(ISNUMBER($A68),INDIRECT("System!" &amp; ADDRESS($A68 +1,COLUMN(System!Q67))),0)</f>
        <v>0</v>
      </c>
      <c r="I68" s="209">
        <f ca="1">IF(ISNUMBER($A68),INDIRECT("System!" &amp; ADDRESS($A68 +1,COLUMN(System!R67))),0)</f>
        <v>0</v>
      </c>
      <c r="J68" s="179">
        <f ca="1">IF(ISNUMBER(A68),C68/D68,0)</f>
        <v>0</v>
      </c>
      <c r="K68" s="5">
        <v>0</v>
      </c>
      <c r="L68" s="6">
        <v>0</v>
      </c>
      <c r="M68" s="4">
        <f ca="1">-J68</f>
        <v>0</v>
      </c>
      <c r="N68" s="5">
        <v>0</v>
      </c>
      <c r="O68" s="6">
        <v>0</v>
      </c>
      <c r="P68" s="141">
        <f ca="1">I68</f>
        <v>0</v>
      </c>
      <c r="Q68" s="142">
        <f ca="1">-H68</f>
        <v>0</v>
      </c>
      <c r="R68" s="142">
        <v>0</v>
      </c>
      <c r="S68" s="182">
        <v>0</v>
      </c>
      <c r="T68" s="182">
        <v>0</v>
      </c>
      <c r="U68" s="183">
        <v>0</v>
      </c>
      <c r="V68" s="179">
        <f t="array" aca="1" ref="V68:AA73" ca="1">MMULT(TRANSPOSE(P68:U73),MMULT(J68:O73,P68:U73))</f>
        <v>0</v>
      </c>
      <c r="W68" s="5">
        <f ca="1"/>
        <v>0</v>
      </c>
      <c r="X68" s="6">
        <f ca="1"/>
        <v>0</v>
      </c>
      <c r="Y68" s="4">
        <f ca="1"/>
        <v>0</v>
      </c>
      <c r="Z68" s="5">
        <f ca="1"/>
        <v>0</v>
      </c>
      <c r="AA68" s="6">
        <f ca="1"/>
        <v>0</v>
      </c>
      <c r="AB68" s="60">
        <f ca="1">IF(ISNUMBER($A68),INDIRECT("System!" &amp; ADDRESS(A68+1,COLUMN(System!S67))),0)</f>
        <v>0</v>
      </c>
      <c r="AC68" s="299">
        <f ca="1">IF(ISNUMBER(E68),E68*D68/2,0)</f>
        <v>0</v>
      </c>
      <c r="AD68" s="60">
        <f t="array" aca="1" ref="AD68:AD73" ca="1">MMULT(TRANSPOSE(P68:U73),AC68:AC73) - MMULT(V68:AA73,AB68:AB73)</f>
        <v>0</v>
      </c>
      <c r="AE68" s="4">
        <f t="shared" ref="AE68:BR68" ca="1" si="124">IF(ABS($B70)=AE$1,SIGN($B70),0)</f>
        <v>0</v>
      </c>
      <c r="AF68" s="5">
        <f t="shared" ca="1" si="124"/>
        <v>0</v>
      </c>
      <c r="AG68" s="5">
        <f t="shared" ca="1" si="124"/>
        <v>0</v>
      </c>
      <c r="AH68" s="5">
        <f t="shared" ca="1" si="124"/>
        <v>0</v>
      </c>
      <c r="AI68" s="5">
        <f t="shared" ca="1" si="124"/>
        <v>0</v>
      </c>
      <c r="AJ68" s="189">
        <f t="shared" ca="1" si="124"/>
        <v>0</v>
      </c>
      <c r="AK68" s="189">
        <f t="shared" ca="1" si="124"/>
        <v>0</v>
      </c>
      <c r="AL68" s="189">
        <f t="shared" ca="1" si="124"/>
        <v>0</v>
      </c>
      <c r="AM68" s="189">
        <f t="shared" ca="1" si="124"/>
        <v>0</v>
      </c>
      <c r="AN68" s="189">
        <f t="shared" ca="1" si="124"/>
        <v>0</v>
      </c>
      <c r="AO68" s="189">
        <f t="shared" ca="1" si="124"/>
        <v>0</v>
      </c>
      <c r="AP68" s="189">
        <f t="shared" ca="1" si="124"/>
        <v>0</v>
      </c>
      <c r="AQ68" s="189">
        <f t="shared" ca="1" si="124"/>
        <v>0</v>
      </c>
      <c r="AR68" s="189">
        <f t="shared" ca="1" si="124"/>
        <v>0</v>
      </c>
      <c r="AS68" s="189">
        <f t="shared" ca="1" si="124"/>
        <v>0</v>
      </c>
      <c r="AT68" s="189">
        <f t="shared" ca="1" si="124"/>
        <v>0</v>
      </c>
      <c r="AU68" s="189">
        <f t="shared" ca="1" si="124"/>
        <v>0</v>
      </c>
      <c r="AV68" s="189">
        <f t="shared" ca="1" si="124"/>
        <v>0</v>
      </c>
      <c r="AW68" s="189">
        <f t="shared" ca="1" si="124"/>
        <v>0</v>
      </c>
      <c r="AX68" s="189">
        <f t="shared" ca="1" si="124"/>
        <v>0</v>
      </c>
      <c r="AY68" s="189">
        <f t="shared" ca="1" si="124"/>
        <v>0</v>
      </c>
      <c r="AZ68" s="189">
        <f t="shared" ca="1" si="124"/>
        <v>0</v>
      </c>
      <c r="BA68" s="189">
        <f t="shared" ca="1" si="124"/>
        <v>0</v>
      </c>
      <c r="BB68" s="189">
        <f t="shared" ca="1" si="124"/>
        <v>0</v>
      </c>
      <c r="BC68" s="189">
        <f t="shared" ca="1" si="124"/>
        <v>0</v>
      </c>
      <c r="BD68" s="189">
        <f t="shared" ca="1" si="124"/>
        <v>0</v>
      </c>
      <c r="BE68" s="189">
        <f t="shared" ca="1" si="124"/>
        <v>0</v>
      </c>
      <c r="BF68" s="189">
        <f t="shared" ca="1" si="124"/>
        <v>0</v>
      </c>
      <c r="BG68" s="189">
        <f t="shared" ca="1" si="124"/>
        <v>0</v>
      </c>
      <c r="BH68" s="189">
        <f t="shared" ca="1" si="124"/>
        <v>0</v>
      </c>
      <c r="BI68" s="189">
        <f t="shared" ca="1" si="124"/>
        <v>0</v>
      </c>
      <c r="BJ68" s="189">
        <f t="shared" ca="1" si="124"/>
        <v>0</v>
      </c>
      <c r="BK68" s="189">
        <f t="shared" ca="1" si="124"/>
        <v>0</v>
      </c>
      <c r="BL68" s="189">
        <f t="shared" ca="1" si="124"/>
        <v>0</v>
      </c>
      <c r="BM68" s="189">
        <f t="shared" ca="1" si="124"/>
        <v>0</v>
      </c>
      <c r="BN68" s="189">
        <f t="shared" ca="1" si="124"/>
        <v>0</v>
      </c>
      <c r="BO68" s="189">
        <f t="shared" ca="1" si="124"/>
        <v>0</v>
      </c>
      <c r="BP68" s="189">
        <f t="shared" ca="1" si="124"/>
        <v>0</v>
      </c>
      <c r="BQ68" s="189">
        <f t="shared" ca="1" si="124"/>
        <v>0</v>
      </c>
      <c r="BR68" s="189">
        <f t="shared" ca="1" si="124"/>
        <v>0</v>
      </c>
      <c r="BS68" s="281">
        <f ca="1">IF(ISNUMBER($A68),IF(INDEX(B70:G70,1)&lt;&gt;0,SIGN(INDEX(B70:G70,1))*INDIRECT(ADDRESS(1+ABS(INDEX(B70:G70,1)),COLUMN(Ksys!$B$1),1,TRUE,"Ksys")),0)+AB68,0)</f>
        <v>0</v>
      </c>
      <c r="BT68" s="60">
        <f t="array" aca="1" ref="BT68:BT73" ca="1">MMULT(P68:U73,BS68:BS73)</f>
        <v>0</v>
      </c>
      <c r="BU68" s="60">
        <f t="array" aca="1" ref="BU68:BU73" ca="1">MMULT(J68:O73,BT68:BT73)-AC68:AC73</f>
        <v>0</v>
      </c>
      <c r="BV68" s="60">
        <f t="array" aca="1" ref="BV68:BV70" ca="1">-(MMULT(J68:O70,BT68:BT73)-AC68:AC70)</f>
        <v>0</v>
      </c>
      <c r="BW68" s="286" t="s">
        <v>97</v>
      </c>
      <c r="BX68" s="4">
        <f t="shared" ref="BX68:CH68" ca="1" si="125">IF(ISNUMBER($A68),$BT68*(1-BX$1) + $BT71*BX$1,0)</f>
        <v>0</v>
      </c>
      <c r="BY68" s="5">
        <f t="shared" ca="1" si="125"/>
        <v>0</v>
      </c>
      <c r="BZ68" s="5">
        <f t="shared" ca="1" si="125"/>
        <v>0</v>
      </c>
      <c r="CA68" s="5">
        <f t="shared" ca="1" si="125"/>
        <v>0</v>
      </c>
      <c r="CB68" s="5">
        <f t="shared" ca="1" si="125"/>
        <v>0</v>
      </c>
      <c r="CC68" s="5">
        <f t="shared" ca="1" si="125"/>
        <v>0</v>
      </c>
      <c r="CD68" s="5">
        <f t="shared" ca="1" si="125"/>
        <v>0</v>
      </c>
      <c r="CE68" s="5">
        <f t="shared" ca="1" si="125"/>
        <v>0</v>
      </c>
      <c r="CF68" s="5">
        <f t="shared" ca="1" si="125"/>
        <v>0</v>
      </c>
      <c r="CG68" s="5">
        <f t="shared" ca="1" si="125"/>
        <v>0</v>
      </c>
      <c r="CH68" s="6">
        <f t="shared" ca="1" si="125"/>
        <v>0</v>
      </c>
      <c r="CI68" s="343"/>
      <c r="CJ68" s="343"/>
      <c r="CK68" s="308"/>
      <c r="CM68" s="290" t="s">
        <v>97</v>
      </c>
      <c r="CN68" s="4">
        <v>0</v>
      </c>
      <c r="CO68" s="5">
        <v>0</v>
      </c>
      <c r="CP68" s="5">
        <v>0</v>
      </c>
      <c r="CQ68" s="5">
        <v>0</v>
      </c>
      <c r="CR68" s="5">
        <v>0</v>
      </c>
      <c r="CS68" s="5">
        <v>0</v>
      </c>
      <c r="CT68" s="5">
        <v>0</v>
      </c>
      <c r="CU68" s="5">
        <v>0</v>
      </c>
      <c r="CV68" s="5">
        <v>0</v>
      </c>
      <c r="CW68" s="5">
        <v>0</v>
      </c>
      <c r="CX68" s="5">
        <v>0</v>
      </c>
      <c r="CY68" s="5"/>
      <c r="CZ68" s="5"/>
      <c r="DA68" s="189"/>
      <c r="DB68" s="307"/>
      <c r="DC68" s="308"/>
      <c r="DD68" s="343"/>
      <c r="DF68" s="290" t="s">
        <v>97</v>
      </c>
      <c r="DG68" s="4">
        <v>0</v>
      </c>
      <c r="DH68" s="5">
        <v>0</v>
      </c>
      <c r="DI68" s="5">
        <v>0</v>
      </c>
      <c r="DJ68" s="5">
        <v>0</v>
      </c>
      <c r="DK68" s="5">
        <v>0</v>
      </c>
      <c r="DL68" s="5">
        <v>0</v>
      </c>
      <c r="DM68" s="5">
        <v>0</v>
      </c>
      <c r="DN68" s="5">
        <v>0</v>
      </c>
      <c r="DO68" s="5">
        <v>0</v>
      </c>
      <c r="DP68" s="5">
        <v>0</v>
      </c>
      <c r="DQ68" s="5">
        <v>0</v>
      </c>
      <c r="DR68" s="5"/>
      <c r="DS68" s="5"/>
      <c r="DT68" s="6"/>
      <c r="DU68" s="325"/>
      <c r="DV68" s="308"/>
      <c r="DW68" s="343"/>
      <c r="DY68" s="290" t="s">
        <v>97</v>
      </c>
      <c r="DZ68" s="4">
        <v>0</v>
      </c>
      <c r="EA68" s="5">
        <v>0</v>
      </c>
      <c r="EB68" s="5">
        <v>0</v>
      </c>
      <c r="EC68" s="5">
        <v>0</v>
      </c>
      <c r="ED68" s="5">
        <v>0</v>
      </c>
      <c r="EE68" s="5">
        <v>0</v>
      </c>
      <c r="EF68" s="5">
        <v>0</v>
      </c>
      <c r="EG68" s="5">
        <v>0</v>
      </c>
      <c r="EH68" s="5">
        <v>0</v>
      </c>
      <c r="EI68" s="5">
        <v>0</v>
      </c>
      <c r="EJ68" s="5">
        <v>0</v>
      </c>
      <c r="EK68" s="5"/>
      <c r="EL68" s="5"/>
      <c r="EM68" s="6"/>
      <c r="EN68" s="307"/>
      <c r="EO68" s="308"/>
      <c r="EP68" s="343"/>
    </row>
    <row r="69" spans="1:146" x14ac:dyDescent="0.2">
      <c r="B69" s="1">
        <f ca="1">IF(ISNUMBER($A68),INDIRECT(ADDRESS($A68+1,COLUMN(System!K$2),1,TRUE,"System")),0)</f>
        <v>0</v>
      </c>
      <c r="C69" s="1">
        <f ca="1">IF(ISNUMBER($A68),INDIRECT(ADDRESS($A68+1,COLUMN(System!L$2),1,TRUE,"System")),0)</f>
        <v>0</v>
      </c>
      <c r="D69" s="1">
        <f ca="1">IF(ISNUMBER($A68),INDIRECT(ADDRESS($A68+1,COLUMN(System!M$2),1,TRUE,"System")),0)</f>
        <v>0</v>
      </c>
      <c r="E69" s="1">
        <f ca="1">IF(ISNUMBER($A68),INDIRECT(ADDRESS($A68+1,COLUMN(System!N$2),1,TRUE,"System")),0)</f>
        <v>0</v>
      </c>
      <c r="F69" s="12"/>
      <c r="J69" s="7">
        <v>0</v>
      </c>
      <c r="K69" s="180">
        <f ca="1">IF(G68=1,12*B68/D68^3,IF(G68="2a",3*B68/D68^3,IF(G68="2b",3*B68/D68^3,0)))</f>
        <v>0</v>
      </c>
      <c r="L69" s="8">
        <f ca="1">K70</f>
        <v>0</v>
      </c>
      <c r="M69" s="7">
        <v>0</v>
      </c>
      <c r="N69" s="1">
        <f ca="1">-K69</f>
        <v>0</v>
      </c>
      <c r="O69" s="8">
        <f ca="1">K73</f>
        <v>0</v>
      </c>
      <c r="P69" s="143">
        <f ca="1">H68</f>
        <v>0</v>
      </c>
      <c r="Q69" s="99">
        <f ca="1">I68</f>
        <v>0</v>
      </c>
      <c r="R69" s="99">
        <v>0</v>
      </c>
      <c r="S69" s="101">
        <v>0</v>
      </c>
      <c r="T69" s="101">
        <v>0</v>
      </c>
      <c r="U69" s="110">
        <v>0</v>
      </c>
      <c r="V69" s="7">
        <f ca="1"/>
        <v>0</v>
      </c>
      <c r="W69" s="180">
        <f ca="1"/>
        <v>0</v>
      </c>
      <c r="X69" s="8">
        <f ca="1"/>
        <v>0</v>
      </c>
      <c r="Y69" s="7">
        <f ca="1"/>
        <v>0</v>
      </c>
      <c r="Z69" s="1">
        <f ca="1"/>
        <v>0</v>
      </c>
      <c r="AA69" s="8">
        <f ca="1"/>
        <v>0</v>
      </c>
      <c r="AB69" s="61">
        <f ca="1">IF(ISNUMBER($A68),INDIRECT("System!" &amp; ADDRESS(A68+1,COLUMN(System!T67))),0)</f>
        <v>0</v>
      </c>
      <c r="AC69" s="301">
        <f ca="1">IF(G68=1,F68*D68/2,IF(G68="2a",F68*3/8*D68,IF(G68="2b",F68*5/8*D68,0)))</f>
        <v>0</v>
      </c>
      <c r="AD69" s="61">
        <f ca="1"/>
        <v>0</v>
      </c>
      <c r="AE69" s="7">
        <f t="shared" ref="AE69:BR69" ca="1" si="126">IF(ABS($C70)=AE$1,SIGN($C70),0)</f>
        <v>0</v>
      </c>
      <c r="AF69" s="1">
        <f t="shared" ca="1" si="126"/>
        <v>0</v>
      </c>
      <c r="AG69" s="1">
        <f t="shared" ca="1" si="126"/>
        <v>0</v>
      </c>
      <c r="AH69" s="1">
        <f t="shared" ca="1" si="126"/>
        <v>0</v>
      </c>
      <c r="AI69" s="1">
        <f t="shared" ca="1" si="126"/>
        <v>0</v>
      </c>
      <c r="AJ69" s="26">
        <f t="shared" ca="1" si="126"/>
        <v>0</v>
      </c>
      <c r="AK69" s="26">
        <f t="shared" ca="1" si="126"/>
        <v>0</v>
      </c>
      <c r="AL69" s="26">
        <f t="shared" ca="1" si="126"/>
        <v>0</v>
      </c>
      <c r="AM69" s="26">
        <f t="shared" ca="1" si="126"/>
        <v>0</v>
      </c>
      <c r="AN69" s="26">
        <f t="shared" ca="1" si="126"/>
        <v>0</v>
      </c>
      <c r="AO69" s="26">
        <f t="shared" ca="1" si="126"/>
        <v>0</v>
      </c>
      <c r="AP69" s="26">
        <f t="shared" ca="1" si="126"/>
        <v>0</v>
      </c>
      <c r="AQ69" s="26">
        <f t="shared" ca="1" si="126"/>
        <v>0</v>
      </c>
      <c r="AR69" s="26">
        <f t="shared" ca="1" si="126"/>
        <v>0</v>
      </c>
      <c r="AS69" s="26">
        <f t="shared" ca="1" si="126"/>
        <v>0</v>
      </c>
      <c r="AT69" s="26">
        <f t="shared" ca="1" si="126"/>
        <v>0</v>
      </c>
      <c r="AU69" s="26">
        <f t="shared" ca="1" si="126"/>
        <v>0</v>
      </c>
      <c r="AV69" s="26">
        <f t="shared" ca="1" si="126"/>
        <v>0</v>
      </c>
      <c r="AW69" s="26">
        <f t="shared" ca="1" si="126"/>
        <v>0</v>
      </c>
      <c r="AX69" s="26">
        <f t="shared" ca="1" si="126"/>
        <v>0</v>
      </c>
      <c r="AY69" s="26">
        <f t="shared" ca="1" si="126"/>
        <v>0</v>
      </c>
      <c r="AZ69" s="26">
        <f t="shared" ca="1" si="126"/>
        <v>0</v>
      </c>
      <c r="BA69" s="26">
        <f t="shared" ca="1" si="126"/>
        <v>0</v>
      </c>
      <c r="BB69" s="26">
        <f t="shared" ca="1" si="126"/>
        <v>0</v>
      </c>
      <c r="BC69" s="26">
        <f t="shared" ca="1" si="126"/>
        <v>0</v>
      </c>
      <c r="BD69" s="26">
        <f t="shared" ca="1" si="126"/>
        <v>0</v>
      </c>
      <c r="BE69" s="26">
        <f t="shared" ca="1" si="126"/>
        <v>0</v>
      </c>
      <c r="BF69" s="26">
        <f t="shared" ca="1" si="126"/>
        <v>0</v>
      </c>
      <c r="BG69" s="26">
        <f t="shared" ca="1" si="126"/>
        <v>0</v>
      </c>
      <c r="BH69" s="26">
        <f t="shared" ca="1" si="126"/>
        <v>0</v>
      </c>
      <c r="BI69" s="26">
        <f t="shared" ca="1" si="126"/>
        <v>0</v>
      </c>
      <c r="BJ69" s="26">
        <f t="shared" ca="1" si="126"/>
        <v>0</v>
      </c>
      <c r="BK69" s="26">
        <f t="shared" ca="1" si="126"/>
        <v>0</v>
      </c>
      <c r="BL69" s="26">
        <f t="shared" ca="1" si="126"/>
        <v>0</v>
      </c>
      <c r="BM69" s="26">
        <f t="shared" ca="1" si="126"/>
        <v>0</v>
      </c>
      <c r="BN69" s="26">
        <f t="shared" ca="1" si="126"/>
        <v>0</v>
      </c>
      <c r="BO69" s="26">
        <f t="shared" ca="1" si="126"/>
        <v>0</v>
      </c>
      <c r="BP69" s="26">
        <f t="shared" ca="1" si="126"/>
        <v>0</v>
      </c>
      <c r="BQ69" s="26">
        <f t="shared" ca="1" si="126"/>
        <v>0</v>
      </c>
      <c r="BR69" s="26">
        <f t="shared" ca="1" si="126"/>
        <v>0</v>
      </c>
      <c r="BS69" s="282">
        <f ca="1">IF(ISNUMBER($A68),IF(INDEX(B70:G70,2)&lt;&gt;0,SIGN(INDEX(B70:G70,2))*INDIRECT(ADDRESS(1+ABS(INDEX(B70:G70,2)),COLUMN(Ksys!$B$1),1,TRUE,"Ksys")),0)+AB69,0)</f>
        <v>0</v>
      </c>
      <c r="BT69" s="61">
        <f ca="1"/>
        <v>0</v>
      </c>
      <c r="BU69" s="61">
        <f ca="1"/>
        <v>0</v>
      </c>
      <c r="BV69" s="61">
        <f ca="1"/>
        <v>0</v>
      </c>
      <c r="BW69" s="287" t="s">
        <v>100</v>
      </c>
      <c r="BX69" s="272">
        <f t="shared" ref="BX69:CH69" ca="1" si="127" xml:space="preserve">  IF(ISNUMBER($A68),$BT69*(1-BX$1) + $BT72*BX$1 + ((1-BX$1)-(1-BX$1)^3)*$D68^2/6*$BV70/$B68 + (BX$1-(BX$1)^3)*$D68^2/6*$BV73/$B68 + (BX$1-2*(BX$1)^3+(BX$1)^4)*$D68^2/3*$F68*$D68^2/8/$B68,0)</f>
        <v>0</v>
      </c>
      <c r="BY69" s="173">
        <f t="shared" ca="1" si="127"/>
        <v>0</v>
      </c>
      <c r="BZ69" s="173">
        <f t="shared" ca="1" si="127"/>
        <v>0</v>
      </c>
      <c r="CA69" s="173">
        <f t="shared" ca="1" si="127"/>
        <v>0</v>
      </c>
      <c r="CB69" s="173">
        <f t="shared" ca="1" si="127"/>
        <v>0</v>
      </c>
      <c r="CC69" s="173">
        <f t="shared" ca="1" si="127"/>
        <v>0</v>
      </c>
      <c r="CD69" s="173">
        <f t="shared" ca="1" si="127"/>
        <v>0</v>
      </c>
      <c r="CE69" s="173">
        <f t="shared" ca="1" si="127"/>
        <v>0</v>
      </c>
      <c r="CF69" s="173">
        <f t="shared" ca="1" si="127"/>
        <v>0</v>
      </c>
      <c r="CG69" s="173">
        <f t="shared" ca="1" si="127"/>
        <v>0</v>
      </c>
      <c r="CH69" s="289">
        <f t="shared" ca="1" si="127"/>
        <v>0</v>
      </c>
      <c r="CI69" s="344"/>
      <c r="CJ69" s="344"/>
      <c r="CK69" s="312"/>
      <c r="CM69" s="291" t="s">
        <v>100</v>
      </c>
      <c r="CN69" s="7">
        <f t="shared" ref="CN69:CX69" ca="1" si="128" xml:space="preserve">  IF(ISNUMBER($A68),$BV70*(1-CN$1) + $BV73*CN$1  + CN$1*(1-CN$1)*$F68*$D68^2/2,0)</f>
        <v>0</v>
      </c>
      <c r="CO69" s="1">
        <f t="shared" ca="1" si="128"/>
        <v>0</v>
      </c>
      <c r="CP69" s="1">
        <f t="shared" ca="1" si="128"/>
        <v>0</v>
      </c>
      <c r="CQ69" s="1">
        <f t="shared" ca="1" si="128"/>
        <v>0</v>
      </c>
      <c r="CR69" s="1">
        <f t="shared" ca="1" si="128"/>
        <v>0</v>
      </c>
      <c r="CS69" s="1">
        <f t="shared" ca="1" si="128"/>
        <v>0</v>
      </c>
      <c r="CT69" s="1">
        <f t="shared" ca="1" si="128"/>
        <v>0</v>
      </c>
      <c r="CU69" s="1">
        <f t="shared" ca="1" si="128"/>
        <v>0</v>
      </c>
      <c r="CV69" s="1">
        <f t="shared" ca="1" si="128"/>
        <v>0</v>
      </c>
      <c r="CW69" s="1">
        <f t="shared" ca="1" si="128"/>
        <v>0</v>
      </c>
      <c r="CX69" s="1">
        <f t="shared" ca="1" si="128"/>
        <v>0</v>
      </c>
      <c r="CY69" s="1"/>
      <c r="CZ69" s="1"/>
      <c r="DA69" s="26"/>
      <c r="DB69" s="309"/>
      <c r="DC69" s="310"/>
      <c r="DD69" s="345"/>
      <c r="DF69" s="291" t="s">
        <v>100</v>
      </c>
      <c r="DG69" s="7">
        <f t="shared" ref="DG69:DQ69" ca="1" si="129" xml:space="preserve">  IF(ISNUMBER($A68),$BV69*(1-DG$1) + $BV72*DG$1,0)</f>
        <v>0</v>
      </c>
      <c r="DH69" s="1">
        <f t="shared" ca="1" si="129"/>
        <v>0</v>
      </c>
      <c r="DI69" s="1">
        <f t="shared" ca="1" si="129"/>
        <v>0</v>
      </c>
      <c r="DJ69" s="1">
        <f t="shared" ca="1" si="129"/>
        <v>0</v>
      </c>
      <c r="DK69" s="1">
        <f t="shared" ca="1" si="129"/>
        <v>0</v>
      </c>
      <c r="DL69" s="1">
        <f t="shared" ca="1" si="129"/>
        <v>0</v>
      </c>
      <c r="DM69" s="1">
        <f t="shared" ca="1" si="129"/>
        <v>0</v>
      </c>
      <c r="DN69" s="1">
        <f t="shared" ca="1" si="129"/>
        <v>0</v>
      </c>
      <c r="DO69" s="1">
        <f t="shared" ca="1" si="129"/>
        <v>0</v>
      </c>
      <c r="DP69" s="1">
        <f t="shared" ca="1" si="129"/>
        <v>0</v>
      </c>
      <c r="DQ69" s="1">
        <f t="shared" ca="1" si="129"/>
        <v>0</v>
      </c>
      <c r="DR69" s="1"/>
      <c r="DS69" s="1"/>
      <c r="DT69" s="8"/>
      <c r="DU69" s="12"/>
      <c r="DV69" s="310"/>
      <c r="DW69" s="345"/>
      <c r="DY69" s="291" t="s">
        <v>100</v>
      </c>
      <c r="DZ69" s="7">
        <f t="shared" ref="DZ69:EJ69" ca="1" si="130" xml:space="preserve">  IF(ISNUMBER($A68),$BV68*(1-DZ$1) + $BV71*DZ$1,0)</f>
        <v>0</v>
      </c>
      <c r="EA69" s="1">
        <f t="shared" ca="1" si="130"/>
        <v>0</v>
      </c>
      <c r="EB69" s="1">
        <f t="shared" ca="1" si="130"/>
        <v>0</v>
      </c>
      <c r="EC69" s="1">
        <f t="shared" ca="1" si="130"/>
        <v>0</v>
      </c>
      <c r="ED69" s="1">
        <f t="shared" ca="1" si="130"/>
        <v>0</v>
      </c>
      <c r="EE69" s="1">
        <f t="shared" ca="1" si="130"/>
        <v>0</v>
      </c>
      <c r="EF69" s="1">
        <f t="shared" ca="1" si="130"/>
        <v>0</v>
      </c>
      <c r="EG69" s="1">
        <f t="shared" ca="1" si="130"/>
        <v>0</v>
      </c>
      <c r="EH69" s="1">
        <f t="shared" ca="1" si="130"/>
        <v>0</v>
      </c>
      <c r="EI69" s="1">
        <f t="shared" ca="1" si="130"/>
        <v>0</v>
      </c>
      <c r="EJ69" s="1">
        <f t="shared" ca="1" si="130"/>
        <v>0</v>
      </c>
      <c r="EK69" s="1"/>
      <c r="EL69" s="1"/>
      <c r="EM69" s="8"/>
      <c r="EN69" s="309"/>
      <c r="EO69" s="310"/>
      <c r="EP69" s="345"/>
    </row>
    <row r="70" spans="1:146" ht="13.5" thickBot="1" x14ac:dyDescent="0.25">
      <c r="B70" s="1">
        <f ca="1">IF(ISNUMBER($A68),INDIRECT("System!" &amp; ADDRESS($A68 +1,COLUMN(System!Y67))),0)</f>
        <v>0</v>
      </c>
      <c r="C70" s="1">
        <f ca="1">IF(ISNUMBER($A68),INDIRECT("System!" &amp; ADDRESS($A68 +1,COLUMN(System!Z67))),0)</f>
        <v>0</v>
      </c>
      <c r="D70" s="1">
        <f ca="1">IF(ISNUMBER($A68),INDIRECT("System!" &amp; ADDRESS($A68 +1,COLUMN(System!AA67))),0)</f>
        <v>0</v>
      </c>
      <c r="E70" s="1">
        <f ca="1">IF(ISNUMBER($A68),INDIRECT("System!" &amp; ADDRESS($A68 +1,COLUMN(System!AB67))),0)</f>
        <v>0</v>
      </c>
      <c r="F70" s="1">
        <f ca="1">IF(ISNUMBER($A68),INDIRECT("System!" &amp; ADDRESS($A68 +1,COLUMN(System!AC67))),0)</f>
        <v>0</v>
      </c>
      <c r="G70" s="1">
        <f ca="1">IF(ISNUMBER($A68),INDIRECT("System!" &amp; ADDRESS($A68 +1,COLUMN(System!AD67))),0)</f>
        <v>0</v>
      </c>
      <c r="J70" s="9">
        <v>0</v>
      </c>
      <c r="K70" s="10">
        <f ca="1">IF(G68=1,-6*B68/D68^2,IF(G68="2a",0,IF(G68="2b",-3*B68/D68^2,0)))</f>
        <v>0</v>
      </c>
      <c r="L70" s="181">
        <f ca="1">IF(G68=1,4*B68/D68,IF(G68="2a",0,IF(G68="2b",3*B68/D68,0)))</f>
        <v>0</v>
      </c>
      <c r="M70" s="9">
        <v>0</v>
      </c>
      <c r="N70" s="10">
        <f ca="1">L72</f>
        <v>0</v>
      </c>
      <c r="O70" s="146">
        <f ca="1">L73</f>
        <v>0</v>
      </c>
      <c r="P70" s="143">
        <v>0</v>
      </c>
      <c r="Q70" s="99">
        <v>0</v>
      </c>
      <c r="R70" s="99">
        <v>1</v>
      </c>
      <c r="S70" s="101">
        <v>0</v>
      </c>
      <c r="T70" s="101">
        <v>0</v>
      </c>
      <c r="U70" s="110">
        <v>0</v>
      </c>
      <c r="V70" s="9">
        <f ca="1"/>
        <v>0</v>
      </c>
      <c r="W70" s="10">
        <f ca="1"/>
        <v>0</v>
      </c>
      <c r="X70" s="181">
        <f ca="1"/>
        <v>0</v>
      </c>
      <c r="Y70" s="9">
        <f ca="1"/>
        <v>0</v>
      </c>
      <c r="Z70" s="10">
        <f ca="1"/>
        <v>0</v>
      </c>
      <c r="AA70" s="146">
        <f ca="1"/>
        <v>0</v>
      </c>
      <c r="AB70" s="61">
        <f ca="1">IF(ISNUMBER($A68),INDIRECT("System!" &amp; ADDRESS(A68+1,COLUMN(System!U67))),0)</f>
        <v>0</v>
      </c>
      <c r="AC70" s="301">
        <f ca="1">IF(G68=1,-F68*D68^2/12,IF(G68="2a",0,IF(G68="2b",-F68*D68^2/8,0)))</f>
        <v>0</v>
      </c>
      <c r="AD70" s="61">
        <f ca="1"/>
        <v>0</v>
      </c>
      <c r="AE70" s="7">
        <f t="shared" ref="AE70:BR70" ca="1" si="131">IF(ABS($D70)=AE$1,SIGN($D70),0)</f>
        <v>0</v>
      </c>
      <c r="AF70" s="1">
        <f t="shared" ca="1" si="131"/>
        <v>0</v>
      </c>
      <c r="AG70" s="1">
        <f t="shared" ca="1" si="131"/>
        <v>0</v>
      </c>
      <c r="AH70" s="1">
        <f t="shared" ca="1" si="131"/>
        <v>0</v>
      </c>
      <c r="AI70" s="1">
        <f t="shared" ca="1" si="131"/>
        <v>0</v>
      </c>
      <c r="AJ70" s="26">
        <f t="shared" ca="1" si="131"/>
        <v>0</v>
      </c>
      <c r="AK70" s="26">
        <f t="shared" ca="1" si="131"/>
        <v>0</v>
      </c>
      <c r="AL70" s="26">
        <f t="shared" ca="1" si="131"/>
        <v>0</v>
      </c>
      <c r="AM70" s="26">
        <f t="shared" ca="1" si="131"/>
        <v>0</v>
      </c>
      <c r="AN70" s="26">
        <f t="shared" ca="1" si="131"/>
        <v>0</v>
      </c>
      <c r="AO70" s="26">
        <f t="shared" ca="1" si="131"/>
        <v>0</v>
      </c>
      <c r="AP70" s="26">
        <f t="shared" ca="1" si="131"/>
        <v>0</v>
      </c>
      <c r="AQ70" s="26">
        <f t="shared" ca="1" si="131"/>
        <v>0</v>
      </c>
      <c r="AR70" s="26">
        <f t="shared" ca="1" si="131"/>
        <v>0</v>
      </c>
      <c r="AS70" s="26">
        <f t="shared" ca="1" si="131"/>
        <v>0</v>
      </c>
      <c r="AT70" s="26">
        <f t="shared" ca="1" si="131"/>
        <v>0</v>
      </c>
      <c r="AU70" s="26">
        <f t="shared" ca="1" si="131"/>
        <v>0</v>
      </c>
      <c r="AV70" s="26">
        <f t="shared" ca="1" si="131"/>
        <v>0</v>
      </c>
      <c r="AW70" s="26">
        <f t="shared" ca="1" si="131"/>
        <v>0</v>
      </c>
      <c r="AX70" s="26">
        <f t="shared" ca="1" si="131"/>
        <v>0</v>
      </c>
      <c r="AY70" s="26">
        <f t="shared" ca="1" si="131"/>
        <v>0</v>
      </c>
      <c r="AZ70" s="26">
        <f t="shared" ca="1" si="131"/>
        <v>0</v>
      </c>
      <c r="BA70" s="26">
        <f t="shared" ca="1" si="131"/>
        <v>0</v>
      </c>
      <c r="BB70" s="26">
        <f t="shared" ca="1" si="131"/>
        <v>0</v>
      </c>
      <c r="BC70" s="26">
        <f t="shared" ca="1" si="131"/>
        <v>0</v>
      </c>
      <c r="BD70" s="26">
        <f t="shared" ca="1" si="131"/>
        <v>0</v>
      </c>
      <c r="BE70" s="26">
        <f t="shared" ca="1" si="131"/>
        <v>0</v>
      </c>
      <c r="BF70" s="26">
        <f t="shared" ca="1" si="131"/>
        <v>0</v>
      </c>
      <c r="BG70" s="26">
        <f t="shared" ca="1" si="131"/>
        <v>0</v>
      </c>
      <c r="BH70" s="26">
        <f t="shared" ca="1" si="131"/>
        <v>0</v>
      </c>
      <c r="BI70" s="26">
        <f t="shared" ca="1" si="131"/>
        <v>0</v>
      </c>
      <c r="BJ70" s="26">
        <f t="shared" ca="1" si="131"/>
        <v>0</v>
      </c>
      <c r="BK70" s="26">
        <f t="shared" ca="1" si="131"/>
        <v>0</v>
      </c>
      <c r="BL70" s="26">
        <f t="shared" ca="1" si="131"/>
        <v>0</v>
      </c>
      <c r="BM70" s="26">
        <f t="shared" ca="1" si="131"/>
        <v>0</v>
      </c>
      <c r="BN70" s="26">
        <f t="shared" ca="1" si="131"/>
        <v>0</v>
      </c>
      <c r="BO70" s="26">
        <f t="shared" ca="1" si="131"/>
        <v>0</v>
      </c>
      <c r="BP70" s="26">
        <f t="shared" ca="1" si="131"/>
        <v>0</v>
      </c>
      <c r="BQ70" s="26">
        <f t="shared" ca="1" si="131"/>
        <v>0</v>
      </c>
      <c r="BR70" s="26">
        <f t="shared" ca="1" si="131"/>
        <v>0</v>
      </c>
      <c r="BS70" s="282">
        <f ca="1">IF(ISNUMBER($A68),IF(INDEX(B70:G70,3)&lt;&gt;0,SIGN(INDEX(B70:G70,3))*INDIRECT(ADDRESS(1+ABS(INDEX(B70:G70,3)),COLUMN(Ksys!$B$1),1,TRUE,"Ksys")),0)+AB70,0)</f>
        <v>0</v>
      </c>
      <c r="BT70" s="61">
        <f ca="1"/>
        <v>0</v>
      </c>
      <c r="BU70" s="61">
        <f ca="1"/>
        <v>0</v>
      </c>
      <c r="BV70" s="61">
        <f ca="1"/>
        <v>0</v>
      </c>
      <c r="BW70" s="287" t="s">
        <v>96</v>
      </c>
      <c r="BX70" s="7">
        <f t="array" aca="1" ref="BX70:BX71" ca="1">IF(ISNUMBER($A68),MMULT(TRANSPOSE($P68:$Q69),BX68:BX69),0)</f>
        <v>0</v>
      </c>
      <c r="BY70" s="1">
        <f t="array" aca="1" ref="BY70:BY71" ca="1">IF(ISNUMBER($A68),MMULT(TRANSPOSE($P68:$Q69),BY68:BY69),0)</f>
        <v>0</v>
      </c>
      <c r="BZ70" s="1">
        <f t="array" aca="1" ref="BZ70:BZ71" ca="1">IF(ISNUMBER($A68),MMULT(TRANSPOSE($P68:$Q69),BZ68:BZ69),0)</f>
        <v>0</v>
      </c>
      <c r="CA70" s="1">
        <f t="array" aca="1" ref="CA70:CA71" ca="1">IF(ISNUMBER($A68),MMULT(TRANSPOSE($P68:$Q69),CA68:CA69),0)</f>
        <v>0</v>
      </c>
      <c r="CB70" s="1">
        <f t="array" aca="1" ref="CB70:CB71" ca="1">IF(ISNUMBER($A68),MMULT(TRANSPOSE($P68:$Q69),CB68:CB69),0)</f>
        <v>0</v>
      </c>
      <c r="CC70" s="1">
        <f t="array" aca="1" ref="CC70:CC71" ca="1">IF(ISNUMBER($A68),MMULT(TRANSPOSE($P68:$Q69),CC68:CC69),0)</f>
        <v>0</v>
      </c>
      <c r="CD70" s="1">
        <f t="array" aca="1" ref="CD70:CD71" ca="1">IF(ISNUMBER($A68),MMULT(TRANSPOSE($P68:$Q69),CD68:CD69),0)</f>
        <v>0</v>
      </c>
      <c r="CE70" s="1">
        <f t="array" aca="1" ref="CE70:CE71" ca="1">IF(ISNUMBER($A68),MMULT(TRANSPOSE($P68:$Q69),CE68:CE69),0)</f>
        <v>0</v>
      </c>
      <c r="CF70" s="1">
        <f t="array" aca="1" ref="CF70:CF71" ca="1">IF(ISNUMBER($A68),MMULT(TRANSPOSE($P68:$Q69),CF68:CF69),0)</f>
        <v>0</v>
      </c>
      <c r="CG70" s="1">
        <f t="array" aca="1" ref="CG70:CG71" ca="1">IF(ISNUMBER($A68),MMULT(TRANSPOSE($P68:$Q69),CG68:CG69),0)</f>
        <v>0</v>
      </c>
      <c r="CH70" s="8">
        <f t="array" aca="1" ref="CH70:CH71" ca="1">IF(ISNUMBER($A68),MMULT(TRANSPOSE($P68:$Q69),CH68:CH69),0)</f>
        <v>0</v>
      </c>
      <c r="CI70" s="345"/>
      <c r="CJ70" s="345"/>
      <c r="CK70" s="444">
        <f ca="1">MAX(MAX(BX70:CH71),ABS(MIN(BX70:CH71)))</f>
        <v>0</v>
      </c>
      <c r="CM70" s="291" t="s">
        <v>96</v>
      </c>
      <c r="CN70" s="7">
        <f t="array" aca="1" ref="CN70:CN71" ca="1">IF(ISNUMBER($A68),MMULT(TRANSPOSE($P68:$Q69),CN68:CN69),0)</f>
        <v>0</v>
      </c>
      <c r="CO70" s="1">
        <f t="array" aca="1" ref="CO70:CO71" ca="1">IF(ISNUMBER($A68),MMULT(TRANSPOSE($P68:$Q69),CO68:CO69),0)</f>
        <v>0</v>
      </c>
      <c r="CP70" s="1">
        <f t="array" aca="1" ref="CP70:CP71" ca="1">IF(ISNUMBER($A68),MMULT(TRANSPOSE($P68:$Q69),CP68:CP69),0)</f>
        <v>0</v>
      </c>
      <c r="CQ70" s="1">
        <f t="array" aca="1" ref="CQ70:CQ71" ca="1">IF(ISNUMBER($A68),MMULT(TRANSPOSE($P68:$Q69),CQ68:CQ69),0)</f>
        <v>0</v>
      </c>
      <c r="CR70" s="1">
        <f t="array" aca="1" ref="CR70:CR71" ca="1">IF(ISNUMBER($A68),MMULT(TRANSPOSE($P68:$Q69),CR68:CR69),0)</f>
        <v>0</v>
      </c>
      <c r="CS70" s="1">
        <f t="array" aca="1" ref="CS70:CS71" ca="1">IF(ISNUMBER($A68),MMULT(TRANSPOSE($P68:$Q69),CS68:CS69),0)</f>
        <v>0</v>
      </c>
      <c r="CT70" s="1">
        <f t="array" aca="1" ref="CT70:CT71" ca="1">IF(ISNUMBER($A68),MMULT(TRANSPOSE($P68:$Q69),CT68:CT69),0)</f>
        <v>0</v>
      </c>
      <c r="CU70" s="1">
        <f t="array" aca="1" ref="CU70:CU71" ca="1">IF(ISNUMBER($A68),MMULT(TRANSPOSE($P68:$Q69),CU68:CU69),0)</f>
        <v>0</v>
      </c>
      <c r="CV70" s="1">
        <f t="array" aca="1" ref="CV70:CV71" ca="1">IF(ISNUMBER($A68),MMULT(TRANSPOSE($P68:$Q69),CV68:CV69),0)</f>
        <v>0</v>
      </c>
      <c r="CW70" s="1">
        <f t="array" aca="1" ref="CW70:CW71" ca="1">IF(ISNUMBER($A68),MMULT(TRANSPOSE($P68:$Q69),CW68:CW69),0)</f>
        <v>0</v>
      </c>
      <c r="CX70" s="1">
        <f t="array" aca="1" ref="CX70:CX71" ca="1">IF(ISNUMBER($A68),MMULT(TRANSPOSE($P68:$Q69),CX68:CX69),0)</f>
        <v>0</v>
      </c>
      <c r="CY70" s="1"/>
      <c r="CZ70" s="1"/>
      <c r="DA70" s="26"/>
      <c r="DB70" s="309"/>
      <c r="DC70" s="310"/>
      <c r="DD70" s="345"/>
      <c r="DF70" s="291" t="s">
        <v>96</v>
      </c>
      <c r="DG70" s="7">
        <f t="array" aca="1" ref="DG70:DG71" ca="1">IF(ISNUMBER($A68),MMULT(TRANSPOSE($P68:$Q69),DG68:DG69),0)</f>
        <v>0</v>
      </c>
      <c r="DH70" s="1">
        <f t="array" aca="1" ref="DH70:DH71" ca="1">IF(ISNUMBER($A68),MMULT(TRANSPOSE($P68:$Q69),DH68:DH69),0)</f>
        <v>0</v>
      </c>
      <c r="DI70" s="1">
        <f t="array" aca="1" ref="DI70:DI71" ca="1">IF(ISNUMBER($A68),MMULT(TRANSPOSE($P68:$Q69),DI68:DI69),0)</f>
        <v>0</v>
      </c>
      <c r="DJ70" s="1">
        <f t="array" aca="1" ref="DJ70:DJ71" ca="1">IF(ISNUMBER($A68),MMULT(TRANSPOSE($P68:$Q69),DJ68:DJ69),0)</f>
        <v>0</v>
      </c>
      <c r="DK70" s="1">
        <f t="array" aca="1" ref="DK70:DK71" ca="1">IF(ISNUMBER($A68),MMULT(TRANSPOSE($P68:$Q69),DK68:DK69),0)</f>
        <v>0</v>
      </c>
      <c r="DL70" s="1">
        <f t="array" aca="1" ref="DL70:DL71" ca="1">IF(ISNUMBER($A68),MMULT(TRANSPOSE($P68:$Q69),DL68:DL69),0)</f>
        <v>0</v>
      </c>
      <c r="DM70" s="1">
        <f t="array" aca="1" ref="DM70:DM71" ca="1">IF(ISNUMBER($A68),MMULT(TRANSPOSE($P68:$Q69),DM68:DM69),0)</f>
        <v>0</v>
      </c>
      <c r="DN70" s="1">
        <f t="array" aca="1" ref="DN70:DN71" ca="1">IF(ISNUMBER($A68),MMULT(TRANSPOSE($P68:$Q69),DN68:DN69),0)</f>
        <v>0</v>
      </c>
      <c r="DO70" s="1">
        <f t="array" aca="1" ref="DO70:DO71" ca="1">IF(ISNUMBER($A68),MMULT(TRANSPOSE($P68:$Q69),DO68:DO69),0)</f>
        <v>0</v>
      </c>
      <c r="DP70" s="1">
        <f t="array" aca="1" ref="DP70:DP71" ca="1">IF(ISNUMBER($A68),MMULT(TRANSPOSE($P68:$Q69),DP68:DP69),0)</f>
        <v>0</v>
      </c>
      <c r="DQ70" s="1">
        <f t="array" aca="1" ref="DQ70:DQ71" ca="1">IF(ISNUMBER($A68),MMULT(TRANSPOSE($P68:$Q69),DQ68:DQ69),0)</f>
        <v>0</v>
      </c>
      <c r="DR70" s="1"/>
      <c r="DS70" s="1"/>
      <c r="DT70" s="8"/>
      <c r="DU70" s="12"/>
      <c r="DV70" s="310"/>
      <c r="DW70" s="345"/>
      <c r="DY70" s="291" t="s">
        <v>96</v>
      </c>
      <c r="DZ70" s="7">
        <f t="array" aca="1" ref="DZ70:DZ71" ca="1">IF(ISNUMBER($A68),MMULT(TRANSPOSE($P68:$Q69),DZ68:DZ69),0)</f>
        <v>0</v>
      </c>
      <c r="EA70" s="1">
        <f t="array" aca="1" ref="EA70:EA71" ca="1">IF(ISNUMBER($A68),MMULT(TRANSPOSE($P68:$Q69),EA68:EA69),0)</f>
        <v>0</v>
      </c>
      <c r="EB70" s="1">
        <f t="array" aca="1" ref="EB70:EB71" ca="1">IF(ISNUMBER($A68),MMULT(TRANSPOSE($P68:$Q69),EB68:EB69),0)</f>
        <v>0</v>
      </c>
      <c r="EC70" s="1">
        <f t="array" aca="1" ref="EC70:EC71" ca="1">IF(ISNUMBER($A68),MMULT(TRANSPOSE($P68:$Q69),EC68:EC69),0)</f>
        <v>0</v>
      </c>
      <c r="ED70" s="1">
        <f t="array" aca="1" ref="ED70:ED71" ca="1">IF(ISNUMBER($A68),MMULT(TRANSPOSE($P68:$Q69),ED68:ED69),0)</f>
        <v>0</v>
      </c>
      <c r="EE70" s="1">
        <f t="array" aca="1" ref="EE70:EE71" ca="1">IF(ISNUMBER($A68),MMULT(TRANSPOSE($P68:$Q69),EE68:EE69),0)</f>
        <v>0</v>
      </c>
      <c r="EF70" s="1">
        <f t="array" aca="1" ref="EF70:EF71" ca="1">IF(ISNUMBER($A68),MMULT(TRANSPOSE($P68:$Q69),EF68:EF69),0)</f>
        <v>0</v>
      </c>
      <c r="EG70" s="1">
        <f t="array" aca="1" ref="EG70:EG71" ca="1">IF(ISNUMBER($A68),MMULT(TRANSPOSE($P68:$Q69),EG68:EG69),0)</f>
        <v>0</v>
      </c>
      <c r="EH70" s="1">
        <f t="array" aca="1" ref="EH70:EH71" ca="1">IF(ISNUMBER($A68),MMULT(TRANSPOSE($P68:$Q69),EH68:EH69),0)</f>
        <v>0</v>
      </c>
      <c r="EI70" s="1">
        <f t="array" aca="1" ref="EI70:EI71" ca="1">IF(ISNUMBER($A68),MMULT(TRANSPOSE($P68:$Q69),EI68:EI69),0)</f>
        <v>0</v>
      </c>
      <c r="EJ70" s="1">
        <f t="array" aca="1" ref="EJ70:EJ71" ca="1">IF(ISNUMBER($A68),MMULT(TRANSPOSE($P68:$Q69),EJ68:EJ69),0)</f>
        <v>0</v>
      </c>
      <c r="EK70" s="1"/>
      <c r="EL70" s="1"/>
      <c r="EM70" s="8"/>
      <c r="EN70" s="309"/>
      <c r="EO70" s="310"/>
      <c r="EP70" s="345"/>
    </row>
    <row r="71" spans="1:146" x14ac:dyDescent="0.2">
      <c r="E71" s="12"/>
      <c r="F71" s="12"/>
      <c r="J71" s="4">
        <f ca="1">-J68</f>
        <v>0</v>
      </c>
      <c r="K71" s="5">
        <v>0</v>
      </c>
      <c r="L71" s="6">
        <v>0</v>
      </c>
      <c r="M71" s="179">
        <f ca="1">J68</f>
        <v>0</v>
      </c>
      <c r="N71" s="5">
        <v>0</v>
      </c>
      <c r="O71" s="6">
        <v>0</v>
      </c>
      <c r="P71" s="184">
        <v>0</v>
      </c>
      <c r="Q71" s="101">
        <v>0</v>
      </c>
      <c r="R71" s="101">
        <v>0</v>
      </c>
      <c r="S71" s="99">
        <f ca="1">I68</f>
        <v>0</v>
      </c>
      <c r="T71" s="99">
        <f ca="1">-H68</f>
        <v>0</v>
      </c>
      <c r="U71" s="100">
        <v>0</v>
      </c>
      <c r="V71" s="4">
        <f ca="1"/>
        <v>0</v>
      </c>
      <c r="W71" s="5">
        <f ca="1"/>
        <v>0</v>
      </c>
      <c r="X71" s="6">
        <f ca="1"/>
        <v>0</v>
      </c>
      <c r="Y71" s="179">
        <f ca="1"/>
        <v>0</v>
      </c>
      <c r="Z71" s="5">
        <f ca="1"/>
        <v>0</v>
      </c>
      <c r="AA71" s="6">
        <f ca="1"/>
        <v>0</v>
      </c>
      <c r="AB71" s="61">
        <f ca="1">IF(ISNUMBER($A68),INDIRECT("System!" &amp; ADDRESS(A68+1,COLUMN(System!V67))),0)</f>
        <v>0</v>
      </c>
      <c r="AC71" s="301">
        <f ca="1">IF(ISNUMBER(E68),E68*D68/2,0)</f>
        <v>0</v>
      </c>
      <c r="AD71" s="61">
        <f ca="1"/>
        <v>0</v>
      </c>
      <c r="AE71" s="7">
        <f t="shared" ref="AE71:BR71" ca="1" si="132">IF(ABS($E70)=AE$1,SIGN($E70),0)</f>
        <v>0</v>
      </c>
      <c r="AF71" s="1">
        <f t="shared" ca="1" si="132"/>
        <v>0</v>
      </c>
      <c r="AG71" s="1">
        <f t="shared" ca="1" si="132"/>
        <v>0</v>
      </c>
      <c r="AH71" s="1">
        <f t="shared" ca="1" si="132"/>
        <v>0</v>
      </c>
      <c r="AI71" s="1">
        <f t="shared" ca="1" si="132"/>
        <v>0</v>
      </c>
      <c r="AJ71" s="26">
        <f t="shared" ca="1" si="132"/>
        <v>0</v>
      </c>
      <c r="AK71" s="26">
        <f t="shared" ca="1" si="132"/>
        <v>0</v>
      </c>
      <c r="AL71" s="26">
        <f t="shared" ca="1" si="132"/>
        <v>0</v>
      </c>
      <c r="AM71" s="26">
        <f t="shared" ca="1" si="132"/>
        <v>0</v>
      </c>
      <c r="AN71" s="26">
        <f t="shared" ca="1" si="132"/>
        <v>0</v>
      </c>
      <c r="AO71" s="26">
        <f t="shared" ca="1" si="132"/>
        <v>0</v>
      </c>
      <c r="AP71" s="26">
        <f t="shared" ca="1" si="132"/>
        <v>0</v>
      </c>
      <c r="AQ71" s="26">
        <f t="shared" ca="1" si="132"/>
        <v>0</v>
      </c>
      <c r="AR71" s="26">
        <f t="shared" ca="1" si="132"/>
        <v>0</v>
      </c>
      <c r="AS71" s="26">
        <f t="shared" ca="1" si="132"/>
        <v>0</v>
      </c>
      <c r="AT71" s="26">
        <f t="shared" ca="1" si="132"/>
        <v>0</v>
      </c>
      <c r="AU71" s="26">
        <f t="shared" ca="1" si="132"/>
        <v>0</v>
      </c>
      <c r="AV71" s="26">
        <f t="shared" ca="1" si="132"/>
        <v>0</v>
      </c>
      <c r="AW71" s="26">
        <f t="shared" ca="1" si="132"/>
        <v>0</v>
      </c>
      <c r="AX71" s="26">
        <f t="shared" ca="1" si="132"/>
        <v>0</v>
      </c>
      <c r="AY71" s="26">
        <f t="shared" ca="1" si="132"/>
        <v>0</v>
      </c>
      <c r="AZ71" s="26">
        <f t="shared" ca="1" si="132"/>
        <v>0</v>
      </c>
      <c r="BA71" s="26">
        <f t="shared" ca="1" si="132"/>
        <v>0</v>
      </c>
      <c r="BB71" s="26">
        <f t="shared" ca="1" si="132"/>
        <v>0</v>
      </c>
      <c r="BC71" s="26">
        <f t="shared" ca="1" si="132"/>
        <v>0</v>
      </c>
      <c r="BD71" s="26">
        <f t="shared" ca="1" si="132"/>
        <v>0</v>
      </c>
      <c r="BE71" s="26">
        <f t="shared" ca="1" si="132"/>
        <v>0</v>
      </c>
      <c r="BF71" s="26">
        <f t="shared" ca="1" si="132"/>
        <v>0</v>
      </c>
      <c r="BG71" s="26">
        <f t="shared" ca="1" si="132"/>
        <v>0</v>
      </c>
      <c r="BH71" s="26">
        <f t="shared" ca="1" si="132"/>
        <v>0</v>
      </c>
      <c r="BI71" s="26">
        <f t="shared" ca="1" si="132"/>
        <v>0</v>
      </c>
      <c r="BJ71" s="26">
        <f t="shared" ca="1" si="132"/>
        <v>0</v>
      </c>
      <c r="BK71" s="26">
        <f t="shared" ca="1" si="132"/>
        <v>0</v>
      </c>
      <c r="BL71" s="26">
        <f t="shared" ca="1" si="132"/>
        <v>0</v>
      </c>
      <c r="BM71" s="26">
        <f t="shared" ca="1" si="132"/>
        <v>0</v>
      </c>
      <c r="BN71" s="26">
        <f t="shared" ca="1" si="132"/>
        <v>0</v>
      </c>
      <c r="BO71" s="26">
        <f t="shared" ca="1" si="132"/>
        <v>0</v>
      </c>
      <c r="BP71" s="26">
        <f t="shared" ca="1" si="132"/>
        <v>0</v>
      </c>
      <c r="BQ71" s="26">
        <f t="shared" ca="1" si="132"/>
        <v>0</v>
      </c>
      <c r="BR71" s="26">
        <f t="shared" ca="1" si="132"/>
        <v>0</v>
      </c>
      <c r="BS71" s="282">
        <f ca="1">IF(ISNUMBER($A68),IF(INDEX(B70:G70,4)&lt;&gt;0,SIGN(INDEX(B70:G70,4))*INDIRECT(ADDRESS(1+ABS(INDEX(B70:G70,4)),COLUMN(Ksys!$B$1),1,TRUE,"Ksys")),0)+AB71,0)</f>
        <v>0</v>
      </c>
      <c r="BT71" s="61">
        <f ca="1"/>
        <v>0</v>
      </c>
      <c r="BU71" s="61">
        <f ca="1"/>
        <v>0</v>
      </c>
      <c r="BV71" s="61">
        <f t="array" aca="1" ref="BV71:BV73" ca="1">MMULT(J71:O73,BT68:BT73)-AC71:AC73</f>
        <v>0</v>
      </c>
      <c r="BW71" s="288" t="s">
        <v>101</v>
      </c>
      <c r="BX71" s="7">
        <f ca="1"/>
        <v>0</v>
      </c>
      <c r="BY71" s="1">
        <f ca="1"/>
        <v>0</v>
      </c>
      <c r="BZ71" s="1">
        <f ca="1"/>
        <v>0</v>
      </c>
      <c r="CA71" s="1">
        <f ca="1"/>
        <v>0</v>
      </c>
      <c r="CB71" s="1">
        <f ca="1"/>
        <v>0</v>
      </c>
      <c r="CC71" s="1">
        <f ca="1"/>
        <v>0</v>
      </c>
      <c r="CD71" s="1">
        <f ca="1"/>
        <v>0</v>
      </c>
      <c r="CE71" s="1">
        <f ca="1"/>
        <v>0</v>
      </c>
      <c r="CF71" s="1">
        <f ca="1"/>
        <v>0</v>
      </c>
      <c r="CG71" s="1">
        <f ca="1"/>
        <v>0</v>
      </c>
      <c r="CH71" s="8">
        <f ca="1"/>
        <v>0</v>
      </c>
      <c r="CI71" s="344" t="s">
        <v>1</v>
      </c>
      <c r="CJ71" s="344" t="s">
        <v>111</v>
      </c>
      <c r="CK71" s="310"/>
      <c r="CM71" s="292" t="s">
        <v>101</v>
      </c>
      <c r="CN71" s="7">
        <f ca="1"/>
        <v>0</v>
      </c>
      <c r="CO71" s="1">
        <f ca="1"/>
        <v>0</v>
      </c>
      <c r="CP71" s="1">
        <f ca="1"/>
        <v>0</v>
      </c>
      <c r="CQ71" s="1">
        <f ca="1"/>
        <v>0</v>
      </c>
      <c r="CR71" s="1">
        <f ca="1"/>
        <v>0</v>
      </c>
      <c r="CS71" s="1">
        <f ca="1"/>
        <v>0</v>
      </c>
      <c r="CT71" s="1">
        <f ca="1"/>
        <v>0</v>
      </c>
      <c r="CU71" s="1">
        <f ca="1"/>
        <v>0</v>
      </c>
      <c r="CV71" s="1">
        <f ca="1"/>
        <v>0</v>
      </c>
      <c r="CW71" s="1">
        <f ca="1"/>
        <v>0</v>
      </c>
      <c r="CX71" s="1">
        <f ca="1"/>
        <v>0</v>
      </c>
      <c r="CY71" s="1"/>
      <c r="CZ71" s="1"/>
      <c r="DA71" s="26"/>
      <c r="DB71" s="311" t="s">
        <v>1</v>
      </c>
      <c r="DC71" s="312" t="s">
        <v>111</v>
      </c>
      <c r="DD71" s="61">
        <f ca="1">MAX(MAX(CN70:CX71),ABS(MIN(CN70:CX71)))</f>
        <v>0</v>
      </c>
      <c r="DF71" s="292" t="s">
        <v>101</v>
      </c>
      <c r="DG71" s="7">
        <f ca="1"/>
        <v>0</v>
      </c>
      <c r="DH71" s="1">
        <f ca="1"/>
        <v>0</v>
      </c>
      <c r="DI71" s="1">
        <f ca="1"/>
        <v>0</v>
      </c>
      <c r="DJ71" s="1">
        <f ca="1"/>
        <v>0</v>
      </c>
      <c r="DK71" s="1">
        <f ca="1"/>
        <v>0</v>
      </c>
      <c r="DL71" s="1">
        <f ca="1"/>
        <v>0</v>
      </c>
      <c r="DM71" s="1">
        <f ca="1"/>
        <v>0</v>
      </c>
      <c r="DN71" s="1">
        <f ca="1"/>
        <v>0</v>
      </c>
      <c r="DO71" s="1">
        <f ca="1"/>
        <v>0</v>
      </c>
      <c r="DP71" s="1">
        <f ca="1"/>
        <v>0</v>
      </c>
      <c r="DQ71" s="1">
        <f ca="1"/>
        <v>0</v>
      </c>
      <c r="DR71" s="1"/>
      <c r="DS71" s="1"/>
      <c r="DT71" s="8"/>
      <c r="DU71" s="314" t="s">
        <v>1</v>
      </c>
      <c r="DV71" s="312" t="s">
        <v>111</v>
      </c>
      <c r="DW71" s="349">
        <f ca="1">MAX(MAX(DG70:DQ71),ABS(MIN(DG70:DQ71)))</f>
        <v>0</v>
      </c>
      <c r="DY71" s="292" t="s">
        <v>101</v>
      </c>
      <c r="DZ71" s="7">
        <f ca="1"/>
        <v>0</v>
      </c>
      <c r="EA71" s="1">
        <f ca="1"/>
        <v>0</v>
      </c>
      <c r="EB71" s="1">
        <f ca="1"/>
        <v>0</v>
      </c>
      <c r="EC71" s="1">
        <f ca="1"/>
        <v>0</v>
      </c>
      <c r="ED71" s="1">
        <f ca="1"/>
        <v>0</v>
      </c>
      <c r="EE71" s="1">
        <f ca="1"/>
        <v>0</v>
      </c>
      <c r="EF71" s="1">
        <f ca="1"/>
        <v>0</v>
      </c>
      <c r="EG71" s="1">
        <f ca="1"/>
        <v>0</v>
      </c>
      <c r="EH71" s="1">
        <f ca="1"/>
        <v>0</v>
      </c>
      <c r="EI71" s="1">
        <f ca="1"/>
        <v>0</v>
      </c>
      <c r="EJ71" s="1">
        <f ca="1"/>
        <v>0</v>
      </c>
      <c r="EK71" s="1"/>
      <c r="EL71" s="1"/>
      <c r="EM71" s="8"/>
      <c r="EN71" s="311" t="s">
        <v>1</v>
      </c>
      <c r="EO71" s="312" t="s">
        <v>111</v>
      </c>
      <c r="EP71" s="61">
        <f ca="1">MAX(MAX(DZ70:EJ71),ABS(MIN(DZ70:EJ71)))</f>
        <v>0</v>
      </c>
    </row>
    <row r="72" spans="1:146" x14ac:dyDescent="0.2">
      <c r="E72" s="1" t="str">
        <f ca="1">IF(ISNUMBER(A68),"" &amp; ADDRESS(ROW(A68),COLUMN($AD$1)) &amp; ":" &amp; ADDRESS(ROW(A73),COLUMN($AD$1)) &amp; "","")</f>
        <v/>
      </c>
      <c r="F72" s="1" t="str">
        <f ca="1">IF(ISNUMBER(A68),"" &amp; ADDRESS(ROW(A68),COLUMN($V$1)) &amp; ":" &amp; ADDRESS(ROW(A73),COLUMN($AA$1)) &amp; "","")</f>
        <v/>
      </c>
      <c r="G72" s="1" t="str">
        <f ca="1">IF(ISNUMBER(A68),"" &amp; ADDRESS(ROW(A68),COLUMN($AE$1)) &amp; ":" &amp; ADDRESS(ROW(A73),COLUMN($AD$1)+$C$6) &amp; "","")</f>
        <v/>
      </c>
      <c r="J72" s="7">
        <v>0</v>
      </c>
      <c r="K72" s="1">
        <f ca="1">-K69</f>
        <v>0</v>
      </c>
      <c r="L72" s="8">
        <f ca="1">IF(G68=1,6*B68/D68^2,IF(G68="2a",0,IF(G68="2b",3*B68/D68^2,0)))</f>
        <v>0</v>
      </c>
      <c r="M72" s="7">
        <v>0</v>
      </c>
      <c r="N72" s="180">
        <f ca="1">K69</f>
        <v>0</v>
      </c>
      <c r="O72" s="8">
        <f ca="1">N73</f>
        <v>0</v>
      </c>
      <c r="P72" s="184">
        <v>0</v>
      </c>
      <c r="Q72" s="101">
        <v>0</v>
      </c>
      <c r="R72" s="101">
        <v>0</v>
      </c>
      <c r="S72" s="99">
        <f ca="1">H68</f>
        <v>0</v>
      </c>
      <c r="T72" s="99">
        <f ca="1">I68</f>
        <v>0</v>
      </c>
      <c r="U72" s="100">
        <v>0</v>
      </c>
      <c r="V72" s="7">
        <f ca="1"/>
        <v>0</v>
      </c>
      <c r="W72" s="1">
        <f ca="1"/>
        <v>0</v>
      </c>
      <c r="X72" s="8">
        <f ca="1"/>
        <v>0</v>
      </c>
      <c r="Y72" s="7">
        <f ca="1"/>
        <v>0</v>
      </c>
      <c r="Z72" s="180">
        <f ca="1"/>
        <v>0</v>
      </c>
      <c r="AA72" s="8">
        <f ca="1"/>
        <v>0</v>
      </c>
      <c r="AB72" s="61">
        <f ca="1">IF(ISNUMBER($A68),INDIRECT("System!" &amp; ADDRESS(A68+1,COLUMN(System!W67))),0)</f>
        <v>0</v>
      </c>
      <c r="AC72" s="301">
        <f ca="1">IF(G68=1,F68*D68/2,IF(G68="2a",F68*5/8*D68,IF(G68="2b",F68*3/8*D68,0)))</f>
        <v>0</v>
      </c>
      <c r="AD72" s="61">
        <f ca="1"/>
        <v>0</v>
      </c>
      <c r="AE72" s="7">
        <f t="shared" ref="AE72:BR72" ca="1" si="133">IF(ABS($F70)=AE$1,SIGN($F70),0)</f>
        <v>0</v>
      </c>
      <c r="AF72" s="1">
        <f t="shared" ca="1" si="133"/>
        <v>0</v>
      </c>
      <c r="AG72" s="1">
        <f t="shared" ca="1" si="133"/>
        <v>0</v>
      </c>
      <c r="AH72" s="1">
        <f t="shared" ca="1" si="133"/>
        <v>0</v>
      </c>
      <c r="AI72" s="1">
        <f t="shared" ca="1" si="133"/>
        <v>0</v>
      </c>
      <c r="AJ72" s="26">
        <f t="shared" ca="1" si="133"/>
        <v>0</v>
      </c>
      <c r="AK72" s="26">
        <f t="shared" ca="1" si="133"/>
        <v>0</v>
      </c>
      <c r="AL72" s="26">
        <f t="shared" ca="1" si="133"/>
        <v>0</v>
      </c>
      <c r="AM72" s="26">
        <f t="shared" ca="1" si="133"/>
        <v>0</v>
      </c>
      <c r="AN72" s="26">
        <f t="shared" ca="1" si="133"/>
        <v>0</v>
      </c>
      <c r="AO72" s="26">
        <f t="shared" ca="1" si="133"/>
        <v>0</v>
      </c>
      <c r="AP72" s="26">
        <f t="shared" ca="1" si="133"/>
        <v>0</v>
      </c>
      <c r="AQ72" s="26">
        <f t="shared" ca="1" si="133"/>
        <v>0</v>
      </c>
      <c r="AR72" s="26">
        <f t="shared" ca="1" si="133"/>
        <v>0</v>
      </c>
      <c r="AS72" s="26">
        <f t="shared" ca="1" si="133"/>
        <v>0</v>
      </c>
      <c r="AT72" s="26">
        <f t="shared" ca="1" si="133"/>
        <v>0</v>
      </c>
      <c r="AU72" s="26">
        <f t="shared" ca="1" si="133"/>
        <v>0</v>
      </c>
      <c r="AV72" s="26">
        <f t="shared" ca="1" si="133"/>
        <v>0</v>
      </c>
      <c r="AW72" s="26">
        <f t="shared" ca="1" si="133"/>
        <v>0</v>
      </c>
      <c r="AX72" s="26">
        <f t="shared" ca="1" si="133"/>
        <v>0</v>
      </c>
      <c r="AY72" s="26">
        <f t="shared" ca="1" si="133"/>
        <v>0</v>
      </c>
      <c r="AZ72" s="26">
        <f t="shared" ca="1" si="133"/>
        <v>0</v>
      </c>
      <c r="BA72" s="26">
        <f t="shared" ca="1" si="133"/>
        <v>0</v>
      </c>
      <c r="BB72" s="26">
        <f t="shared" ca="1" si="133"/>
        <v>0</v>
      </c>
      <c r="BC72" s="26">
        <f t="shared" ca="1" si="133"/>
        <v>0</v>
      </c>
      <c r="BD72" s="26">
        <f t="shared" ca="1" si="133"/>
        <v>0</v>
      </c>
      <c r="BE72" s="26">
        <f t="shared" ca="1" si="133"/>
        <v>0</v>
      </c>
      <c r="BF72" s="26">
        <f t="shared" ca="1" si="133"/>
        <v>0</v>
      </c>
      <c r="BG72" s="26">
        <f t="shared" ca="1" si="133"/>
        <v>0</v>
      </c>
      <c r="BH72" s="26">
        <f t="shared" ca="1" si="133"/>
        <v>0</v>
      </c>
      <c r="BI72" s="26">
        <f t="shared" ca="1" si="133"/>
        <v>0</v>
      </c>
      <c r="BJ72" s="26">
        <f t="shared" ca="1" si="133"/>
        <v>0</v>
      </c>
      <c r="BK72" s="26">
        <f t="shared" ca="1" si="133"/>
        <v>0</v>
      </c>
      <c r="BL72" s="26">
        <f t="shared" ca="1" si="133"/>
        <v>0</v>
      </c>
      <c r="BM72" s="26">
        <f t="shared" ca="1" si="133"/>
        <v>0</v>
      </c>
      <c r="BN72" s="26">
        <f t="shared" ca="1" si="133"/>
        <v>0</v>
      </c>
      <c r="BO72" s="26">
        <f t="shared" ca="1" si="133"/>
        <v>0</v>
      </c>
      <c r="BP72" s="26">
        <f t="shared" ca="1" si="133"/>
        <v>0</v>
      </c>
      <c r="BQ72" s="26">
        <f t="shared" ca="1" si="133"/>
        <v>0</v>
      </c>
      <c r="BR72" s="26">
        <f t="shared" ca="1" si="133"/>
        <v>0</v>
      </c>
      <c r="BS72" s="282">
        <f ca="1">IF(ISNUMBER($A68),IF(INDEX(B70:G70,5)&lt;&gt;0,SIGN(INDEX(B70:G70,5))*INDIRECT(ADDRESS(1+ABS(INDEX(B70:G70,5)),COLUMN(Ksys!$B$1),1,TRUE,"Ksys")),0)+AB72,0)</f>
        <v>0</v>
      </c>
      <c r="BT72" s="61">
        <f ca="1"/>
        <v>0</v>
      </c>
      <c r="BU72" s="61">
        <f ca="1"/>
        <v>0</v>
      </c>
      <c r="BV72" s="61">
        <f ca="1"/>
        <v>0</v>
      </c>
      <c r="BW72" s="296" t="s">
        <v>102</v>
      </c>
      <c r="BX72" s="216">
        <f ca="1">IF(ISNUMBER($A68),$B69*(1-BX$1) + $C69*BX$1 + Knoten!$S$5*BX70,KnotenData!$H$2)</f>
        <v>0.5</v>
      </c>
      <c r="BY72" s="206">
        <f ca="1">IF(ISNUMBER($A68),$B69*(1-BY$1) + $C69*BY$1 + Knoten!$S$5*BY70,KnotenData!$H$2)</f>
        <v>0.5</v>
      </c>
      <c r="BZ72" s="206">
        <f ca="1">IF(ISNUMBER($A68),$B69*(1-BZ$1) + $C69*BZ$1 + Knoten!$S$5*BZ70,KnotenData!$H$2)</f>
        <v>0.5</v>
      </c>
      <c r="CA72" s="206">
        <f ca="1">IF(ISNUMBER($A68),$B69*(1-CA$1) + $C69*CA$1 + Knoten!$S$5*CA70,KnotenData!$H$2)</f>
        <v>0.5</v>
      </c>
      <c r="CB72" s="206">
        <f ca="1">IF(ISNUMBER($A68),$B69*(1-CB$1) + $C69*CB$1 + Knoten!$S$5*CB70,KnotenData!$H$2)</f>
        <v>0.5</v>
      </c>
      <c r="CC72" s="206">
        <f ca="1">IF(ISNUMBER($A68),$B69*(1-CC$1) + $C69*CC$1 + Knoten!$S$5*CC70,KnotenData!$H$2)</f>
        <v>0.5</v>
      </c>
      <c r="CD72" s="206">
        <f ca="1">IF(ISNUMBER($A68),$B69*(1-CD$1) + $C69*CD$1 + Knoten!$S$5*CD70,KnotenData!$H$2)</f>
        <v>0.5</v>
      </c>
      <c r="CE72" s="206">
        <f ca="1">IF(ISNUMBER($A68),$B69*(1-CE$1) + $C69*CE$1 + Knoten!$S$5*CE70,KnotenData!$H$2)</f>
        <v>0.5</v>
      </c>
      <c r="CF72" s="206">
        <f ca="1">IF(ISNUMBER($A68),$B69*(1-CF$1) + $C69*CF$1 + Knoten!$S$5*CF70,KnotenData!$H$2)</f>
        <v>0.5</v>
      </c>
      <c r="CG72" s="206">
        <f ca="1">IF(ISNUMBER($A68),$B69*(1-CG$1) + $C69*CG$1 + Knoten!$S$5*CG70,KnotenData!$H$2)</f>
        <v>0.5</v>
      </c>
      <c r="CH72" s="217">
        <f ca="1">IF(ISNUMBER($A68),$B69*(1-CH$1) + $C69*CH$1 + Knoten!$S$5*CH70,KnotenData!$H$2)</f>
        <v>0.5</v>
      </c>
      <c r="CI72" s="447">
        <f ca="1">MIN(BX72:CH72)</f>
        <v>0.5</v>
      </c>
      <c r="CJ72" s="447">
        <f ca="1">MIN(BX73:CH73)</f>
        <v>0.47499999999999998</v>
      </c>
      <c r="CK72" s="445"/>
      <c r="CM72" s="293" t="s">
        <v>102</v>
      </c>
      <c r="CN72" s="216">
        <f ca="1">IF(ISNUMBER($A68),$B69*(1-CN$1) + $C69*CN$1 + Momente!$D$6*CN70,KnotenData!$H$2)</f>
        <v>0.5</v>
      </c>
      <c r="CO72" s="206">
        <f ca="1">IF(ISNUMBER($A68),$B69*(1-CO$1) + $C69*CO$1 + Momente!$D$6*CO70,KnotenData!$H$2)</f>
        <v>0.5</v>
      </c>
      <c r="CP72" s="206">
        <f ca="1">IF(ISNUMBER($A68),$B69*(1-CP$1) + $C69*CP$1 + Momente!$D$6*CP70,KnotenData!$H$2)</f>
        <v>0.5</v>
      </c>
      <c r="CQ72" s="206">
        <f ca="1">IF(ISNUMBER($A68),$B69*(1-CQ$1) + $C69*CQ$1 + Momente!$D$6*CQ70,KnotenData!$H$2)</f>
        <v>0.5</v>
      </c>
      <c r="CR72" s="206">
        <f ca="1">IF(ISNUMBER($A68),$B69*(1-CR$1) + $C69*CR$1 + Momente!$D$6*CR70,KnotenData!$H$2)</f>
        <v>0.5</v>
      </c>
      <c r="CS72" s="206">
        <f ca="1">IF(ISNUMBER($A68),$B69*(1-CS$1) + $C69*CS$1 + Momente!$D$6*CS70,KnotenData!$H$2)</f>
        <v>0.5</v>
      </c>
      <c r="CT72" s="206">
        <f ca="1">IF(ISNUMBER($A68),$B69*(1-CT$1) + $C69*CT$1 + Momente!$D$6*CT70,KnotenData!$H$2)</f>
        <v>0.5</v>
      </c>
      <c r="CU72" s="206">
        <f ca="1">IF(ISNUMBER($A68),$B69*(1-CU$1) + $C69*CU$1 + Momente!$D$6*CU70,KnotenData!$H$2)</f>
        <v>0.5</v>
      </c>
      <c r="CV72" s="206">
        <f ca="1">IF(ISNUMBER($A68),$B69*(1-CV$1) + $C69*CV$1 + Momente!$D$6*CV70,KnotenData!$H$2)</f>
        <v>0.5</v>
      </c>
      <c r="CW72" s="206">
        <f ca="1">IF(ISNUMBER($A68),$B69*(1-CW$1) + $C69*CW$1 + Momente!$D$6*CW70,KnotenData!$H$2)</f>
        <v>0.5</v>
      </c>
      <c r="CX72" s="206">
        <f ca="1">IF(ISNUMBER($A68),$B69*(1-CX$1) + $C69*CX$1 + Momente!$D$6*CX70,KnotenData!$H$2)</f>
        <v>0.5</v>
      </c>
      <c r="CY72" s="206">
        <f ca="1">IF(ISNUMBER($A68),$C69,KnotenData!$H$2)</f>
        <v>0.5</v>
      </c>
      <c r="CZ72" s="206">
        <f ca="1">IF(ISNUMBER($A68),$B69,KnotenData!$H$2)</f>
        <v>0.5</v>
      </c>
      <c r="DA72" s="305">
        <f ca="1">IF(ISNUMBER($A68),CN72,KnotenData!$H$2)</f>
        <v>0.5</v>
      </c>
      <c r="DB72" s="7">
        <f ca="1">MIN(CN72:DA72)</f>
        <v>0.5</v>
      </c>
      <c r="DC72" s="8">
        <f ca="1">MIN(CN73:DA73)</f>
        <v>0.47499999999999998</v>
      </c>
      <c r="DD72" s="345"/>
      <c r="DF72" s="293" t="s">
        <v>102</v>
      </c>
      <c r="DG72" s="216">
        <f ca="1">IF(ISNUMBER($A68),$B69*(1-DG$1) + $C69*DG$1 + Querkräfte!$D$6*DG70,KnotenData!$H$2)</f>
        <v>0.5</v>
      </c>
      <c r="DH72" s="206">
        <f ca="1">IF(ISNUMBER($A68),$B69*(1-DH$1) + $C69*DH$1 + Querkräfte!$D$6*DH70,KnotenData!$H$2)</f>
        <v>0.5</v>
      </c>
      <c r="DI72" s="206">
        <f ca="1">IF(ISNUMBER($A68),$B69*(1-DI$1) + $C69*DI$1 + Querkräfte!$D$6*DI70,KnotenData!$H$2)</f>
        <v>0.5</v>
      </c>
      <c r="DJ72" s="206">
        <f ca="1">IF(ISNUMBER($A68),$B69*(1-DJ$1) + $C69*DJ$1 + Querkräfte!$D$6*DJ70,KnotenData!$H$2)</f>
        <v>0.5</v>
      </c>
      <c r="DK72" s="206">
        <f ca="1">IF(ISNUMBER($A68),$B69*(1-DK$1) + $C69*DK$1 + Querkräfte!$D$6*DK70,KnotenData!$H$2)</f>
        <v>0.5</v>
      </c>
      <c r="DL72" s="206">
        <f ca="1">IF(ISNUMBER($A68),$B69*(1-DL$1) + $C69*DL$1 + Querkräfte!$D$6*DL70,KnotenData!$H$2)</f>
        <v>0.5</v>
      </c>
      <c r="DM72" s="206">
        <f ca="1">IF(ISNUMBER($A68),$B69*(1-DM$1) + $C69*DM$1 + Querkräfte!$D$6*DM70,KnotenData!$H$2)</f>
        <v>0.5</v>
      </c>
      <c r="DN72" s="206">
        <f ca="1">IF(ISNUMBER($A68),$B69*(1-DN$1) + $C69*DN$1 + Querkräfte!$D$6*DN70,KnotenData!$H$2)</f>
        <v>0.5</v>
      </c>
      <c r="DO72" s="206">
        <f ca="1">IF(ISNUMBER($A68),$B69*(1-DO$1) + $C69*DO$1 + Querkräfte!$D$6*DO70,KnotenData!$H$2)</f>
        <v>0.5</v>
      </c>
      <c r="DP72" s="206">
        <f ca="1">IF(ISNUMBER($A68),$B69*(1-DP$1) + $C69*DP$1 + Querkräfte!$D$6*DP70,KnotenData!$H$2)</f>
        <v>0.5</v>
      </c>
      <c r="DQ72" s="206">
        <f ca="1">IF(ISNUMBER($A68),$B69*(1-DQ$1) + $C69*DQ$1 + Querkräfte!$D$6*DQ70,KnotenData!$H$2)</f>
        <v>0.5</v>
      </c>
      <c r="DR72" s="206">
        <f ca="1">IF(ISNUMBER($A68),$C69,KnotenData!$H$2)</f>
        <v>0.5</v>
      </c>
      <c r="DS72" s="206">
        <f ca="1">IF(ISNUMBER($A68),$B69,KnotenData!$H$2)</f>
        <v>0.5</v>
      </c>
      <c r="DT72" s="217">
        <f ca="1">IF(ISNUMBER($A68),DG72,KnotenData!$H$2)</f>
        <v>0.5</v>
      </c>
      <c r="DU72" s="145">
        <f ca="1">MIN(DG72:DQ72)</f>
        <v>0.5</v>
      </c>
      <c r="DV72" s="8">
        <f ca="1">MIN(DG73:DQ73)</f>
        <v>0.47499999999999998</v>
      </c>
      <c r="DW72" s="345"/>
      <c r="DY72" s="293" t="s">
        <v>102</v>
      </c>
      <c r="DZ72" s="216">
        <f ca="1">IF(ISNUMBER($A68),$B69*(1-DZ$1) + $C69*DZ$1 + Normalkräfte!$D$6*DZ70,KnotenData!$H$2)</f>
        <v>0.5</v>
      </c>
      <c r="EA72" s="206">
        <f ca="1">IF(ISNUMBER($A68),$B69*(1-EA$1) + $C69*EA$1 + Normalkräfte!$D$6*EA70,KnotenData!$H$2)</f>
        <v>0.5</v>
      </c>
      <c r="EB72" s="206">
        <f ca="1">IF(ISNUMBER($A68),$B69*(1-EB$1) + $C69*EB$1 + Normalkräfte!$D$6*EB70,KnotenData!$H$2)</f>
        <v>0.5</v>
      </c>
      <c r="EC72" s="206">
        <f ca="1">IF(ISNUMBER($A68),$B69*(1-EC$1) + $C69*EC$1 + Normalkräfte!$D$6*EC70,KnotenData!$H$2)</f>
        <v>0.5</v>
      </c>
      <c r="ED72" s="206">
        <f ca="1">IF(ISNUMBER($A68),$B69*(1-ED$1) + $C69*ED$1 + Normalkräfte!$D$6*ED70,KnotenData!$H$2)</f>
        <v>0.5</v>
      </c>
      <c r="EE72" s="206">
        <f ca="1">IF(ISNUMBER($A68),$B69*(1-EE$1) + $C69*EE$1 + Normalkräfte!$D$6*EE70,KnotenData!$H$2)</f>
        <v>0.5</v>
      </c>
      <c r="EF72" s="206">
        <f ca="1">IF(ISNUMBER($A68),$B69*(1-EF$1) + $C69*EF$1 + Normalkräfte!$D$6*EF70,KnotenData!$H$2)</f>
        <v>0.5</v>
      </c>
      <c r="EG72" s="206">
        <f ca="1">IF(ISNUMBER($A68),$B69*(1-EG$1) + $C69*EG$1 + Normalkräfte!$D$6*EG70,KnotenData!$H$2)</f>
        <v>0.5</v>
      </c>
      <c r="EH72" s="206">
        <f ca="1">IF(ISNUMBER($A68),$B69*(1-EH$1) + $C69*EH$1 + Normalkräfte!$D$6*EH70,KnotenData!$H$2)</f>
        <v>0.5</v>
      </c>
      <c r="EI72" s="206">
        <f ca="1">IF(ISNUMBER($A68),$B69*(1-EI$1) + $C69*EI$1 + Normalkräfte!$D$6*EI70,KnotenData!$H$2)</f>
        <v>0.5</v>
      </c>
      <c r="EJ72" s="206">
        <f ca="1">IF(ISNUMBER($A68),$B69*(1-EJ$1) + $C69*EJ$1 + Normalkräfte!$D$6*EJ70,KnotenData!$H$2)</f>
        <v>0.5</v>
      </c>
      <c r="EK72" s="256">
        <f ca="1">IF(ISNUMBER($A68),$C69,KnotenData!$H$2)</f>
        <v>0.5</v>
      </c>
      <c r="EL72" s="206">
        <f ca="1">IF(ISNUMBER($A68),$B69,KnotenData!$H$2)</f>
        <v>0.5</v>
      </c>
      <c r="EM72" s="217">
        <f ca="1">IF(ISNUMBER($A68),DZ72,KnotenData!$H$2)</f>
        <v>0.5</v>
      </c>
      <c r="EN72" s="7">
        <f ca="1">MIN(DZ72:EJ72)</f>
        <v>0.5</v>
      </c>
      <c r="EO72" s="8">
        <f ca="1">MIN(DZ73:EJ73)</f>
        <v>0.47499999999999998</v>
      </c>
      <c r="EP72" s="345"/>
    </row>
    <row r="73" spans="1:146" ht="13.5" thickBot="1" x14ac:dyDescent="0.25">
      <c r="E73" s="12"/>
      <c r="F73" s="12"/>
      <c r="J73" s="9">
        <v>0</v>
      </c>
      <c r="K73" s="10">
        <f ca="1">IF(G68=1,-6*B68/D68^2,IF(G68="2a",-3*B68/D68^2,IF(G68="2b",0,0)))</f>
        <v>0</v>
      </c>
      <c r="L73" s="146">
        <f ca="1">IF(G68=1,2*B68/D68,IF(G68="2a",0,IF(G68="2b",0,0)))</f>
        <v>0</v>
      </c>
      <c r="M73" s="9">
        <v>0</v>
      </c>
      <c r="N73" s="10">
        <f ca="1">-K73</f>
        <v>0</v>
      </c>
      <c r="O73" s="181">
        <f ca="1">IF(G68=1,4*B68/D68,IF(G68="2a",3*B68/D68,IF(G68="2b",0,0)))</f>
        <v>0</v>
      </c>
      <c r="P73" s="185">
        <v>0</v>
      </c>
      <c r="Q73" s="103">
        <v>0</v>
      </c>
      <c r="R73" s="103">
        <v>0</v>
      </c>
      <c r="S73" s="111">
        <v>0</v>
      </c>
      <c r="T73" s="111">
        <v>0</v>
      </c>
      <c r="U73" s="112">
        <v>1</v>
      </c>
      <c r="V73" s="9">
        <f ca="1"/>
        <v>0</v>
      </c>
      <c r="W73" s="10">
        <f ca="1"/>
        <v>0</v>
      </c>
      <c r="X73" s="146">
        <f ca="1"/>
        <v>0</v>
      </c>
      <c r="Y73" s="9">
        <f ca="1"/>
        <v>0</v>
      </c>
      <c r="Z73" s="10">
        <f ca="1"/>
        <v>0</v>
      </c>
      <c r="AA73" s="181">
        <f ca="1"/>
        <v>0</v>
      </c>
      <c r="AB73" s="62">
        <f ca="1">IF(ISNUMBER($A68),INDIRECT("System!" &amp; ADDRESS(A68+1,COLUMN(System!X67))),0)</f>
        <v>0</v>
      </c>
      <c r="AC73" s="302">
        <f ca="1">IF(G68=1,F68*D68^2/12,IF(G68="2a",F68*D68^2/8,IF(G68="2b",0,0)))</f>
        <v>0</v>
      </c>
      <c r="AD73" s="62">
        <f ca="1"/>
        <v>0</v>
      </c>
      <c r="AE73" s="9">
        <f t="shared" ref="AE73:BR73" ca="1" si="134">IF(ABS($G70)=AE$1,SIGN($G70),0)</f>
        <v>0</v>
      </c>
      <c r="AF73" s="10">
        <f t="shared" ca="1" si="134"/>
        <v>0</v>
      </c>
      <c r="AG73" s="10">
        <f t="shared" ca="1" si="134"/>
        <v>0</v>
      </c>
      <c r="AH73" s="10">
        <f t="shared" ca="1" si="134"/>
        <v>0</v>
      </c>
      <c r="AI73" s="10">
        <f t="shared" ca="1" si="134"/>
        <v>0</v>
      </c>
      <c r="AJ73" s="188">
        <f t="shared" ca="1" si="134"/>
        <v>0</v>
      </c>
      <c r="AK73" s="188">
        <f t="shared" ca="1" si="134"/>
        <v>0</v>
      </c>
      <c r="AL73" s="188">
        <f t="shared" ca="1" si="134"/>
        <v>0</v>
      </c>
      <c r="AM73" s="188">
        <f t="shared" ca="1" si="134"/>
        <v>0</v>
      </c>
      <c r="AN73" s="188">
        <f t="shared" ca="1" si="134"/>
        <v>0</v>
      </c>
      <c r="AO73" s="188">
        <f t="shared" ca="1" si="134"/>
        <v>0</v>
      </c>
      <c r="AP73" s="188">
        <f t="shared" ca="1" si="134"/>
        <v>0</v>
      </c>
      <c r="AQ73" s="188">
        <f t="shared" ca="1" si="134"/>
        <v>0</v>
      </c>
      <c r="AR73" s="188">
        <f t="shared" ca="1" si="134"/>
        <v>0</v>
      </c>
      <c r="AS73" s="188">
        <f t="shared" ca="1" si="134"/>
        <v>0</v>
      </c>
      <c r="AT73" s="188">
        <f t="shared" ca="1" si="134"/>
        <v>0</v>
      </c>
      <c r="AU73" s="188">
        <f t="shared" ca="1" si="134"/>
        <v>0</v>
      </c>
      <c r="AV73" s="188">
        <f t="shared" ca="1" si="134"/>
        <v>0</v>
      </c>
      <c r="AW73" s="188">
        <f t="shared" ca="1" si="134"/>
        <v>0</v>
      </c>
      <c r="AX73" s="188">
        <f t="shared" ca="1" si="134"/>
        <v>0</v>
      </c>
      <c r="AY73" s="188">
        <f t="shared" ca="1" si="134"/>
        <v>0</v>
      </c>
      <c r="AZ73" s="188">
        <f t="shared" ca="1" si="134"/>
        <v>0</v>
      </c>
      <c r="BA73" s="188">
        <f t="shared" ca="1" si="134"/>
        <v>0</v>
      </c>
      <c r="BB73" s="188">
        <f t="shared" ca="1" si="134"/>
        <v>0</v>
      </c>
      <c r="BC73" s="188">
        <f t="shared" ca="1" si="134"/>
        <v>0</v>
      </c>
      <c r="BD73" s="188">
        <f t="shared" ca="1" si="134"/>
        <v>0</v>
      </c>
      <c r="BE73" s="188">
        <f t="shared" ca="1" si="134"/>
        <v>0</v>
      </c>
      <c r="BF73" s="188">
        <f t="shared" ca="1" si="134"/>
        <v>0</v>
      </c>
      <c r="BG73" s="188">
        <f t="shared" ca="1" si="134"/>
        <v>0</v>
      </c>
      <c r="BH73" s="188">
        <f t="shared" ca="1" si="134"/>
        <v>0</v>
      </c>
      <c r="BI73" s="188">
        <f t="shared" ca="1" si="134"/>
        <v>0</v>
      </c>
      <c r="BJ73" s="188">
        <f t="shared" ca="1" si="134"/>
        <v>0</v>
      </c>
      <c r="BK73" s="188">
        <f t="shared" ca="1" si="134"/>
        <v>0</v>
      </c>
      <c r="BL73" s="188">
        <f t="shared" ca="1" si="134"/>
        <v>0</v>
      </c>
      <c r="BM73" s="188">
        <f t="shared" ca="1" si="134"/>
        <v>0</v>
      </c>
      <c r="BN73" s="188">
        <f t="shared" ca="1" si="134"/>
        <v>0</v>
      </c>
      <c r="BO73" s="188">
        <f t="shared" ca="1" si="134"/>
        <v>0</v>
      </c>
      <c r="BP73" s="188">
        <f t="shared" ca="1" si="134"/>
        <v>0</v>
      </c>
      <c r="BQ73" s="188">
        <f t="shared" ca="1" si="134"/>
        <v>0</v>
      </c>
      <c r="BR73" s="188">
        <f t="shared" ca="1" si="134"/>
        <v>0</v>
      </c>
      <c r="BS73" s="283">
        <f ca="1">IF(ISNUMBER($A68),IF(INDEX(B70:G70,6)&lt;&gt;0,SIGN(INDEX(B70:G70,6))*INDIRECT(ADDRESS(1+ABS(INDEX(B70:G70,6)),COLUMN(Ksys!$B$1),1,TRUE,"Ksys")),0)+AB73,0)</f>
        <v>0</v>
      </c>
      <c r="BT73" s="62">
        <f ca="1"/>
        <v>0</v>
      </c>
      <c r="BU73" s="62">
        <f ca="1"/>
        <v>0</v>
      </c>
      <c r="BV73" s="62">
        <f ca="1"/>
        <v>0</v>
      </c>
      <c r="BW73" s="297" t="s">
        <v>103</v>
      </c>
      <c r="BX73" s="218">
        <f ca="1">IF(ISNUMBER($A68),$D69*(1-BX$1) + $E69*BX$1 + Knoten!$S$5*BX71,KnotenData!$H$3)</f>
        <v>0.47499999999999998</v>
      </c>
      <c r="BY73" s="295">
        <f ca="1">IF(ISNUMBER($A68),$D69*(1-BY$1) + $E69*BY$1 + Knoten!$S$5*BY71,KnotenData!$H$3)</f>
        <v>0.47499999999999998</v>
      </c>
      <c r="BZ73" s="295">
        <f ca="1">IF(ISNUMBER($A68),$D69*(1-BZ$1) + $E69*BZ$1 + Knoten!$S$5*BZ71,KnotenData!$H$3)</f>
        <v>0.47499999999999998</v>
      </c>
      <c r="CA73" s="295">
        <f ca="1">IF(ISNUMBER($A68),$D69*(1-CA$1) + $E69*CA$1 + Knoten!$S$5*CA71,KnotenData!$H$3)</f>
        <v>0.47499999999999998</v>
      </c>
      <c r="CB73" s="295">
        <f ca="1">IF(ISNUMBER($A68),$D69*(1-CB$1) + $E69*CB$1 + Knoten!$S$5*CB71,KnotenData!$H$3)</f>
        <v>0.47499999999999998</v>
      </c>
      <c r="CC73" s="295">
        <f ca="1">IF(ISNUMBER($A68),$D69*(1-CC$1) + $E69*CC$1 + Knoten!$S$5*CC71,KnotenData!$H$3)</f>
        <v>0.47499999999999998</v>
      </c>
      <c r="CD73" s="295">
        <f ca="1">IF(ISNUMBER($A68),$D69*(1-CD$1) + $E69*CD$1 + Knoten!$S$5*CD71,KnotenData!$H$3)</f>
        <v>0.47499999999999998</v>
      </c>
      <c r="CE73" s="295">
        <f ca="1">IF(ISNUMBER($A68),$D69*(1-CE$1) + $E69*CE$1 + Knoten!$S$5*CE71,KnotenData!$H$3)</f>
        <v>0.47499999999999998</v>
      </c>
      <c r="CF73" s="295">
        <f ca="1">IF(ISNUMBER($A68),$D69*(1-CF$1) + $E69*CF$1 + Knoten!$S$5*CF71,KnotenData!$H$3)</f>
        <v>0.47499999999999998</v>
      </c>
      <c r="CG73" s="295">
        <f ca="1">IF(ISNUMBER($A68),$D69*(1-CG$1) + $E69*CG$1 + Knoten!$S$5*CG71,KnotenData!$H$3)</f>
        <v>0.47499999999999998</v>
      </c>
      <c r="CH73" s="219">
        <f ca="1">IF(ISNUMBER($A68),$D69*(1-CH$1) + $E69*CH$1 + Knoten!$S$5*CH71,KnotenData!$H$3)</f>
        <v>0.47499999999999998</v>
      </c>
      <c r="CI73" s="449">
        <f ca="1">MAX(BX72:CH72)</f>
        <v>0.5</v>
      </c>
      <c r="CJ73" s="448">
        <f ca="1">MAX(BX73:CH73)</f>
        <v>0.47499999999999998</v>
      </c>
      <c r="CK73" s="446"/>
      <c r="CL73">
        <v>12</v>
      </c>
      <c r="CM73" s="294" t="s">
        <v>103</v>
      </c>
      <c r="CN73" s="218">
        <f ca="1">IF(ISNUMBER($A68),$D69*(1-CN$1) + $E69*CN$1 + Momente!$D$6*CN71,KnotenData!$H$3)</f>
        <v>0.47499999999999998</v>
      </c>
      <c r="CO73" s="295">
        <f ca="1">IF(ISNUMBER($A68),$D69*(1-CO$1) + $E69*CO$1 + Momente!$D$6*CO71,KnotenData!$H$3)</f>
        <v>0.47499999999999998</v>
      </c>
      <c r="CP73" s="295">
        <f ca="1">IF(ISNUMBER($A68),$D69*(1-CP$1) + $E69*CP$1 + Momente!$D$6*CP71,KnotenData!$H$3)</f>
        <v>0.47499999999999998</v>
      </c>
      <c r="CQ73" s="295">
        <f ca="1">IF(ISNUMBER($A68),$D69*(1-CQ$1) + $E69*CQ$1 + Momente!$D$6*CQ71,KnotenData!$H$3)</f>
        <v>0.47499999999999998</v>
      </c>
      <c r="CR73" s="295">
        <f ca="1">IF(ISNUMBER($A68),$D69*(1-CR$1) + $E69*CR$1 + Momente!$D$6*CR71,KnotenData!$H$3)</f>
        <v>0.47499999999999998</v>
      </c>
      <c r="CS73" s="295">
        <f ca="1">IF(ISNUMBER($A68),$D69*(1-CS$1) + $E69*CS$1 + Momente!$D$6*CS71,KnotenData!$H$3)</f>
        <v>0.47499999999999998</v>
      </c>
      <c r="CT73" s="295">
        <f ca="1">IF(ISNUMBER($A68),$D69*(1-CT$1) + $E69*CT$1 + Momente!$D$6*CT71,KnotenData!$H$3)</f>
        <v>0.47499999999999998</v>
      </c>
      <c r="CU73" s="295">
        <f ca="1">IF(ISNUMBER($A68),$D69*(1-CU$1) + $E69*CU$1 + Momente!$D$6*CU71,KnotenData!$H$3)</f>
        <v>0.47499999999999998</v>
      </c>
      <c r="CV73" s="295">
        <f ca="1">IF(ISNUMBER($A68),$D69*(1-CV$1) + $E69*CV$1 + Momente!$D$6*CV71,KnotenData!$H$3)</f>
        <v>0.47499999999999998</v>
      </c>
      <c r="CW73" s="295">
        <f ca="1">IF(ISNUMBER($A68),$D69*(1-CW$1) + $E69*CW$1 + Momente!$D$6*CW71,KnotenData!$H$3)</f>
        <v>0.47499999999999998</v>
      </c>
      <c r="CX73" s="295">
        <f ca="1">IF(ISNUMBER($A68),$D69*(1-CX$1) + $E69*CX$1 + Momente!$D$6*CX71,KnotenData!$H$3)</f>
        <v>0.47499999999999998</v>
      </c>
      <c r="CY73" s="295">
        <f ca="1">IF(ISNUMBER($A68),$E69,KnotenData!$H$3)</f>
        <v>0.47499999999999998</v>
      </c>
      <c r="CZ73" s="295">
        <f ca="1">IF(ISNUMBER($A68),$D69,KnotenData!$H$3)</f>
        <v>0.47499999999999998</v>
      </c>
      <c r="DA73" s="306">
        <f ca="1">IF(ISNUMBER($A68),CN73,KnotenData!$H$3)</f>
        <v>0.47499999999999998</v>
      </c>
      <c r="DB73" s="9">
        <f ca="1">MAX(CN72:DA72)</f>
        <v>0.5</v>
      </c>
      <c r="DC73" s="146">
        <f ca="1">MAX(CN73:DA73)</f>
        <v>0.47499999999999998</v>
      </c>
      <c r="DD73" s="346"/>
      <c r="DE73">
        <v>12</v>
      </c>
      <c r="DF73" s="294" t="s">
        <v>103</v>
      </c>
      <c r="DG73" s="218">
        <f ca="1">IF(ISNUMBER($A68),$D69*(1-DG$1) + $E69*DG$1 + Querkräfte!$D$6*DG71,KnotenData!$H$3)</f>
        <v>0.47499999999999998</v>
      </c>
      <c r="DH73" s="295">
        <f ca="1">IF(ISNUMBER($A68),$D69*(1-DH$1) + $E69*DH$1 + Querkräfte!$D$6*DH71,KnotenData!$H$3)</f>
        <v>0.47499999999999998</v>
      </c>
      <c r="DI73" s="295">
        <f ca="1">IF(ISNUMBER($A68),$D69*(1-DI$1) + $E69*DI$1 + Querkräfte!$D$6*DI71,KnotenData!$H$3)</f>
        <v>0.47499999999999998</v>
      </c>
      <c r="DJ73" s="295">
        <f ca="1">IF(ISNUMBER($A68),$D69*(1-DJ$1) + $E69*DJ$1 + Querkräfte!$D$6*DJ71,KnotenData!$H$3)</f>
        <v>0.47499999999999998</v>
      </c>
      <c r="DK73" s="295">
        <f ca="1">IF(ISNUMBER($A68),$D69*(1-DK$1) + $E69*DK$1 + Querkräfte!$D$6*DK71,KnotenData!$H$3)</f>
        <v>0.47499999999999998</v>
      </c>
      <c r="DL73" s="295">
        <f ca="1">IF(ISNUMBER($A68),$D69*(1-DL$1) + $E69*DL$1 + Querkräfte!$D$6*DL71,KnotenData!$H$3)</f>
        <v>0.47499999999999998</v>
      </c>
      <c r="DM73" s="295">
        <f ca="1">IF(ISNUMBER($A68),$D69*(1-DM$1) + $E69*DM$1 + Querkräfte!$D$6*DM71,KnotenData!$H$3)</f>
        <v>0.47499999999999998</v>
      </c>
      <c r="DN73" s="295">
        <f ca="1">IF(ISNUMBER($A68),$D69*(1-DN$1) + $E69*DN$1 + Querkräfte!$D$6*DN71,KnotenData!$H$3)</f>
        <v>0.47499999999999998</v>
      </c>
      <c r="DO73" s="295">
        <f ca="1">IF(ISNUMBER($A68),$D69*(1-DO$1) + $E69*DO$1 + Querkräfte!$D$6*DO71,KnotenData!$H$3)</f>
        <v>0.47499999999999998</v>
      </c>
      <c r="DP73" s="295">
        <f ca="1">IF(ISNUMBER($A68),$D69*(1-DP$1) + $E69*DP$1 + Querkräfte!$D$6*DP71,KnotenData!$H$3)</f>
        <v>0.47499999999999998</v>
      </c>
      <c r="DQ73" s="295">
        <f ca="1">IF(ISNUMBER($A68),$D69*(1-DQ$1) + $E69*DQ$1 + Querkräfte!$D$6*DQ71,KnotenData!$H$3)</f>
        <v>0.47499999999999998</v>
      </c>
      <c r="DR73" s="295">
        <f ca="1">IF(ISNUMBER($A68),$E69,KnotenData!$H$3)</f>
        <v>0.47499999999999998</v>
      </c>
      <c r="DS73" s="295">
        <f ca="1">IF(ISNUMBER($A68),$D69,KnotenData!$H$3)</f>
        <v>0.47499999999999998</v>
      </c>
      <c r="DT73" s="219">
        <f ca="1">IF(ISNUMBER($A68),DG73,KnotenData!$H$3)</f>
        <v>0.47499999999999998</v>
      </c>
      <c r="DU73" s="11">
        <f ca="1">MAX(DG72:DQ72)</f>
        <v>0.5</v>
      </c>
      <c r="DV73" s="146">
        <f ca="1">MAX(DG73:DQ73)</f>
        <v>0.47499999999999998</v>
      </c>
      <c r="DW73" s="346"/>
      <c r="DX73">
        <v>12</v>
      </c>
      <c r="DY73" s="294" t="s">
        <v>103</v>
      </c>
      <c r="DZ73" s="218">
        <f ca="1">IF(ISNUMBER($A68),$D69*(1-DZ$1) + $E69*DZ$1 + Normalkräfte!$D$6*DZ71,KnotenData!$H$3)</f>
        <v>0.47499999999999998</v>
      </c>
      <c r="EA73" s="295">
        <f ca="1">IF(ISNUMBER($A68),$D69*(1-EA$1) + $E69*EA$1 + Normalkräfte!$D$6*EA71,KnotenData!$H$3)</f>
        <v>0.47499999999999998</v>
      </c>
      <c r="EB73" s="295">
        <f ca="1">IF(ISNUMBER($A68),$D69*(1-EB$1) + $E69*EB$1 + Normalkräfte!$D$6*EB71,KnotenData!$H$3)</f>
        <v>0.47499999999999998</v>
      </c>
      <c r="EC73" s="295">
        <f ca="1">IF(ISNUMBER($A68),$D69*(1-EC$1) + $E69*EC$1 + Normalkräfte!$D$6*EC71,KnotenData!$H$3)</f>
        <v>0.47499999999999998</v>
      </c>
      <c r="ED73" s="295">
        <f ca="1">IF(ISNUMBER($A68),$D69*(1-ED$1) + $E69*ED$1 + Normalkräfte!$D$6*ED71,KnotenData!$H$3)</f>
        <v>0.47499999999999998</v>
      </c>
      <c r="EE73" s="295">
        <f ca="1">IF(ISNUMBER($A68),$D69*(1-EE$1) + $E69*EE$1 + Normalkräfte!$D$6*EE71,KnotenData!$H$3)</f>
        <v>0.47499999999999998</v>
      </c>
      <c r="EF73" s="295">
        <f ca="1">IF(ISNUMBER($A68),$D69*(1-EF$1) + $E69*EF$1 + Normalkräfte!$D$6*EF71,KnotenData!$H$3)</f>
        <v>0.47499999999999998</v>
      </c>
      <c r="EG73" s="295">
        <f ca="1">IF(ISNUMBER($A68),$D69*(1-EG$1) + $E69*EG$1 + Normalkräfte!$D$6*EG71,KnotenData!$H$3)</f>
        <v>0.47499999999999998</v>
      </c>
      <c r="EH73" s="295">
        <f ca="1">IF(ISNUMBER($A68),$D69*(1-EH$1) + $E69*EH$1 + Normalkräfte!$D$6*EH71,KnotenData!$H$3)</f>
        <v>0.47499999999999998</v>
      </c>
      <c r="EI73" s="295">
        <f ca="1">IF(ISNUMBER($A68),$D69*(1-EI$1) + $E69*EI$1 + Normalkräfte!$D$6*EI71,KnotenData!$H$3)</f>
        <v>0.47499999999999998</v>
      </c>
      <c r="EJ73" s="295">
        <f ca="1">IF(ISNUMBER($A68),$D69*(1-EJ$1) + $E69*EJ$1 + Normalkräfte!$D$6*EJ71,KnotenData!$H$3)</f>
        <v>0.47499999999999998</v>
      </c>
      <c r="EK73" s="295">
        <f ca="1">IF(ISNUMBER($A68),$E69,KnotenData!$H$3)</f>
        <v>0.47499999999999998</v>
      </c>
      <c r="EL73" s="295">
        <f ca="1">IF(ISNUMBER($A68),$D69,KnotenData!$H$3)</f>
        <v>0.47499999999999998</v>
      </c>
      <c r="EM73" s="219">
        <f ca="1">IF(ISNUMBER($A68),DZ73,KnotenData!$H$3)</f>
        <v>0.47499999999999998</v>
      </c>
      <c r="EN73" s="9">
        <f ca="1">MAX(DZ72:EJ72)</f>
        <v>0.5</v>
      </c>
      <c r="EO73" s="146">
        <f ca="1">MAX(DZ73:EJ73)</f>
        <v>0.47499999999999998</v>
      </c>
      <c r="EP73" s="346"/>
    </row>
    <row r="74" spans="1:146" x14ac:dyDescent="0.2">
      <c r="A74" s="205" t="str">
        <f ca="1">IF(ISNUMBER(INDIRECT("System!C" &amp;(ROW(A74)+4)/6+1)),INDIRECT("System!B"&amp;(ROW(A74)+4)/6+1),"")</f>
        <v/>
      </c>
      <c r="B74" s="206">
        <f ca="1">IF(ISNUMBER(A74),INDIRECT("System!" &amp; ADDRESS(A74 +1,COLUMN(System!E73))),0)</f>
        <v>0</v>
      </c>
      <c r="C74" s="206">
        <f ca="1">IF(ISNUMBER(A74),INDIRECT("System!" &amp; ADDRESS(A74 +1,COLUMN(System!F73))),0)</f>
        <v>0</v>
      </c>
      <c r="D74" s="209">
        <f ca="1">IF(ISNUMBER(A74),INDIRECT("System!" &amp; ADDRESS(A74 +1,COLUMN(System!O73))),0)</f>
        <v>0</v>
      </c>
      <c r="E74" s="208" t="str">
        <f ca="1">IF(ISNUMBER(A74),INDIRECT("System!" &amp; ADDRESS(A74 +1,COLUMN(System!G73))),"")</f>
        <v/>
      </c>
      <c r="F74" s="208" t="str">
        <f ca="1">IF(ISNUMBER(A74),INDIRECT("System!" &amp; ADDRESS(A74 +1,COLUMN(System!H73))),"")</f>
        <v/>
      </c>
      <c r="G74" s="261" t="str">
        <f ca="1">IF(ISNUMBER(A74),INDIRECT("System!" &amp; ADDRESS(A74 +1,COLUMN(System!I73))),"")</f>
        <v/>
      </c>
      <c r="H74" s="207">
        <f ca="1">IF(ISNUMBER($A74),INDIRECT("System!" &amp; ADDRESS($A74 +1,COLUMN(System!Q73))),0)</f>
        <v>0</v>
      </c>
      <c r="I74" s="207">
        <f ca="1">IF(ISNUMBER($A74),INDIRECT("System!" &amp; ADDRESS($A74 +1,COLUMN(System!R73))),0)</f>
        <v>0</v>
      </c>
      <c r="J74" s="179">
        <f ca="1">IF(ISNUMBER(A74),C74/D74,0)</f>
        <v>0</v>
      </c>
      <c r="K74" s="5">
        <v>0</v>
      </c>
      <c r="L74" s="6">
        <v>0</v>
      </c>
      <c r="M74" s="4">
        <f ca="1">-J74</f>
        <v>0</v>
      </c>
      <c r="N74" s="5">
        <v>0</v>
      </c>
      <c r="O74" s="6">
        <v>0</v>
      </c>
      <c r="P74" s="141">
        <f ca="1">I74</f>
        <v>0</v>
      </c>
      <c r="Q74" s="142">
        <f ca="1">-H74</f>
        <v>0</v>
      </c>
      <c r="R74" s="142">
        <v>0</v>
      </c>
      <c r="S74" s="182">
        <v>0</v>
      </c>
      <c r="T74" s="182">
        <v>0</v>
      </c>
      <c r="U74" s="183">
        <v>0</v>
      </c>
      <c r="V74" s="179">
        <f t="array" aca="1" ref="V74:AA79" ca="1">MMULT(TRANSPOSE(P74:U79),MMULT(J74:O79,P74:U79))</f>
        <v>0</v>
      </c>
      <c r="W74" s="5">
        <f ca="1"/>
        <v>0</v>
      </c>
      <c r="X74" s="6">
        <f ca="1"/>
        <v>0</v>
      </c>
      <c r="Y74" s="4">
        <f ca="1"/>
        <v>0</v>
      </c>
      <c r="Z74" s="5">
        <f ca="1"/>
        <v>0</v>
      </c>
      <c r="AA74" s="6">
        <f ca="1"/>
        <v>0</v>
      </c>
      <c r="AB74" s="60">
        <f ca="1">IF(ISNUMBER($A74),INDIRECT("System!" &amp; ADDRESS(A74+1,COLUMN(System!S73))),0)</f>
        <v>0</v>
      </c>
      <c r="AC74" s="299">
        <f ca="1">IF(ISNUMBER(E74),E74*D74/2,0)</f>
        <v>0</v>
      </c>
      <c r="AD74" s="60">
        <f t="array" aca="1" ref="AD74:AD79" ca="1">MMULT(TRANSPOSE(P74:U79),AC74:AC79) - MMULT(V74:AA79,AB74:AB79)</f>
        <v>0</v>
      </c>
      <c r="AE74" s="4">
        <f t="shared" ref="AE74:BR74" ca="1" si="135">IF(ABS($B76)=AE$1,SIGN($B76),0)</f>
        <v>0</v>
      </c>
      <c r="AF74" s="5">
        <f t="shared" ca="1" si="135"/>
        <v>0</v>
      </c>
      <c r="AG74" s="5">
        <f t="shared" ca="1" si="135"/>
        <v>0</v>
      </c>
      <c r="AH74" s="5">
        <f t="shared" ca="1" si="135"/>
        <v>0</v>
      </c>
      <c r="AI74" s="5">
        <f t="shared" ca="1" si="135"/>
        <v>0</v>
      </c>
      <c r="AJ74" s="189">
        <f t="shared" ca="1" si="135"/>
        <v>0</v>
      </c>
      <c r="AK74" s="189">
        <f t="shared" ca="1" si="135"/>
        <v>0</v>
      </c>
      <c r="AL74" s="189">
        <f t="shared" ca="1" si="135"/>
        <v>0</v>
      </c>
      <c r="AM74" s="189">
        <f t="shared" ca="1" si="135"/>
        <v>0</v>
      </c>
      <c r="AN74" s="189">
        <f t="shared" ca="1" si="135"/>
        <v>0</v>
      </c>
      <c r="AO74" s="189">
        <f t="shared" ca="1" si="135"/>
        <v>0</v>
      </c>
      <c r="AP74" s="189">
        <f t="shared" ca="1" si="135"/>
        <v>0</v>
      </c>
      <c r="AQ74" s="189">
        <f t="shared" ca="1" si="135"/>
        <v>0</v>
      </c>
      <c r="AR74" s="189">
        <f t="shared" ca="1" si="135"/>
        <v>0</v>
      </c>
      <c r="AS74" s="189">
        <f t="shared" ca="1" si="135"/>
        <v>0</v>
      </c>
      <c r="AT74" s="189">
        <f t="shared" ca="1" si="135"/>
        <v>0</v>
      </c>
      <c r="AU74" s="189">
        <f t="shared" ca="1" si="135"/>
        <v>0</v>
      </c>
      <c r="AV74" s="189">
        <f t="shared" ca="1" si="135"/>
        <v>0</v>
      </c>
      <c r="AW74" s="189">
        <f t="shared" ca="1" si="135"/>
        <v>0</v>
      </c>
      <c r="AX74" s="189">
        <f t="shared" ca="1" si="135"/>
        <v>0</v>
      </c>
      <c r="AY74" s="189">
        <f t="shared" ca="1" si="135"/>
        <v>0</v>
      </c>
      <c r="AZ74" s="189">
        <f t="shared" ca="1" si="135"/>
        <v>0</v>
      </c>
      <c r="BA74" s="189">
        <f t="shared" ca="1" si="135"/>
        <v>0</v>
      </c>
      <c r="BB74" s="189">
        <f t="shared" ca="1" si="135"/>
        <v>0</v>
      </c>
      <c r="BC74" s="189">
        <f t="shared" ca="1" si="135"/>
        <v>0</v>
      </c>
      <c r="BD74" s="189">
        <f t="shared" ca="1" si="135"/>
        <v>0</v>
      </c>
      <c r="BE74" s="189">
        <f t="shared" ca="1" si="135"/>
        <v>0</v>
      </c>
      <c r="BF74" s="189">
        <f t="shared" ca="1" si="135"/>
        <v>0</v>
      </c>
      <c r="BG74" s="189">
        <f t="shared" ca="1" si="135"/>
        <v>0</v>
      </c>
      <c r="BH74" s="189">
        <f t="shared" ca="1" si="135"/>
        <v>0</v>
      </c>
      <c r="BI74" s="189">
        <f t="shared" ca="1" si="135"/>
        <v>0</v>
      </c>
      <c r="BJ74" s="189">
        <f t="shared" ca="1" si="135"/>
        <v>0</v>
      </c>
      <c r="BK74" s="189">
        <f t="shared" ca="1" si="135"/>
        <v>0</v>
      </c>
      <c r="BL74" s="189">
        <f t="shared" ca="1" si="135"/>
        <v>0</v>
      </c>
      <c r="BM74" s="189">
        <f t="shared" ca="1" si="135"/>
        <v>0</v>
      </c>
      <c r="BN74" s="189">
        <f t="shared" ca="1" si="135"/>
        <v>0</v>
      </c>
      <c r="BO74" s="189">
        <f t="shared" ca="1" si="135"/>
        <v>0</v>
      </c>
      <c r="BP74" s="189">
        <f t="shared" ca="1" si="135"/>
        <v>0</v>
      </c>
      <c r="BQ74" s="189">
        <f t="shared" ca="1" si="135"/>
        <v>0</v>
      </c>
      <c r="BR74" s="189">
        <f t="shared" ca="1" si="135"/>
        <v>0</v>
      </c>
      <c r="BS74" s="281">
        <f ca="1">IF(ISNUMBER($A74),IF(INDEX(B76:G76,1)&lt;&gt;0,SIGN(INDEX(B76:G76,1))*INDIRECT(ADDRESS(1+ABS(INDEX(B76:G76,1)),COLUMN(Ksys!$B$1),1,TRUE,"Ksys")),0)+AB74,0)</f>
        <v>0</v>
      </c>
      <c r="BT74" s="27">
        <f t="array" aca="1" ref="BT74:BT79" ca="1">MMULT(P74:U79,BS74:BS79)</f>
        <v>0</v>
      </c>
      <c r="BU74" s="27">
        <f t="array" aca="1" ref="BU74:BU79" ca="1">MMULT(J74:O79,BT74:BT79)-AC74:AC79</f>
        <v>0</v>
      </c>
      <c r="BV74" s="27">
        <f t="array" aca="1" ref="BV74:BV76" ca="1">-(MMULT(J74:O76,BT74:BT79)-AC74:AC76)</f>
        <v>0</v>
      </c>
      <c r="BW74" s="290" t="s">
        <v>97</v>
      </c>
      <c r="BX74" s="4">
        <f t="shared" ref="BX74:CH74" ca="1" si="136">IF(ISNUMBER($A74),$BT74*(1-BX$1) + $BT77*BX$1,0)</f>
        <v>0</v>
      </c>
      <c r="BY74" s="5">
        <f t="shared" ca="1" si="136"/>
        <v>0</v>
      </c>
      <c r="BZ74" s="5">
        <f t="shared" ca="1" si="136"/>
        <v>0</v>
      </c>
      <c r="CA74" s="5">
        <f t="shared" ca="1" si="136"/>
        <v>0</v>
      </c>
      <c r="CB74" s="5">
        <f t="shared" ca="1" si="136"/>
        <v>0</v>
      </c>
      <c r="CC74" s="5">
        <f t="shared" ca="1" si="136"/>
        <v>0</v>
      </c>
      <c r="CD74" s="5">
        <f t="shared" ca="1" si="136"/>
        <v>0</v>
      </c>
      <c r="CE74" s="5">
        <f t="shared" ca="1" si="136"/>
        <v>0</v>
      </c>
      <c r="CF74" s="5">
        <f t="shared" ca="1" si="136"/>
        <v>0</v>
      </c>
      <c r="CG74" s="5">
        <f t="shared" ca="1" si="136"/>
        <v>0</v>
      </c>
      <c r="CH74" s="6">
        <f t="shared" ca="1" si="136"/>
        <v>0</v>
      </c>
      <c r="CI74" s="343"/>
      <c r="CJ74" s="343"/>
      <c r="CK74" s="308"/>
      <c r="CM74" s="290" t="s">
        <v>97</v>
      </c>
      <c r="CN74" s="4">
        <v>0</v>
      </c>
      <c r="CO74" s="5">
        <v>0</v>
      </c>
      <c r="CP74" s="5">
        <v>0</v>
      </c>
      <c r="CQ74" s="5">
        <v>0</v>
      </c>
      <c r="CR74" s="5">
        <v>0</v>
      </c>
      <c r="CS74" s="5">
        <v>0</v>
      </c>
      <c r="CT74" s="5">
        <v>0</v>
      </c>
      <c r="CU74" s="5">
        <v>0</v>
      </c>
      <c r="CV74" s="5">
        <v>0</v>
      </c>
      <c r="CW74" s="5">
        <v>0</v>
      </c>
      <c r="CX74" s="5">
        <v>0</v>
      </c>
      <c r="CY74" s="5"/>
      <c r="CZ74" s="5"/>
      <c r="DA74" s="189"/>
      <c r="DB74" s="307"/>
      <c r="DC74" s="308"/>
      <c r="DD74" s="343"/>
      <c r="DF74" s="290" t="s">
        <v>97</v>
      </c>
      <c r="DG74" s="4">
        <v>0</v>
      </c>
      <c r="DH74" s="5">
        <v>0</v>
      </c>
      <c r="DI74" s="5">
        <v>0</v>
      </c>
      <c r="DJ74" s="5">
        <v>0</v>
      </c>
      <c r="DK74" s="5">
        <v>0</v>
      </c>
      <c r="DL74" s="5">
        <v>0</v>
      </c>
      <c r="DM74" s="5">
        <v>0</v>
      </c>
      <c r="DN74" s="5">
        <v>0</v>
      </c>
      <c r="DO74" s="5">
        <v>0</v>
      </c>
      <c r="DP74" s="5">
        <v>0</v>
      </c>
      <c r="DQ74" s="5">
        <v>0</v>
      </c>
      <c r="DR74" s="5"/>
      <c r="DS74" s="5"/>
      <c r="DT74" s="6"/>
      <c r="DU74" s="325"/>
      <c r="DV74" s="308"/>
      <c r="DW74" s="343"/>
      <c r="DY74" s="290" t="s">
        <v>97</v>
      </c>
      <c r="DZ74" s="4">
        <v>0</v>
      </c>
      <c r="EA74" s="5">
        <v>0</v>
      </c>
      <c r="EB74" s="5">
        <v>0</v>
      </c>
      <c r="EC74" s="5">
        <v>0</v>
      </c>
      <c r="ED74" s="5">
        <v>0</v>
      </c>
      <c r="EE74" s="5">
        <v>0</v>
      </c>
      <c r="EF74" s="5">
        <v>0</v>
      </c>
      <c r="EG74" s="5">
        <v>0</v>
      </c>
      <c r="EH74" s="5">
        <v>0</v>
      </c>
      <c r="EI74" s="5">
        <v>0</v>
      </c>
      <c r="EJ74" s="5">
        <v>0</v>
      </c>
      <c r="EK74" s="5"/>
      <c r="EL74" s="5"/>
      <c r="EM74" s="6"/>
      <c r="EN74" s="307"/>
      <c r="EO74" s="308"/>
      <c r="EP74" s="343"/>
    </row>
    <row r="75" spans="1:146" x14ac:dyDescent="0.2">
      <c r="B75" s="1">
        <f ca="1">IF(ISNUMBER($A74),INDIRECT(ADDRESS($A74+1,COLUMN(System!K$2),1,TRUE,"System")),0)</f>
        <v>0</v>
      </c>
      <c r="C75" s="1">
        <f ca="1">IF(ISNUMBER($A74),INDIRECT(ADDRESS($A74+1,COLUMN(System!L$2),1,TRUE,"System")),0)</f>
        <v>0</v>
      </c>
      <c r="D75" s="1">
        <f ca="1">IF(ISNUMBER($A74),INDIRECT(ADDRESS($A74+1,COLUMN(System!M$2),1,TRUE,"System")),0)</f>
        <v>0</v>
      </c>
      <c r="E75" s="1">
        <f ca="1">IF(ISNUMBER($A74),INDIRECT(ADDRESS($A74+1,COLUMN(System!N$2),1,TRUE,"System")),0)</f>
        <v>0</v>
      </c>
      <c r="F75" s="12"/>
      <c r="J75" s="7">
        <v>0</v>
      </c>
      <c r="K75" s="180">
        <f ca="1">IF(G74=1,12*B74/D74^3,IF(G74="2a",3*B74/D74^3,IF(G74="2b",3*B74/D74^3,0)))</f>
        <v>0</v>
      </c>
      <c r="L75" s="8">
        <f ca="1">K76</f>
        <v>0</v>
      </c>
      <c r="M75" s="7">
        <v>0</v>
      </c>
      <c r="N75" s="1">
        <f ca="1">-K75</f>
        <v>0</v>
      </c>
      <c r="O75" s="8">
        <f ca="1">K79</f>
        <v>0</v>
      </c>
      <c r="P75" s="143">
        <f ca="1">H74</f>
        <v>0</v>
      </c>
      <c r="Q75" s="99">
        <f ca="1">I74</f>
        <v>0</v>
      </c>
      <c r="R75" s="99">
        <v>0</v>
      </c>
      <c r="S75" s="101">
        <v>0</v>
      </c>
      <c r="T75" s="101">
        <v>0</v>
      </c>
      <c r="U75" s="110">
        <v>0</v>
      </c>
      <c r="V75" s="7">
        <f ca="1"/>
        <v>0</v>
      </c>
      <c r="W75" s="180">
        <f ca="1"/>
        <v>0</v>
      </c>
      <c r="X75" s="8">
        <f ca="1"/>
        <v>0</v>
      </c>
      <c r="Y75" s="7">
        <f ca="1"/>
        <v>0</v>
      </c>
      <c r="Z75" s="1">
        <f ca="1"/>
        <v>0</v>
      </c>
      <c r="AA75" s="8">
        <f ca="1"/>
        <v>0</v>
      </c>
      <c r="AB75" s="61">
        <f ca="1">IF(ISNUMBER($A74),INDIRECT("System!" &amp; ADDRESS(A74+1,COLUMN(System!T73))),0)</f>
        <v>0</v>
      </c>
      <c r="AC75" s="301">
        <f ca="1">IF(G74=1,F74*D74/2,IF(G74="2a",F74*3/8*D74,IF(G74="2b",F74*5/8*D74,0)))</f>
        <v>0</v>
      </c>
      <c r="AD75" s="61">
        <f ca="1"/>
        <v>0</v>
      </c>
      <c r="AE75" s="7">
        <f t="shared" ref="AE75:BR75" ca="1" si="137">IF(ABS($C76)=AE$1,SIGN($C76),0)</f>
        <v>0</v>
      </c>
      <c r="AF75" s="1">
        <f t="shared" ca="1" si="137"/>
        <v>0</v>
      </c>
      <c r="AG75" s="1">
        <f t="shared" ca="1" si="137"/>
        <v>0</v>
      </c>
      <c r="AH75" s="1">
        <f t="shared" ca="1" si="137"/>
        <v>0</v>
      </c>
      <c r="AI75" s="1">
        <f t="shared" ca="1" si="137"/>
        <v>0</v>
      </c>
      <c r="AJ75" s="26">
        <f t="shared" ca="1" si="137"/>
        <v>0</v>
      </c>
      <c r="AK75" s="26">
        <f t="shared" ca="1" si="137"/>
        <v>0</v>
      </c>
      <c r="AL75" s="26">
        <f t="shared" ca="1" si="137"/>
        <v>0</v>
      </c>
      <c r="AM75" s="26">
        <f t="shared" ca="1" si="137"/>
        <v>0</v>
      </c>
      <c r="AN75" s="26">
        <f t="shared" ca="1" si="137"/>
        <v>0</v>
      </c>
      <c r="AO75" s="26">
        <f t="shared" ca="1" si="137"/>
        <v>0</v>
      </c>
      <c r="AP75" s="26">
        <f t="shared" ca="1" si="137"/>
        <v>0</v>
      </c>
      <c r="AQ75" s="26">
        <f t="shared" ca="1" si="137"/>
        <v>0</v>
      </c>
      <c r="AR75" s="26">
        <f t="shared" ca="1" si="137"/>
        <v>0</v>
      </c>
      <c r="AS75" s="26">
        <f t="shared" ca="1" si="137"/>
        <v>0</v>
      </c>
      <c r="AT75" s="26">
        <f t="shared" ca="1" si="137"/>
        <v>0</v>
      </c>
      <c r="AU75" s="26">
        <f t="shared" ca="1" si="137"/>
        <v>0</v>
      </c>
      <c r="AV75" s="26">
        <f t="shared" ca="1" si="137"/>
        <v>0</v>
      </c>
      <c r="AW75" s="26">
        <f t="shared" ca="1" si="137"/>
        <v>0</v>
      </c>
      <c r="AX75" s="26">
        <f t="shared" ca="1" si="137"/>
        <v>0</v>
      </c>
      <c r="AY75" s="26">
        <f t="shared" ca="1" si="137"/>
        <v>0</v>
      </c>
      <c r="AZ75" s="26">
        <f t="shared" ca="1" si="137"/>
        <v>0</v>
      </c>
      <c r="BA75" s="26">
        <f t="shared" ca="1" si="137"/>
        <v>0</v>
      </c>
      <c r="BB75" s="26">
        <f t="shared" ca="1" si="137"/>
        <v>0</v>
      </c>
      <c r="BC75" s="26">
        <f t="shared" ca="1" si="137"/>
        <v>0</v>
      </c>
      <c r="BD75" s="26">
        <f t="shared" ca="1" si="137"/>
        <v>0</v>
      </c>
      <c r="BE75" s="26">
        <f t="shared" ca="1" si="137"/>
        <v>0</v>
      </c>
      <c r="BF75" s="26">
        <f t="shared" ca="1" si="137"/>
        <v>0</v>
      </c>
      <c r="BG75" s="26">
        <f t="shared" ca="1" si="137"/>
        <v>0</v>
      </c>
      <c r="BH75" s="26">
        <f t="shared" ca="1" si="137"/>
        <v>0</v>
      </c>
      <c r="BI75" s="26">
        <f t="shared" ca="1" si="137"/>
        <v>0</v>
      </c>
      <c r="BJ75" s="26">
        <f t="shared" ca="1" si="137"/>
        <v>0</v>
      </c>
      <c r="BK75" s="26">
        <f t="shared" ca="1" si="137"/>
        <v>0</v>
      </c>
      <c r="BL75" s="26">
        <f t="shared" ca="1" si="137"/>
        <v>0</v>
      </c>
      <c r="BM75" s="26">
        <f t="shared" ca="1" si="137"/>
        <v>0</v>
      </c>
      <c r="BN75" s="26">
        <f t="shared" ca="1" si="137"/>
        <v>0</v>
      </c>
      <c r="BO75" s="26">
        <f t="shared" ca="1" si="137"/>
        <v>0</v>
      </c>
      <c r="BP75" s="26">
        <f t="shared" ca="1" si="137"/>
        <v>0</v>
      </c>
      <c r="BQ75" s="26">
        <f t="shared" ca="1" si="137"/>
        <v>0</v>
      </c>
      <c r="BR75" s="26">
        <f t="shared" ca="1" si="137"/>
        <v>0</v>
      </c>
      <c r="BS75" s="282">
        <f ca="1">IF(ISNUMBER($A74),IF(INDEX(B76:G76,2)&lt;&gt;0,SIGN(INDEX(B76:G76,2))*INDIRECT(ADDRESS(1+ABS(INDEX(B76:G76,2)),COLUMN(Ksys!$B$1),1,TRUE,"Ksys")),0)+AB75,0)</f>
        <v>0</v>
      </c>
      <c r="BT75" s="284">
        <f ca="1"/>
        <v>0</v>
      </c>
      <c r="BU75" s="284">
        <f ca="1"/>
        <v>0</v>
      </c>
      <c r="BV75" s="284">
        <f ca="1"/>
        <v>0</v>
      </c>
      <c r="BW75" s="291" t="s">
        <v>100</v>
      </c>
      <c r="BX75" s="272">
        <f t="shared" ref="BX75:CH75" ca="1" si="138" xml:space="preserve">  IF(ISNUMBER($A74),$BT75*(1-BX$1) + $BT78*BX$1 + ((1-BX$1)-(1-BX$1)^3)*$D74^2/6*$BV76/$B74 + (BX$1-(BX$1)^3)*$D74^2/6*$BV79/$B74 + (BX$1-2*(BX$1)^3+(BX$1)^4)*$D74^2/3*$F74*$D74^2/8/$B74,0)</f>
        <v>0</v>
      </c>
      <c r="BY75" s="173">
        <f t="shared" ca="1" si="138"/>
        <v>0</v>
      </c>
      <c r="BZ75" s="173">
        <f t="shared" ca="1" si="138"/>
        <v>0</v>
      </c>
      <c r="CA75" s="173">
        <f t="shared" ca="1" si="138"/>
        <v>0</v>
      </c>
      <c r="CB75" s="173">
        <f t="shared" ca="1" si="138"/>
        <v>0</v>
      </c>
      <c r="CC75" s="173">
        <f t="shared" ca="1" si="138"/>
        <v>0</v>
      </c>
      <c r="CD75" s="173">
        <f t="shared" ca="1" si="138"/>
        <v>0</v>
      </c>
      <c r="CE75" s="173">
        <f t="shared" ca="1" si="138"/>
        <v>0</v>
      </c>
      <c r="CF75" s="173">
        <f t="shared" ca="1" si="138"/>
        <v>0</v>
      </c>
      <c r="CG75" s="173">
        <f t="shared" ca="1" si="138"/>
        <v>0</v>
      </c>
      <c r="CH75" s="289">
        <f t="shared" ca="1" si="138"/>
        <v>0</v>
      </c>
      <c r="CI75" s="344"/>
      <c r="CJ75" s="344"/>
      <c r="CK75" s="312"/>
      <c r="CM75" s="291" t="s">
        <v>100</v>
      </c>
      <c r="CN75" s="7">
        <f t="shared" ref="CN75:CX75" ca="1" si="139" xml:space="preserve">  IF(ISNUMBER($A74),$BV76*(1-CN$1) + $BV79*CN$1  + CN$1*(1-CN$1)*$F74*$D74^2/2,0)</f>
        <v>0</v>
      </c>
      <c r="CO75" s="1">
        <f t="shared" ca="1" si="139"/>
        <v>0</v>
      </c>
      <c r="CP75" s="1">
        <f t="shared" ca="1" si="139"/>
        <v>0</v>
      </c>
      <c r="CQ75" s="1">
        <f t="shared" ca="1" si="139"/>
        <v>0</v>
      </c>
      <c r="CR75" s="1">
        <f t="shared" ca="1" si="139"/>
        <v>0</v>
      </c>
      <c r="CS75" s="1">
        <f t="shared" ca="1" si="139"/>
        <v>0</v>
      </c>
      <c r="CT75" s="1">
        <f t="shared" ca="1" si="139"/>
        <v>0</v>
      </c>
      <c r="CU75" s="1">
        <f t="shared" ca="1" si="139"/>
        <v>0</v>
      </c>
      <c r="CV75" s="1">
        <f t="shared" ca="1" si="139"/>
        <v>0</v>
      </c>
      <c r="CW75" s="1">
        <f t="shared" ca="1" si="139"/>
        <v>0</v>
      </c>
      <c r="CX75" s="1">
        <f t="shared" ca="1" si="139"/>
        <v>0</v>
      </c>
      <c r="CY75" s="1"/>
      <c r="CZ75" s="1"/>
      <c r="DA75" s="26"/>
      <c r="DB75" s="309"/>
      <c r="DC75" s="310"/>
      <c r="DD75" s="345"/>
      <c r="DF75" s="291" t="s">
        <v>100</v>
      </c>
      <c r="DG75" s="7">
        <f t="shared" ref="DG75:DQ75" ca="1" si="140" xml:space="preserve">  IF(ISNUMBER($A74),$BV75*(1-DG$1) + $BV78*DG$1,0)</f>
        <v>0</v>
      </c>
      <c r="DH75" s="1">
        <f t="shared" ca="1" si="140"/>
        <v>0</v>
      </c>
      <c r="DI75" s="1">
        <f t="shared" ca="1" si="140"/>
        <v>0</v>
      </c>
      <c r="DJ75" s="1">
        <f t="shared" ca="1" si="140"/>
        <v>0</v>
      </c>
      <c r="DK75" s="1">
        <f t="shared" ca="1" si="140"/>
        <v>0</v>
      </c>
      <c r="DL75" s="1">
        <f t="shared" ca="1" si="140"/>
        <v>0</v>
      </c>
      <c r="DM75" s="1">
        <f t="shared" ca="1" si="140"/>
        <v>0</v>
      </c>
      <c r="DN75" s="1">
        <f t="shared" ca="1" si="140"/>
        <v>0</v>
      </c>
      <c r="DO75" s="1">
        <f t="shared" ca="1" si="140"/>
        <v>0</v>
      </c>
      <c r="DP75" s="1">
        <f t="shared" ca="1" si="140"/>
        <v>0</v>
      </c>
      <c r="DQ75" s="1">
        <f t="shared" ca="1" si="140"/>
        <v>0</v>
      </c>
      <c r="DR75" s="1"/>
      <c r="DS75" s="1"/>
      <c r="DT75" s="8"/>
      <c r="DU75" s="12"/>
      <c r="DV75" s="310"/>
      <c r="DW75" s="345"/>
      <c r="DY75" s="291" t="s">
        <v>100</v>
      </c>
      <c r="DZ75" s="7">
        <f t="shared" ref="DZ75:EJ75" ca="1" si="141" xml:space="preserve">  IF(ISNUMBER($A74),$BV74*(1-DZ$1) + $BV77*DZ$1,0)</f>
        <v>0</v>
      </c>
      <c r="EA75" s="1">
        <f t="shared" ca="1" si="141"/>
        <v>0</v>
      </c>
      <c r="EB75" s="1">
        <f t="shared" ca="1" si="141"/>
        <v>0</v>
      </c>
      <c r="EC75" s="1">
        <f t="shared" ca="1" si="141"/>
        <v>0</v>
      </c>
      <c r="ED75" s="1">
        <f t="shared" ca="1" si="141"/>
        <v>0</v>
      </c>
      <c r="EE75" s="1">
        <f t="shared" ca="1" si="141"/>
        <v>0</v>
      </c>
      <c r="EF75" s="1">
        <f t="shared" ca="1" si="141"/>
        <v>0</v>
      </c>
      <c r="EG75" s="1">
        <f t="shared" ca="1" si="141"/>
        <v>0</v>
      </c>
      <c r="EH75" s="1">
        <f t="shared" ca="1" si="141"/>
        <v>0</v>
      </c>
      <c r="EI75" s="1">
        <f t="shared" ca="1" si="141"/>
        <v>0</v>
      </c>
      <c r="EJ75" s="1">
        <f t="shared" ca="1" si="141"/>
        <v>0</v>
      </c>
      <c r="EK75" s="1"/>
      <c r="EL75" s="1"/>
      <c r="EM75" s="8"/>
      <c r="EN75" s="309"/>
      <c r="EO75" s="310"/>
      <c r="EP75" s="345"/>
    </row>
    <row r="76" spans="1:146" ht="13.5" thickBot="1" x14ac:dyDescent="0.25">
      <c r="B76" s="1">
        <f ca="1">IF(ISNUMBER($A74),INDIRECT("System!" &amp; ADDRESS($A74 +1,COLUMN(System!Y73))),0)</f>
        <v>0</v>
      </c>
      <c r="C76" s="1">
        <f ca="1">IF(ISNUMBER($A74),INDIRECT("System!" &amp; ADDRESS($A74 +1,COLUMN(System!Z73))),0)</f>
        <v>0</v>
      </c>
      <c r="D76" s="1">
        <f ca="1">IF(ISNUMBER($A74),INDIRECT("System!" &amp; ADDRESS($A74 +1,COLUMN(System!AA73))),0)</f>
        <v>0</v>
      </c>
      <c r="E76" s="1">
        <f ca="1">IF(ISNUMBER($A74),INDIRECT("System!" &amp; ADDRESS($A74 +1,COLUMN(System!AB73))),0)</f>
        <v>0</v>
      </c>
      <c r="F76" s="1">
        <f ca="1">IF(ISNUMBER($A74),INDIRECT("System!" &amp; ADDRESS($A74 +1,COLUMN(System!AC73))),0)</f>
        <v>0</v>
      </c>
      <c r="G76" s="1">
        <f ca="1">IF(ISNUMBER($A74),INDIRECT("System!" &amp; ADDRESS($A74 +1,COLUMN(System!AD73))),0)</f>
        <v>0</v>
      </c>
      <c r="J76" s="9">
        <v>0</v>
      </c>
      <c r="K76" s="10">
        <f ca="1">IF(G74=1,-6*B74/D74^2,IF(G74="2a",0,IF(G74="2b",-3*B74/D74^2,0)))</f>
        <v>0</v>
      </c>
      <c r="L76" s="181">
        <f ca="1">IF(G74=1,4*B74/D74,IF(G74="2a",0,IF(G74="2b",3*B74/D74,0)))</f>
        <v>0</v>
      </c>
      <c r="M76" s="9">
        <v>0</v>
      </c>
      <c r="N76" s="10">
        <f ca="1">L78</f>
        <v>0</v>
      </c>
      <c r="O76" s="146">
        <f ca="1">L79</f>
        <v>0</v>
      </c>
      <c r="P76" s="143">
        <v>0</v>
      </c>
      <c r="Q76" s="99">
        <v>0</v>
      </c>
      <c r="R76" s="99">
        <v>1</v>
      </c>
      <c r="S76" s="101">
        <v>0</v>
      </c>
      <c r="T76" s="101">
        <v>0</v>
      </c>
      <c r="U76" s="110">
        <v>0</v>
      </c>
      <c r="V76" s="9">
        <f ca="1"/>
        <v>0</v>
      </c>
      <c r="W76" s="10">
        <f ca="1"/>
        <v>0</v>
      </c>
      <c r="X76" s="181">
        <f ca="1"/>
        <v>0</v>
      </c>
      <c r="Y76" s="9">
        <f ca="1"/>
        <v>0</v>
      </c>
      <c r="Z76" s="10">
        <f ca="1"/>
        <v>0</v>
      </c>
      <c r="AA76" s="146">
        <f ca="1"/>
        <v>0</v>
      </c>
      <c r="AB76" s="61">
        <f ca="1">IF(ISNUMBER($A74),INDIRECT("System!" &amp; ADDRESS(A74+1,COLUMN(System!U73))),0)</f>
        <v>0</v>
      </c>
      <c r="AC76" s="301">
        <f ca="1">IF(G74=1,-F74*D74^2/12,IF(G74="2a",0,IF(G74="2b",-F74*D74^2/8,0)))</f>
        <v>0</v>
      </c>
      <c r="AD76" s="61">
        <f ca="1"/>
        <v>0</v>
      </c>
      <c r="AE76" s="7">
        <f t="shared" ref="AE76:BR76" ca="1" si="142">IF(ABS($D76)=AE$1,SIGN($D76),0)</f>
        <v>0</v>
      </c>
      <c r="AF76" s="1">
        <f t="shared" ca="1" si="142"/>
        <v>0</v>
      </c>
      <c r="AG76" s="1">
        <f t="shared" ca="1" si="142"/>
        <v>0</v>
      </c>
      <c r="AH76" s="1">
        <f t="shared" ca="1" si="142"/>
        <v>0</v>
      </c>
      <c r="AI76" s="1">
        <f t="shared" ca="1" si="142"/>
        <v>0</v>
      </c>
      <c r="AJ76" s="26">
        <f t="shared" ca="1" si="142"/>
        <v>0</v>
      </c>
      <c r="AK76" s="26">
        <f t="shared" ca="1" si="142"/>
        <v>0</v>
      </c>
      <c r="AL76" s="26">
        <f t="shared" ca="1" si="142"/>
        <v>0</v>
      </c>
      <c r="AM76" s="26">
        <f t="shared" ca="1" si="142"/>
        <v>0</v>
      </c>
      <c r="AN76" s="26">
        <f t="shared" ca="1" si="142"/>
        <v>0</v>
      </c>
      <c r="AO76" s="26">
        <f t="shared" ca="1" si="142"/>
        <v>0</v>
      </c>
      <c r="AP76" s="26">
        <f t="shared" ca="1" si="142"/>
        <v>0</v>
      </c>
      <c r="AQ76" s="26">
        <f t="shared" ca="1" si="142"/>
        <v>0</v>
      </c>
      <c r="AR76" s="26">
        <f t="shared" ca="1" si="142"/>
        <v>0</v>
      </c>
      <c r="AS76" s="26">
        <f t="shared" ca="1" si="142"/>
        <v>0</v>
      </c>
      <c r="AT76" s="26">
        <f t="shared" ca="1" si="142"/>
        <v>0</v>
      </c>
      <c r="AU76" s="26">
        <f t="shared" ca="1" si="142"/>
        <v>0</v>
      </c>
      <c r="AV76" s="26">
        <f t="shared" ca="1" si="142"/>
        <v>0</v>
      </c>
      <c r="AW76" s="26">
        <f t="shared" ca="1" si="142"/>
        <v>0</v>
      </c>
      <c r="AX76" s="26">
        <f t="shared" ca="1" si="142"/>
        <v>0</v>
      </c>
      <c r="AY76" s="26">
        <f t="shared" ca="1" si="142"/>
        <v>0</v>
      </c>
      <c r="AZ76" s="26">
        <f t="shared" ca="1" si="142"/>
        <v>0</v>
      </c>
      <c r="BA76" s="26">
        <f t="shared" ca="1" si="142"/>
        <v>0</v>
      </c>
      <c r="BB76" s="26">
        <f t="shared" ca="1" si="142"/>
        <v>0</v>
      </c>
      <c r="BC76" s="26">
        <f t="shared" ca="1" si="142"/>
        <v>0</v>
      </c>
      <c r="BD76" s="26">
        <f t="shared" ca="1" si="142"/>
        <v>0</v>
      </c>
      <c r="BE76" s="26">
        <f t="shared" ca="1" si="142"/>
        <v>0</v>
      </c>
      <c r="BF76" s="26">
        <f t="shared" ca="1" si="142"/>
        <v>0</v>
      </c>
      <c r="BG76" s="26">
        <f t="shared" ca="1" si="142"/>
        <v>0</v>
      </c>
      <c r="BH76" s="26">
        <f t="shared" ca="1" si="142"/>
        <v>0</v>
      </c>
      <c r="BI76" s="26">
        <f t="shared" ca="1" si="142"/>
        <v>0</v>
      </c>
      <c r="BJ76" s="26">
        <f t="shared" ca="1" si="142"/>
        <v>0</v>
      </c>
      <c r="BK76" s="26">
        <f t="shared" ca="1" si="142"/>
        <v>0</v>
      </c>
      <c r="BL76" s="26">
        <f t="shared" ca="1" si="142"/>
        <v>0</v>
      </c>
      <c r="BM76" s="26">
        <f t="shared" ca="1" si="142"/>
        <v>0</v>
      </c>
      <c r="BN76" s="26">
        <f t="shared" ca="1" si="142"/>
        <v>0</v>
      </c>
      <c r="BO76" s="26">
        <f t="shared" ca="1" si="142"/>
        <v>0</v>
      </c>
      <c r="BP76" s="26">
        <f t="shared" ca="1" si="142"/>
        <v>0</v>
      </c>
      <c r="BQ76" s="26">
        <f t="shared" ca="1" si="142"/>
        <v>0</v>
      </c>
      <c r="BR76" s="26">
        <f t="shared" ca="1" si="142"/>
        <v>0</v>
      </c>
      <c r="BS76" s="282">
        <f ca="1">IF(ISNUMBER($A74),IF(INDEX(B76:G76,3)&lt;&gt;0,SIGN(INDEX(B76:G76,3))*INDIRECT(ADDRESS(1+ABS(INDEX(B76:G76,3)),COLUMN(Ksys!$B$1),1,TRUE,"Ksys")),0)+AB76,0)</f>
        <v>0</v>
      </c>
      <c r="BT76" s="284">
        <f ca="1"/>
        <v>0</v>
      </c>
      <c r="BU76" s="284">
        <f ca="1"/>
        <v>0</v>
      </c>
      <c r="BV76" s="284">
        <f ca="1"/>
        <v>0</v>
      </c>
      <c r="BW76" s="291" t="s">
        <v>96</v>
      </c>
      <c r="BX76" s="7">
        <f t="array" aca="1" ref="BX76:BX77" ca="1">IF(ISNUMBER($A74),MMULT(TRANSPOSE($P74:$Q75),BX74:BX75),0)</f>
        <v>0</v>
      </c>
      <c r="BY76" s="1">
        <f t="array" aca="1" ref="BY76:BY77" ca="1">IF(ISNUMBER($A74),MMULT(TRANSPOSE($P74:$Q75),BY74:BY75),0)</f>
        <v>0</v>
      </c>
      <c r="BZ76" s="1">
        <f t="array" aca="1" ref="BZ76:BZ77" ca="1">IF(ISNUMBER($A74),MMULT(TRANSPOSE($P74:$Q75),BZ74:BZ75),0)</f>
        <v>0</v>
      </c>
      <c r="CA76" s="1">
        <f t="array" aca="1" ref="CA76:CA77" ca="1">IF(ISNUMBER($A74),MMULT(TRANSPOSE($P74:$Q75),CA74:CA75),0)</f>
        <v>0</v>
      </c>
      <c r="CB76" s="1">
        <f t="array" aca="1" ref="CB76:CB77" ca="1">IF(ISNUMBER($A74),MMULT(TRANSPOSE($P74:$Q75),CB74:CB75),0)</f>
        <v>0</v>
      </c>
      <c r="CC76" s="1">
        <f t="array" aca="1" ref="CC76:CC77" ca="1">IF(ISNUMBER($A74),MMULT(TRANSPOSE($P74:$Q75),CC74:CC75),0)</f>
        <v>0</v>
      </c>
      <c r="CD76" s="1">
        <f t="array" aca="1" ref="CD76:CD77" ca="1">IF(ISNUMBER($A74),MMULT(TRANSPOSE($P74:$Q75),CD74:CD75),0)</f>
        <v>0</v>
      </c>
      <c r="CE76" s="1">
        <f t="array" aca="1" ref="CE76:CE77" ca="1">IF(ISNUMBER($A74),MMULT(TRANSPOSE($P74:$Q75),CE74:CE75),0)</f>
        <v>0</v>
      </c>
      <c r="CF76" s="1">
        <f t="array" aca="1" ref="CF76:CF77" ca="1">IF(ISNUMBER($A74),MMULT(TRANSPOSE($P74:$Q75),CF74:CF75),0)</f>
        <v>0</v>
      </c>
      <c r="CG76" s="1">
        <f t="array" aca="1" ref="CG76:CG77" ca="1">IF(ISNUMBER($A74),MMULT(TRANSPOSE($P74:$Q75),CG74:CG75),0)</f>
        <v>0</v>
      </c>
      <c r="CH76" s="8">
        <f t="array" aca="1" ref="CH76:CH77" ca="1">IF(ISNUMBER($A74),MMULT(TRANSPOSE($P74:$Q75),CH74:CH75),0)</f>
        <v>0</v>
      </c>
      <c r="CI76" s="345"/>
      <c r="CJ76" s="345"/>
      <c r="CK76" s="444">
        <f ca="1">MAX(MAX(BX76:CH77),ABS(MIN(BX76:CH77)))</f>
        <v>0</v>
      </c>
      <c r="CM76" s="291" t="s">
        <v>96</v>
      </c>
      <c r="CN76" s="7">
        <f t="array" aca="1" ref="CN76:CN77" ca="1">IF(ISNUMBER($A74),MMULT(TRANSPOSE($P74:$Q75),CN74:CN75),0)</f>
        <v>0</v>
      </c>
      <c r="CO76" s="1">
        <f t="array" aca="1" ref="CO76:CO77" ca="1">IF(ISNUMBER($A74),MMULT(TRANSPOSE($P74:$Q75),CO74:CO75),0)</f>
        <v>0</v>
      </c>
      <c r="CP76" s="1">
        <f t="array" aca="1" ref="CP76:CP77" ca="1">IF(ISNUMBER($A74),MMULT(TRANSPOSE($P74:$Q75),CP74:CP75),0)</f>
        <v>0</v>
      </c>
      <c r="CQ76" s="1">
        <f t="array" aca="1" ref="CQ76:CQ77" ca="1">IF(ISNUMBER($A74),MMULT(TRANSPOSE($P74:$Q75),CQ74:CQ75),0)</f>
        <v>0</v>
      </c>
      <c r="CR76" s="1">
        <f t="array" aca="1" ref="CR76:CR77" ca="1">IF(ISNUMBER($A74),MMULT(TRANSPOSE($P74:$Q75),CR74:CR75),0)</f>
        <v>0</v>
      </c>
      <c r="CS76" s="1">
        <f t="array" aca="1" ref="CS76:CS77" ca="1">IF(ISNUMBER($A74),MMULT(TRANSPOSE($P74:$Q75),CS74:CS75),0)</f>
        <v>0</v>
      </c>
      <c r="CT76" s="1">
        <f t="array" aca="1" ref="CT76:CT77" ca="1">IF(ISNUMBER($A74),MMULT(TRANSPOSE($P74:$Q75),CT74:CT75),0)</f>
        <v>0</v>
      </c>
      <c r="CU76" s="1">
        <f t="array" aca="1" ref="CU76:CU77" ca="1">IF(ISNUMBER($A74),MMULT(TRANSPOSE($P74:$Q75),CU74:CU75),0)</f>
        <v>0</v>
      </c>
      <c r="CV76" s="1">
        <f t="array" aca="1" ref="CV76:CV77" ca="1">IF(ISNUMBER($A74),MMULT(TRANSPOSE($P74:$Q75),CV74:CV75),0)</f>
        <v>0</v>
      </c>
      <c r="CW76" s="1">
        <f t="array" aca="1" ref="CW76:CW77" ca="1">IF(ISNUMBER($A74),MMULT(TRANSPOSE($P74:$Q75),CW74:CW75),0)</f>
        <v>0</v>
      </c>
      <c r="CX76" s="1">
        <f t="array" aca="1" ref="CX76:CX77" ca="1">IF(ISNUMBER($A74),MMULT(TRANSPOSE($P74:$Q75),CX74:CX75),0)</f>
        <v>0</v>
      </c>
      <c r="CY76" s="1"/>
      <c r="CZ76" s="1"/>
      <c r="DA76" s="26"/>
      <c r="DB76" s="309"/>
      <c r="DC76" s="310"/>
      <c r="DD76" s="345"/>
      <c r="DF76" s="291" t="s">
        <v>96</v>
      </c>
      <c r="DG76" s="7">
        <f t="array" aca="1" ref="DG76:DG77" ca="1">IF(ISNUMBER($A74),MMULT(TRANSPOSE($P74:$Q75),DG74:DG75),0)</f>
        <v>0</v>
      </c>
      <c r="DH76" s="1">
        <f t="array" aca="1" ref="DH76:DH77" ca="1">IF(ISNUMBER($A74),MMULT(TRANSPOSE($P74:$Q75),DH74:DH75),0)</f>
        <v>0</v>
      </c>
      <c r="DI76" s="1">
        <f t="array" aca="1" ref="DI76:DI77" ca="1">IF(ISNUMBER($A74),MMULT(TRANSPOSE($P74:$Q75),DI74:DI75),0)</f>
        <v>0</v>
      </c>
      <c r="DJ76" s="1">
        <f t="array" aca="1" ref="DJ76:DJ77" ca="1">IF(ISNUMBER($A74),MMULT(TRANSPOSE($P74:$Q75),DJ74:DJ75),0)</f>
        <v>0</v>
      </c>
      <c r="DK76" s="1">
        <f t="array" aca="1" ref="DK76:DK77" ca="1">IF(ISNUMBER($A74),MMULT(TRANSPOSE($P74:$Q75),DK74:DK75),0)</f>
        <v>0</v>
      </c>
      <c r="DL76" s="1">
        <f t="array" aca="1" ref="DL76:DL77" ca="1">IF(ISNUMBER($A74),MMULT(TRANSPOSE($P74:$Q75),DL74:DL75),0)</f>
        <v>0</v>
      </c>
      <c r="DM76" s="1">
        <f t="array" aca="1" ref="DM76:DM77" ca="1">IF(ISNUMBER($A74),MMULT(TRANSPOSE($P74:$Q75),DM74:DM75),0)</f>
        <v>0</v>
      </c>
      <c r="DN76" s="1">
        <f t="array" aca="1" ref="DN76:DN77" ca="1">IF(ISNUMBER($A74),MMULT(TRANSPOSE($P74:$Q75),DN74:DN75),0)</f>
        <v>0</v>
      </c>
      <c r="DO76" s="1">
        <f t="array" aca="1" ref="DO76:DO77" ca="1">IF(ISNUMBER($A74),MMULT(TRANSPOSE($P74:$Q75),DO74:DO75),0)</f>
        <v>0</v>
      </c>
      <c r="DP76" s="1">
        <f t="array" aca="1" ref="DP76:DP77" ca="1">IF(ISNUMBER($A74),MMULT(TRANSPOSE($P74:$Q75),DP74:DP75),0)</f>
        <v>0</v>
      </c>
      <c r="DQ76" s="1">
        <f t="array" aca="1" ref="DQ76:DQ77" ca="1">IF(ISNUMBER($A74),MMULT(TRANSPOSE($P74:$Q75),DQ74:DQ75),0)</f>
        <v>0</v>
      </c>
      <c r="DR76" s="1"/>
      <c r="DS76" s="1"/>
      <c r="DT76" s="8"/>
      <c r="DU76" s="12"/>
      <c r="DV76" s="310"/>
      <c r="DW76" s="345"/>
      <c r="DY76" s="291" t="s">
        <v>96</v>
      </c>
      <c r="DZ76" s="7">
        <f t="array" aca="1" ref="DZ76:DZ77" ca="1">IF(ISNUMBER($A74),MMULT(TRANSPOSE($P74:$Q75),DZ74:DZ75),0)</f>
        <v>0</v>
      </c>
      <c r="EA76" s="1">
        <f t="array" aca="1" ref="EA76:EA77" ca="1">IF(ISNUMBER($A74),MMULT(TRANSPOSE($P74:$Q75),EA74:EA75),0)</f>
        <v>0</v>
      </c>
      <c r="EB76" s="1">
        <f t="array" aca="1" ref="EB76:EB77" ca="1">IF(ISNUMBER($A74),MMULT(TRANSPOSE($P74:$Q75),EB74:EB75),0)</f>
        <v>0</v>
      </c>
      <c r="EC76" s="1">
        <f t="array" aca="1" ref="EC76:EC77" ca="1">IF(ISNUMBER($A74),MMULT(TRANSPOSE($P74:$Q75),EC74:EC75),0)</f>
        <v>0</v>
      </c>
      <c r="ED76" s="1">
        <f t="array" aca="1" ref="ED76:ED77" ca="1">IF(ISNUMBER($A74),MMULT(TRANSPOSE($P74:$Q75),ED74:ED75),0)</f>
        <v>0</v>
      </c>
      <c r="EE76" s="1">
        <f t="array" aca="1" ref="EE76:EE77" ca="1">IF(ISNUMBER($A74),MMULT(TRANSPOSE($P74:$Q75),EE74:EE75),0)</f>
        <v>0</v>
      </c>
      <c r="EF76" s="1">
        <f t="array" aca="1" ref="EF76:EF77" ca="1">IF(ISNUMBER($A74),MMULT(TRANSPOSE($P74:$Q75),EF74:EF75),0)</f>
        <v>0</v>
      </c>
      <c r="EG76" s="1">
        <f t="array" aca="1" ref="EG76:EG77" ca="1">IF(ISNUMBER($A74),MMULT(TRANSPOSE($P74:$Q75),EG74:EG75),0)</f>
        <v>0</v>
      </c>
      <c r="EH76" s="1">
        <f t="array" aca="1" ref="EH76:EH77" ca="1">IF(ISNUMBER($A74),MMULT(TRANSPOSE($P74:$Q75),EH74:EH75),0)</f>
        <v>0</v>
      </c>
      <c r="EI76" s="1">
        <f t="array" aca="1" ref="EI76:EI77" ca="1">IF(ISNUMBER($A74),MMULT(TRANSPOSE($P74:$Q75),EI74:EI75),0)</f>
        <v>0</v>
      </c>
      <c r="EJ76" s="1">
        <f t="array" aca="1" ref="EJ76:EJ77" ca="1">IF(ISNUMBER($A74),MMULT(TRANSPOSE($P74:$Q75),EJ74:EJ75),0)</f>
        <v>0</v>
      </c>
      <c r="EK76" s="1"/>
      <c r="EL76" s="1"/>
      <c r="EM76" s="8"/>
      <c r="EN76" s="309"/>
      <c r="EO76" s="310"/>
      <c r="EP76" s="345"/>
    </row>
    <row r="77" spans="1:146" x14ac:dyDescent="0.2">
      <c r="E77" s="12"/>
      <c r="F77" s="12"/>
      <c r="J77" s="4">
        <f ca="1">-J74</f>
        <v>0</v>
      </c>
      <c r="K77" s="5">
        <v>0</v>
      </c>
      <c r="L77" s="6">
        <v>0</v>
      </c>
      <c r="M77" s="179">
        <f ca="1">J74</f>
        <v>0</v>
      </c>
      <c r="N77" s="5">
        <v>0</v>
      </c>
      <c r="O77" s="6">
        <v>0</v>
      </c>
      <c r="P77" s="184">
        <v>0</v>
      </c>
      <c r="Q77" s="101">
        <v>0</v>
      </c>
      <c r="R77" s="101">
        <v>0</v>
      </c>
      <c r="S77" s="99">
        <f ca="1">I74</f>
        <v>0</v>
      </c>
      <c r="T77" s="99">
        <f ca="1">-H74</f>
        <v>0</v>
      </c>
      <c r="U77" s="100">
        <v>0</v>
      </c>
      <c r="V77" s="4">
        <f ca="1"/>
        <v>0</v>
      </c>
      <c r="W77" s="5">
        <f ca="1"/>
        <v>0</v>
      </c>
      <c r="X77" s="6">
        <f ca="1"/>
        <v>0</v>
      </c>
      <c r="Y77" s="179">
        <f ca="1"/>
        <v>0</v>
      </c>
      <c r="Z77" s="5">
        <f ca="1"/>
        <v>0</v>
      </c>
      <c r="AA77" s="6">
        <f ca="1"/>
        <v>0</v>
      </c>
      <c r="AB77" s="61">
        <f ca="1">IF(ISNUMBER($A74),INDIRECT("System!" &amp; ADDRESS(A74+1,COLUMN(System!V73))),0)</f>
        <v>0</v>
      </c>
      <c r="AC77" s="301">
        <f ca="1">IF(ISNUMBER(E74),E74*D74/2,0)</f>
        <v>0</v>
      </c>
      <c r="AD77" s="61">
        <f ca="1"/>
        <v>0</v>
      </c>
      <c r="AE77" s="7">
        <f t="shared" ref="AE77:BR77" ca="1" si="143">IF(ABS($E76)=AE$1,SIGN($E76),0)</f>
        <v>0</v>
      </c>
      <c r="AF77" s="1">
        <f t="shared" ca="1" si="143"/>
        <v>0</v>
      </c>
      <c r="AG77" s="1">
        <f t="shared" ca="1" si="143"/>
        <v>0</v>
      </c>
      <c r="AH77" s="1">
        <f t="shared" ca="1" si="143"/>
        <v>0</v>
      </c>
      <c r="AI77" s="1">
        <f t="shared" ca="1" si="143"/>
        <v>0</v>
      </c>
      <c r="AJ77" s="26">
        <f t="shared" ca="1" si="143"/>
        <v>0</v>
      </c>
      <c r="AK77" s="26">
        <f t="shared" ca="1" si="143"/>
        <v>0</v>
      </c>
      <c r="AL77" s="26">
        <f t="shared" ca="1" si="143"/>
        <v>0</v>
      </c>
      <c r="AM77" s="26">
        <f t="shared" ca="1" si="143"/>
        <v>0</v>
      </c>
      <c r="AN77" s="26">
        <f t="shared" ca="1" si="143"/>
        <v>0</v>
      </c>
      <c r="AO77" s="26">
        <f t="shared" ca="1" si="143"/>
        <v>0</v>
      </c>
      <c r="AP77" s="26">
        <f t="shared" ca="1" si="143"/>
        <v>0</v>
      </c>
      <c r="AQ77" s="26">
        <f t="shared" ca="1" si="143"/>
        <v>0</v>
      </c>
      <c r="AR77" s="26">
        <f t="shared" ca="1" si="143"/>
        <v>0</v>
      </c>
      <c r="AS77" s="26">
        <f t="shared" ca="1" si="143"/>
        <v>0</v>
      </c>
      <c r="AT77" s="26">
        <f t="shared" ca="1" si="143"/>
        <v>0</v>
      </c>
      <c r="AU77" s="26">
        <f t="shared" ca="1" si="143"/>
        <v>0</v>
      </c>
      <c r="AV77" s="26">
        <f t="shared" ca="1" si="143"/>
        <v>0</v>
      </c>
      <c r="AW77" s="26">
        <f t="shared" ca="1" si="143"/>
        <v>0</v>
      </c>
      <c r="AX77" s="26">
        <f t="shared" ca="1" si="143"/>
        <v>0</v>
      </c>
      <c r="AY77" s="26">
        <f t="shared" ca="1" si="143"/>
        <v>0</v>
      </c>
      <c r="AZ77" s="26">
        <f t="shared" ca="1" si="143"/>
        <v>0</v>
      </c>
      <c r="BA77" s="26">
        <f t="shared" ca="1" si="143"/>
        <v>0</v>
      </c>
      <c r="BB77" s="26">
        <f t="shared" ca="1" si="143"/>
        <v>0</v>
      </c>
      <c r="BC77" s="26">
        <f t="shared" ca="1" si="143"/>
        <v>0</v>
      </c>
      <c r="BD77" s="26">
        <f t="shared" ca="1" si="143"/>
        <v>0</v>
      </c>
      <c r="BE77" s="26">
        <f t="shared" ca="1" si="143"/>
        <v>0</v>
      </c>
      <c r="BF77" s="26">
        <f t="shared" ca="1" si="143"/>
        <v>0</v>
      </c>
      <c r="BG77" s="26">
        <f t="shared" ca="1" si="143"/>
        <v>0</v>
      </c>
      <c r="BH77" s="26">
        <f t="shared" ca="1" si="143"/>
        <v>0</v>
      </c>
      <c r="BI77" s="26">
        <f t="shared" ca="1" si="143"/>
        <v>0</v>
      </c>
      <c r="BJ77" s="26">
        <f t="shared" ca="1" si="143"/>
        <v>0</v>
      </c>
      <c r="BK77" s="26">
        <f t="shared" ca="1" si="143"/>
        <v>0</v>
      </c>
      <c r="BL77" s="26">
        <f t="shared" ca="1" si="143"/>
        <v>0</v>
      </c>
      <c r="BM77" s="26">
        <f t="shared" ca="1" si="143"/>
        <v>0</v>
      </c>
      <c r="BN77" s="26">
        <f t="shared" ca="1" si="143"/>
        <v>0</v>
      </c>
      <c r="BO77" s="26">
        <f t="shared" ca="1" si="143"/>
        <v>0</v>
      </c>
      <c r="BP77" s="26">
        <f t="shared" ca="1" si="143"/>
        <v>0</v>
      </c>
      <c r="BQ77" s="26">
        <f t="shared" ca="1" si="143"/>
        <v>0</v>
      </c>
      <c r="BR77" s="26">
        <f t="shared" ca="1" si="143"/>
        <v>0</v>
      </c>
      <c r="BS77" s="282">
        <f ca="1">IF(ISNUMBER($A74),IF(INDEX(B76:G76,4)&lt;&gt;0,SIGN(INDEX(B76:G76,4))*INDIRECT(ADDRESS(1+ABS(INDEX(B76:G76,4)),COLUMN(Ksys!$B$1),1,TRUE,"Ksys")),0)+AB77,0)</f>
        <v>0</v>
      </c>
      <c r="BT77" s="284">
        <f ca="1"/>
        <v>0</v>
      </c>
      <c r="BU77" s="284">
        <f ca="1"/>
        <v>0</v>
      </c>
      <c r="BV77" s="284">
        <f t="array" aca="1" ref="BV77:BV79" ca="1">MMULT(J77:O79,BT74:BT79)-AC77:AC79</f>
        <v>0</v>
      </c>
      <c r="BW77" s="292" t="s">
        <v>101</v>
      </c>
      <c r="BX77" s="7">
        <f ca="1"/>
        <v>0</v>
      </c>
      <c r="BY77" s="1">
        <f ca="1"/>
        <v>0</v>
      </c>
      <c r="BZ77" s="1">
        <f ca="1"/>
        <v>0</v>
      </c>
      <c r="CA77" s="1">
        <f ca="1"/>
        <v>0</v>
      </c>
      <c r="CB77" s="1">
        <f ca="1"/>
        <v>0</v>
      </c>
      <c r="CC77" s="1">
        <f ca="1"/>
        <v>0</v>
      </c>
      <c r="CD77" s="1">
        <f ca="1"/>
        <v>0</v>
      </c>
      <c r="CE77" s="1">
        <f ca="1"/>
        <v>0</v>
      </c>
      <c r="CF77" s="1">
        <f ca="1"/>
        <v>0</v>
      </c>
      <c r="CG77" s="1">
        <f ca="1"/>
        <v>0</v>
      </c>
      <c r="CH77" s="8">
        <f ca="1"/>
        <v>0</v>
      </c>
      <c r="CI77" s="344" t="s">
        <v>1</v>
      </c>
      <c r="CJ77" s="344" t="s">
        <v>111</v>
      </c>
      <c r="CK77" s="310"/>
      <c r="CM77" s="292" t="s">
        <v>101</v>
      </c>
      <c r="CN77" s="7">
        <f ca="1"/>
        <v>0</v>
      </c>
      <c r="CO77" s="1">
        <f ca="1"/>
        <v>0</v>
      </c>
      <c r="CP77" s="1">
        <f ca="1"/>
        <v>0</v>
      </c>
      <c r="CQ77" s="1">
        <f ca="1"/>
        <v>0</v>
      </c>
      <c r="CR77" s="1">
        <f ca="1"/>
        <v>0</v>
      </c>
      <c r="CS77" s="1">
        <f ca="1"/>
        <v>0</v>
      </c>
      <c r="CT77" s="1">
        <f ca="1"/>
        <v>0</v>
      </c>
      <c r="CU77" s="1">
        <f ca="1"/>
        <v>0</v>
      </c>
      <c r="CV77" s="1">
        <f ca="1"/>
        <v>0</v>
      </c>
      <c r="CW77" s="1">
        <f ca="1"/>
        <v>0</v>
      </c>
      <c r="CX77" s="1">
        <f ca="1"/>
        <v>0</v>
      </c>
      <c r="CY77" s="1"/>
      <c r="CZ77" s="1"/>
      <c r="DA77" s="26"/>
      <c r="DB77" s="311" t="s">
        <v>1</v>
      </c>
      <c r="DC77" s="312" t="s">
        <v>111</v>
      </c>
      <c r="DD77" s="61">
        <f ca="1">MAX(MAX(CN76:CX77),ABS(MIN(CN76:CX77)))</f>
        <v>0</v>
      </c>
      <c r="DF77" s="292" t="s">
        <v>101</v>
      </c>
      <c r="DG77" s="7">
        <f ca="1"/>
        <v>0</v>
      </c>
      <c r="DH77" s="1">
        <f ca="1"/>
        <v>0</v>
      </c>
      <c r="DI77" s="1">
        <f ca="1"/>
        <v>0</v>
      </c>
      <c r="DJ77" s="1">
        <f ca="1"/>
        <v>0</v>
      </c>
      <c r="DK77" s="1">
        <f ca="1"/>
        <v>0</v>
      </c>
      <c r="DL77" s="1">
        <f ca="1"/>
        <v>0</v>
      </c>
      <c r="DM77" s="1">
        <f ca="1"/>
        <v>0</v>
      </c>
      <c r="DN77" s="1">
        <f ca="1"/>
        <v>0</v>
      </c>
      <c r="DO77" s="1">
        <f ca="1"/>
        <v>0</v>
      </c>
      <c r="DP77" s="1">
        <f ca="1"/>
        <v>0</v>
      </c>
      <c r="DQ77" s="1">
        <f ca="1"/>
        <v>0</v>
      </c>
      <c r="DR77" s="1"/>
      <c r="DS77" s="1"/>
      <c r="DT77" s="8"/>
      <c r="DU77" s="314" t="s">
        <v>1</v>
      </c>
      <c r="DV77" s="312" t="s">
        <v>111</v>
      </c>
      <c r="DW77" s="349">
        <f ca="1">MAX(MAX(DG76:DQ77),ABS(MIN(DG76:DQ77)))</f>
        <v>0</v>
      </c>
      <c r="DY77" s="292" t="s">
        <v>101</v>
      </c>
      <c r="DZ77" s="7">
        <f ca="1"/>
        <v>0</v>
      </c>
      <c r="EA77" s="1">
        <f ca="1"/>
        <v>0</v>
      </c>
      <c r="EB77" s="1">
        <f ca="1"/>
        <v>0</v>
      </c>
      <c r="EC77" s="1">
        <f ca="1"/>
        <v>0</v>
      </c>
      <c r="ED77" s="1">
        <f ca="1"/>
        <v>0</v>
      </c>
      <c r="EE77" s="1">
        <f ca="1"/>
        <v>0</v>
      </c>
      <c r="EF77" s="1">
        <f ca="1"/>
        <v>0</v>
      </c>
      <c r="EG77" s="1">
        <f ca="1"/>
        <v>0</v>
      </c>
      <c r="EH77" s="1">
        <f ca="1"/>
        <v>0</v>
      </c>
      <c r="EI77" s="1">
        <f ca="1"/>
        <v>0</v>
      </c>
      <c r="EJ77" s="1">
        <f ca="1"/>
        <v>0</v>
      </c>
      <c r="EK77" s="1"/>
      <c r="EL77" s="1"/>
      <c r="EM77" s="8"/>
      <c r="EN77" s="311" t="s">
        <v>1</v>
      </c>
      <c r="EO77" s="312" t="s">
        <v>111</v>
      </c>
      <c r="EP77" s="61">
        <f ca="1">MAX(MAX(DZ76:EJ77),ABS(MIN(DZ76:EJ77)))</f>
        <v>0</v>
      </c>
    </row>
    <row r="78" spans="1:146" x14ac:dyDescent="0.2">
      <c r="E78" s="1" t="str">
        <f ca="1">IF(ISNUMBER(A74),"" &amp; ADDRESS(ROW(A74),COLUMN($AD$1)) &amp; ":" &amp; ADDRESS(ROW(A79),COLUMN($AD$1)) &amp; "","")</f>
        <v/>
      </c>
      <c r="F78" s="1" t="str">
        <f ca="1">IF(ISNUMBER(A74),"" &amp; ADDRESS(ROW(A74),COLUMN($V$1)) &amp; ":" &amp; ADDRESS(ROW(A79),COLUMN($AA$1)) &amp; "","")</f>
        <v/>
      </c>
      <c r="G78" s="1" t="str">
        <f ca="1">IF(ISNUMBER(A74),"" &amp; ADDRESS(ROW(A74),COLUMN($AE$1)) &amp; ":" &amp; ADDRESS(ROW(A79),COLUMN($AD$1)+$C$6) &amp; "","")</f>
        <v/>
      </c>
      <c r="J78" s="7">
        <v>0</v>
      </c>
      <c r="K78" s="1">
        <f ca="1">-K75</f>
        <v>0</v>
      </c>
      <c r="L78" s="8">
        <f ca="1">IF(G74=1,6*B74/D74^2,IF(G74="2a",0,IF(G74="2b",3*B74/D74^2,0)))</f>
        <v>0</v>
      </c>
      <c r="M78" s="7">
        <v>0</v>
      </c>
      <c r="N78" s="180">
        <f ca="1">K75</f>
        <v>0</v>
      </c>
      <c r="O78" s="8">
        <f ca="1">N79</f>
        <v>0</v>
      </c>
      <c r="P78" s="184">
        <v>0</v>
      </c>
      <c r="Q78" s="101">
        <v>0</v>
      </c>
      <c r="R78" s="101">
        <v>0</v>
      </c>
      <c r="S78" s="99">
        <f ca="1">H74</f>
        <v>0</v>
      </c>
      <c r="T78" s="99">
        <f ca="1">I74</f>
        <v>0</v>
      </c>
      <c r="U78" s="100">
        <v>0</v>
      </c>
      <c r="V78" s="7">
        <f ca="1"/>
        <v>0</v>
      </c>
      <c r="W78" s="1">
        <f ca="1"/>
        <v>0</v>
      </c>
      <c r="X78" s="8">
        <f ca="1"/>
        <v>0</v>
      </c>
      <c r="Y78" s="7">
        <f ca="1"/>
        <v>0</v>
      </c>
      <c r="Z78" s="180">
        <f ca="1"/>
        <v>0</v>
      </c>
      <c r="AA78" s="8">
        <f ca="1"/>
        <v>0</v>
      </c>
      <c r="AB78" s="61">
        <f ca="1">IF(ISNUMBER($A74),INDIRECT("System!" &amp; ADDRESS(A74+1,COLUMN(System!W73))),0)</f>
        <v>0</v>
      </c>
      <c r="AC78" s="301">
        <f ca="1">IF(G74=1,F74*D74/2,IF(G74="2a",F74*5/8*D74,IF(G74="2b",F74*3/8*D74,0)))</f>
        <v>0</v>
      </c>
      <c r="AD78" s="61">
        <f ca="1"/>
        <v>0</v>
      </c>
      <c r="AE78" s="7">
        <f t="shared" ref="AE78:BR78" ca="1" si="144">IF(ABS($F76)=AE$1,SIGN($F76),0)</f>
        <v>0</v>
      </c>
      <c r="AF78" s="1">
        <f t="shared" ca="1" si="144"/>
        <v>0</v>
      </c>
      <c r="AG78" s="1">
        <f t="shared" ca="1" si="144"/>
        <v>0</v>
      </c>
      <c r="AH78" s="1">
        <f t="shared" ca="1" si="144"/>
        <v>0</v>
      </c>
      <c r="AI78" s="1">
        <f t="shared" ca="1" si="144"/>
        <v>0</v>
      </c>
      <c r="AJ78" s="26">
        <f t="shared" ca="1" si="144"/>
        <v>0</v>
      </c>
      <c r="AK78" s="26">
        <f t="shared" ca="1" si="144"/>
        <v>0</v>
      </c>
      <c r="AL78" s="26">
        <f t="shared" ca="1" si="144"/>
        <v>0</v>
      </c>
      <c r="AM78" s="26">
        <f t="shared" ca="1" si="144"/>
        <v>0</v>
      </c>
      <c r="AN78" s="26">
        <f t="shared" ca="1" si="144"/>
        <v>0</v>
      </c>
      <c r="AO78" s="26">
        <f t="shared" ca="1" si="144"/>
        <v>0</v>
      </c>
      <c r="AP78" s="26">
        <f t="shared" ca="1" si="144"/>
        <v>0</v>
      </c>
      <c r="AQ78" s="26">
        <f t="shared" ca="1" si="144"/>
        <v>0</v>
      </c>
      <c r="AR78" s="26">
        <f t="shared" ca="1" si="144"/>
        <v>0</v>
      </c>
      <c r="AS78" s="26">
        <f t="shared" ca="1" si="144"/>
        <v>0</v>
      </c>
      <c r="AT78" s="26">
        <f t="shared" ca="1" si="144"/>
        <v>0</v>
      </c>
      <c r="AU78" s="26">
        <f t="shared" ca="1" si="144"/>
        <v>0</v>
      </c>
      <c r="AV78" s="26">
        <f t="shared" ca="1" si="144"/>
        <v>0</v>
      </c>
      <c r="AW78" s="26">
        <f t="shared" ca="1" si="144"/>
        <v>0</v>
      </c>
      <c r="AX78" s="26">
        <f t="shared" ca="1" si="144"/>
        <v>0</v>
      </c>
      <c r="AY78" s="26">
        <f t="shared" ca="1" si="144"/>
        <v>0</v>
      </c>
      <c r="AZ78" s="26">
        <f t="shared" ca="1" si="144"/>
        <v>0</v>
      </c>
      <c r="BA78" s="26">
        <f t="shared" ca="1" si="144"/>
        <v>0</v>
      </c>
      <c r="BB78" s="26">
        <f t="shared" ca="1" si="144"/>
        <v>0</v>
      </c>
      <c r="BC78" s="26">
        <f t="shared" ca="1" si="144"/>
        <v>0</v>
      </c>
      <c r="BD78" s="26">
        <f t="shared" ca="1" si="144"/>
        <v>0</v>
      </c>
      <c r="BE78" s="26">
        <f t="shared" ca="1" si="144"/>
        <v>0</v>
      </c>
      <c r="BF78" s="26">
        <f t="shared" ca="1" si="144"/>
        <v>0</v>
      </c>
      <c r="BG78" s="26">
        <f t="shared" ca="1" si="144"/>
        <v>0</v>
      </c>
      <c r="BH78" s="26">
        <f t="shared" ca="1" si="144"/>
        <v>0</v>
      </c>
      <c r="BI78" s="26">
        <f t="shared" ca="1" si="144"/>
        <v>0</v>
      </c>
      <c r="BJ78" s="26">
        <f t="shared" ca="1" si="144"/>
        <v>0</v>
      </c>
      <c r="BK78" s="26">
        <f t="shared" ca="1" si="144"/>
        <v>0</v>
      </c>
      <c r="BL78" s="26">
        <f t="shared" ca="1" si="144"/>
        <v>0</v>
      </c>
      <c r="BM78" s="26">
        <f t="shared" ca="1" si="144"/>
        <v>0</v>
      </c>
      <c r="BN78" s="26">
        <f t="shared" ca="1" si="144"/>
        <v>0</v>
      </c>
      <c r="BO78" s="26">
        <f t="shared" ca="1" si="144"/>
        <v>0</v>
      </c>
      <c r="BP78" s="26">
        <f t="shared" ca="1" si="144"/>
        <v>0</v>
      </c>
      <c r="BQ78" s="26">
        <f t="shared" ca="1" si="144"/>
        <v>0</v>
      </c>
      <c r="BR78" s="26">
        <f t="shared" ca="1" si="144"/>
        <v>0</v>
      </c>
      <c r="BS78" s="282">
        <f ca="1">IF(ISNUMBER($A74),IF(INDEX(B76:G76,5)&lt;&gt;0,SIGN(INDEX(B76:G76,5))*INDIRECT(ADDRESS(1+ABS(INDEX(B76:G76,5)),COLUMN(Ksys!$B$1),1,TRUE,"Ksys")),0)+AB78,0)</f>
        <v>0</v>
      </c>
      <c r="BT78" s="284">
        <f ca="1"/>
        <v>0</v>
      </c>
      <c r="BU78" s="284">
        <f ca="1"/>
        <v>0</v>
      </c>
      <c r="BV78" s="284">
        <f ca="1"/>
        <v>0</v>
      </c>
      <c r="BW78" s="293" t="s">
        <v>102</v>
      </c>
      <c r="BX78" s="216">
        <f ca="1">IF(ISNUMBER($A74),$B75*(1-BX$1) + $C75*BX$1 + Knoten!$S$5*BX76,KnotenData!$H$2)</f>
        <v>0.5</v>
      </c>
      <c r="BY78" s="206">
        <f ca="1">IF(ISNUMBER($A74),$B75*(1-BY$1) + $C75*BY$1 + Knoten!$S$5*BY76,KnotenData!$H$2)</f>
        <v>0.5</v>
      </c>
      <c r="BZ78" s="206">
        <f ca="1">IF(ISNUMBER($A74),$B75*(1-BZ$1) + $C75*BZ$1 + Knoten!$S$5*BZ76,KnotenData!$H$2)</f>
        <v>0.5</v>
      </c>
      <c r="CA78" s="206">
        <f ca="1">IF(ISNUMBER($A74),$B75*(1-CA$1) + $C75*CA$1 + Knoten!$S$5*CA76,KnotenData!$H$2)</f>
        <v>0.5</v>
      </c>
      <c r="CB78" s="206">
        <f ca="1">IF(ISNUMBER($A74),$B75*(1-CB$1) + $C75*CB$1 + Knoten!$S$5*CB76,KnotenData!$H$2)</f>
        <v>0.5</v>
      </c>
      <c r="CC78" s="206">
        <f ca="1">IF(ISNUMBER($A74),$B75*(1-CC$1) + $C75*CC$1 + Knoten!$S$5*CC76,KnotenData!$H$2)</f>
        <v>0.5</v>
      </c>
      <c r="CD78" s="206">
        <f ca="1">IF(ISNUMBER($A74),$B75*(1-CD$1) + $C75*CD$1 + Knoten!$S$5*CD76,KnotenData!$H$2)</f>
        <v>0.5</v>
      </c>
      <c r="CE78" s="206">
        <f ca="1">IF(ISNUMBER($A74),$B75*(1-CE$1) + $C75*CE$1 + Knoten!$S$5*CE76,KnotenData!$H$2)</f>
        <v>0.5</v>
      </c>
      <c r="CF78" s="206">
        <f ca="1">IF(ISNUMBER($A74),$B75*(1-CF$1) + $C75*CF$1 + Knoten!$S$5*CF76,KnotenData!$H$2)</f>
        <v>0.5</v>
      </c>
      <c r="CG78" s="206">
        <f ca="1">IF(ISNUMBER($A74),$B75*(1-CG$1) + $C75*CG$1 + Knoten!$S$5*CG76,KnotenData!$H$2)</f>
        <v>0.5</v>
      </c>
      <c r="CH78" s="217">
        <f ca="1">IF(ISNUMBER($A74),$B75*(1-CH$1) + $C75*CH$1 + Knoten!$S$5*CH76,KnotenData!$H$2)</f>
        <v>0.5</v>
      </c>
      <c r="CI78" s="447">
        <f ca="1">MIN(BX78:CH78)</f>
        <v>0.5</v>
      </c>
      <c r="CJ78" s="447">
        <f ca="1">MIN(BX79:CH79)</f>
        <v>0.47499999999999998</v>
      </c>
      <c r="CK78" s="445"/>
      <c r="CM78" s="293" t="s">
        <v>102</v>
      </c>
      <c r="CN78" s="216">
        <f ca="1">IF(ISNUMBER($A74),$B75*(1-CN$1) + $C75*CN$1 + Momente!$D$6*CN76,KnotenData!$H$2)</f>
        <v>0.5</v>
      </c>
      <c r="CO78" s="206">
        <f ca="1">IF(ISNUMBER($A74),$B75*(1-CO$1) + $C75*CO$1 + Momente!$D$6*CO76,KnotenData!$H$2)</f>
        <v>0.5</v>
      </c>
      <c r="CP78" s="206">
        <f ca="1">IF(ISNUMBER($A74),$B75*(1-CP$1) + $C75*CP$1 + Momente!$D$6*CP76,KnotenData!$H$2)</f>
        <v>0.5</v>
      </c>
      <c r="CQ78" s="206">
        <f ca="1">IF(ISNUMBER($A74),$B75*(1-CQ$1) + $C75*CQ$1 + Momente!$D$6*CQ76,KnotenData!$H$2)</f>
        <v>0.5</v>
      </c>
      <c r="CR78" s="206">
        <f ca="1">IF(ISNUMBER($A74),$B75*(1-CR$1) + $C75*CR$1 + Momente!$D$6*CR76,KnotenData!$H$2)</f>
        <v>0.5</v>
      </c>
      <c r="CS78" s="206">
        <f ca="1">IF(ISNUMBER($A74),$B75*(1-CS$1) + $C75*CS$1 + Momente!$D$6*CS76,KnotenData!$H$2)</f>
        <v>0.5</v>
      </c>
      <c r="CT78" s="206">
        <f ca="1">IF(ISNUMBER($A74),$B75*(1-CT$1) + $C75*CT$1 + Momente!$D$6*CT76,KnotenData!$H$2)</f>
        <v>0.5</v>
      </c>
      <c r="CU78" s="206">
        <f ca="1">IF(ISNUMBER($A74),$B75*(1-CU$1) + $C75*CU$1 + Momente!$D$6*CU76,KnotenData!$H$2)</f>
        <v>0.5</v>
      </c>
      <c r="CV78" s="206">
        <f ca="1">IF(ISNUMBER($A74),$B75*(1-CV$1) + $C75*CV$1 + Momente!$D$6*CV76,KnotenData!$H$2)</f>
        <v>0.5</v>
      </c>
      <c r="CW78" s="206">
        <f ca="1">IF(ISNUMBER($A74),$B75*(1-CW$1) + $C75*CW$1 + Momente!$D$6*CW76,KnotenData!$H$2)</f>
        <v>0.5</v>
      </c>
      <c r="CX78" s="206">
        <f ca="1">IF(ISNUMBER($A74),$B75*(1-CX$1) + $C75*CX$1 + Momente!$D$6*CX76,KnotenData!$H$2)</f>
        <v>0.5</v>
      </c>
      <c r="CY78" s="206">
        <f ca="1">IF(ISNUMBER($A74),$C75,KnotenData!$H$2)</f>
        <v>0.5</v>
      </c>
      <c r="CZ78" s="206">
        <f ca="1">IF(ISNUMBER($A74),$B75,KnotenData!$H$2)</f>
        <v>0.5</v>
      </c>
      <c r="DA78" s="305">
        <f ca="1">IF(ISNUMBER($A74),CN78,KnotenData!$H$2)</f>
        <v>0.5</v>
      </c>
      <c r="DB78" s="7">
        <f ca="1">MIN(CN78:DA78)</f>
        <v>0.5</v>
      </c>
      <c r="DC78" s="8">
        <f ca="1">MIN(CN79:DA79)</f>
        <v>0.47499999999999998</v>
      </c>
      <c r="DD78" s="345"/>
      <c r="DF78" s="293" t="s">
        <v>102</v>
      </c>
      <c r="DG78" s="216">
        <f ca="1">IF(ISNUMBER($A74),$B75*(1-DG$1) + $C75*DG$1 + Querkräfte!$D$6*DG76,KnotenData!$H$2)</f>
        <v>0.5</v>
      </c>
      <c r="DH78" s="206">
        <f ca="1">IF(ISNUMBER($A74),$B75*(1-DH$1) + $C75*DH$1 + Querkräfte!$D$6*DH76,KnotenData!$H$2)</f>
        <v>0.5</v>
      </c>
      <c r="DI78" s="206">
        <f ca="1">IF(ISNUMBER($A74),$B75*(1-DI$1) + $C75*DI$1 + Querkräfte!$D$6*DI76,KnotenData!$H$2)</f>
        <v>0.5</v>
      </c>
      <c r="DJ78" s="206">
        <f ca="1">IF(ISNUMBER($A74),$B75*(1-DJ$1) + $C75*DJ$1 + Querkräfte!$D$6*DJ76,KnotenData!$H$2)</f>
        <v>0.5</v>
      </c>
      <c r="DK78" s="206">
        <f ca="1">IF(ISNUMBER($A74),$B75*(1-DK$1) + $C75*DK$1 + Querkräfte!$D$6*DK76,KnotenData!$H$2)</f>
        <v>0.5</v>
      </c>
      <c r="DL78" s="206">
        <f ca="1">IF(ISNUMBER($A74),$B75*(1-DL$1) + $C75*DL$1 + Querkräfte!$D$6*DL76,KnotenData!$H$2)</f>
        <v>0.5</v>
      </c>
      <c r="DM78" s="206">
        <f ca="1">IF(ISNUMBER($A74),$B75*(1-DM$1) + $C75*DM$1 + Querkräfte!$D$6*DM76,KnotenData!$H$2)</f>
        <v>0.5</v>
      </c>
      <c r="DN78" s="206">
        <f ca="1">IF(ISNUMBER($A74),$B75*(1-DN$1) + $C75*DN$1 + Querkräfte!$D$6*DN76,KnotenData!$H$2)</f>
        <v>0.5</v>
      </c>
      <c r="DO78" s="206">
        <f ca="1">IF(ISNUMBER($A74),$B75*(1-DO$1) + $C75*DO$1 + Querkräfte!$D$6*DO76,KnotenData!$H$2)</f>
        <v>0.5</v>
      </c>
      <c r="DP78" s="206">
        <f ca="1">IF(ISNUMBER($A74),$B75*(1-DP$1) + $C75*DP$1 + Querkräfte!$D$6*DP76,KnotenData!$H$2)</f>
        <v>0.5</v>
      </c>
      <c r="DQ78" s="206">
        <f ca="1">IF(ISNUMBER($A74),$B75*(1-DQ$1) + $C75*DQ$1 + Querkräfte!$D$6*DQ76,KnotenData!$H$2)</f>
        <v>0.5</v>
      </c>
      <c r="DR78" s="206">
        <f ca="1">IF(ISNUMBER($A74),$C75,KnotenData!$H$2)</f>
        <v>0.5</v>
      </c>
      <c r="DS78" s="206">
        <f ca="1">IF(ISNUMBER($A74),$B75,KnotenData!$H$2)</f>
        <v>0.5</v>
      </c>
      <c r="DT78" s="217">
        <f ca="1">IF(ISNUMBER($A74),DG78,KnotenData!$H$2)</f>
        <v>0.5</v>
      </c>
      <c r="DU78" s="145">
        <f ca="1">MIN(DG78:DQ78)</f>
        <v>0.5</v>
      </c>
      <c r="DV78" s="8">
        <f ca="1">MIN(DG79:DQ79)</f>
        <v>0.47499999999999998</v>
      </c>
      <c r="DW78" s="345"/>
      <c r="DY78" s="293" t="s">
        <v>102</v>
      </c>
      <c r="DZ78" s="216">
        <f ca="1">IF(ISNUMBER($A74),$B75*(1-DZ$1) + $C75*DZ$1 + Normalkräfte!$D$6*DZ76,KnotenData!$H$2)</f>
        <v>0.5</v>
      </c>
      <c r="EA78" s="206">
        <f ca="1">IF(ISNUMBER($A74),$B75*(1-EA$1) + $C75*EA$1 + Normalkräfte!$D$6*EA76,KnotenData!$H$2)</f>
        <v>0.5</v>
      </c>
      <c r="EB78" s="206">
        <f ca="1">IF(ISNUMBER($A74),$B75*(1-EB$1) + $C75*EB$1 + Normalkräfte!$D$6*EB76,KnotenData!$H$2)</f>
        <v>0.5</v>
      </c>
      <c r="EC78" s="206">
        <f ca="1">IF(ISNUMBER($A74),$B75*(1-EC$1) + $C75*EC$1 + Normalkräfte!$D$6*EC76,KnotenData!$H$2)</f>
        <v>0.5</v>
      </c>
      <c r="ED78" s="206">
        <f ca="1">IF(ISNUMBER($A74),$B75*(1-ED$1) + $C75*ED$1 + Normalkräfte!$D$6*ED76,KnotenData!$H$2)</f>
        <v>0.5</v>
      </c>
      <c r="EE78" s="206">
        <f ca="1">IF(ISNUMBER($A74),$B75*(1-EE$1) + $C75*EE$1 + Normalkräfte!$D$6*EE76,KnotenData!$H$2)</f>
        <v>0.5</v>
      </c>
      <c r="EF78" s="206">
        <f ca="1">IF(ISNUMBER($A74),$B75*(1-EF$1) + $C75*EF$1 + Normalkräfte!$D$6*EF76,KnotenData!$H$2)</f>
        <v>0.5</v>
      </c>
      <c r="EG78" s="206">
        <f ca="1">IF(ISNUMBER($A74),$B75*(1-EG$1) + $C75*EG$1 + Normalkräfte!$D$6*EG76,KnotenData!$H$2)</f>
        <v>0.5</v>
      </c>
      <c r="EH78" s="206">
        <f ca="1">IF(ISNUMBER($A74),$B75*(1-EH$1) + $C75*EH$1 + Normalkräfte!$D$6*EH76,KnotenData!$H$2)</f>
        <v>0.5</v>
      </c>
      <c r="EI78" s="206">
        <f ca="1">IF(ISNUMBER($A74),$B75*(1-EI$1) + $C75*EI$1 + Normalkräfte!$D$6*EI76,KnotenData!$H$2)</f>
        <v>0.5</v>
      </c>
      <c r="EJ78" s="206">
        <f ca="1">IF(ISNUMBER($A74),$B75*(1-EJ$1) + $C75*EJ$1 + Normalkräfte!$D$6*EJ76,KnotenData!$H$2)</f>
        <v>0.5</v>
      </c>
      <c r="EK78" s="256">
        <f ca="1">IF(ISNUMBER($A74),$C75,KnotenData!$H$2)</f>
        <v>0.5</v>
      </c>
      <c r="EL78" s="206">
        <f ca="1">IF(ISNUMBER($A74),$B75,KnotenData!$H$2)</f>
        <v>0.5</v>
      </c>
      <c r="EM78" s="217">
        <f ca="1">IF(ISNUMBER($A74),DZ78,KnotenData!$H$2)</f>
        <v>0.5</v>
      </c>
      <c r="EN78" s="7">
        <f ca="1">MIN(DZ78:EJ78)</f>
        <v>0.5</v>
      </c>
      <c r="EO78" s="8">
        <f ca="1">MIN(DZ79:EJ79)</f>
        <v>0.47499999999999998</v>
      </c>
      <c r="EP78" s="345"/>
    </row>
    <row r="79" spans="1:146" ht="13.5" thickBot="1" x14ac:dyDescent="0.25">
      <c r="E79" s="12"/>
      <c r="F79" s="12"/>
      <c r="J79" s="9">
        <v>0</v>
      </c>
      <c r="K79" s="10">
        <f ca="1">IF(G74=1,-6*B74/D74^2,IF(G74="2a",-3*B74/D74^2,IF(G74="2b",0,0)))</f>
        <v>0</v>
      </c>
      <c r="L79" s="146">
        <f ca="1">IF(G74=1,2*B74/D74,IF(G74="2a",0,IF(G74="2b",0,0)))</f>
        <v>0</v>
      </c>
      <c r="M79" s="9">
        <v>0</v>
      </c>
      <c r="N79" s="10">
        <f ca="1">-K79</f>
        <v>0</v>
      </c>
      <c r="O79" s="181">
        <f ca="1">IF(G74=1,4*B74/D74,IF(G74="2a",3*B74/D74,IF(G74="2b",0,0)))</f>
        <v>0</v>
      </c>
      <c r="P79" s="185">
        <v>0</v>
      </c>
      <c r="Q79" s="103">
        <v>0</v>
      </c>
      <c r="R79" s="103">
        <v>0</v>
      </c>
      <c r="S79" s="111">
        <v>0</v>
      </c>
      <c r="T79" s="111">
        <v>0</v>
      </c>
      <c r="U79" s="112">
        <v>1</v>
      </c>
      <c r="V79" s="9">
        <f ca="1"/>
        <v>0</v>
      </c>
      <c r="W79" s="10">
        <f ca="1"/>
        <v>0</v>
      </c>
      <c r="X79" s="146">
        <f ca="1"/>
        <v>0</v>
      </c>
      <c r="Y79" s="9">
        <f ca="1"/>
        <v>0</v>
      </c>
      <c r="Z79" s="10">
        <f ca="1"/>
        <v>0</v>
      </c>
      <c r="AA79" s="181">
        <f ca="1"/>
        <v>0</v>
      </c>
      <c r="AB79" s="62">
        <f ca="1">IF(ISNUMBER($A74),INDIRECT("System!" &amp; ADDRESS(A74+1,COLUMN(System!X73))),0)</f>
        <v>0</v>
      </c>
      <c r="AC79" s="302">
        <f ca="1">IF(G74=1,F74*D74^2/12,IF(G74="2a",F74*D74^2/8,IF(G74="2b",0,0)))</f>
        <v>0</v>
      </c>
      <c r="AD79" s="62">
        <f ca="1"/>
        <v>0</v>
      </c>
      <c r="AE79" s="9">
        <f t="shared" ref="AE79:BR79" ca="1" si="145">IF(ABS($G76)=AE$1,SIGN($G76),0)</f>
        <v>0</v>
      </c>
      <c r="AF79" s="10">
        <f t="shared" ca="1" si="145"/>
        <v>0</v>
      </c>
      <c r="AG79" s="10">
        <f t="shared" ca="1" si="145"/>
        <v>0</v>
      </c>
      <c r="AH79" s="10">
        <f t="shared" ca="1" si="145"/>
        <v>0</v>
      </c>
      <c r="AI79" s="10">
        <f t="shared" ca="1" si="145"/>
        <v>0</v>
      </c>
      <c r="AJ79" s="188">
        <f t="shared" ca="1" si="145"/>
        <v>0</v>
      </c>
      <c r="AK79" s="188">
        <f t="shared" ca="1" si="145"/>
        <v>0</v>
      </c>
      <c r="AL79" s="188">
        <f t="shared" ca="1" si="145"/>
        <v>0</v>
      </c>
      <c r="AM79" s="188">
        <f t="shared" ca="1" si="145"/>
        <v>0</v>
      </c>
      <c r="AN79" s="188">
        <f t="shared" ca="1" si="145"/>
        <v>0</v>
      </c>
      <c r="AO79" s="188">
        <f t="shared" ca="1" si="145"/>
        <v>0</v>
      </c>
      <c r="AP79" s="188">
        <f t="shared" ca="1" si="145"/>
        <v>0</v>
      </c>
      <c r="AQ79" s="188">
        <f t="shared" ca="1" si="145"/>
        <v>0</v>
      </c>
      <c r="AR79" s="188">
        <f t="shared" ca="1" si="145"/>
        <v>0</v>
      </c>
      <c r="AS79" s="188">
        <f t="shared" ca="1" si="145"/>
        <v>0</v>
      </c>
      <c r="AT79" s="188">
        <f t="shared" ca="1" si="145"/>
        <v>0</v>
      </c>
      <c r="AU79" s="188">
        <f t="shared" ca="1" si="145"/>
        <v>0</v>
      </c>
      <c r="AV79" s="188">
        <f t="shared" ca="1" si="145"/>
        <v>0</v>
      </c>
      <c r="AW79" s="188">
        <f t="shared" ca="1" si="145"/>
        <v>0</v>
      </c>
      <c r="AX79" s="188">
        <f t="shared" ca="1" si="145"/>
        <v>0</v>
      </c>
      <c r="AY79" s="188">
        <f t="shared" ca="1" si="145"/>
        <v>0</v>
      </c>
      <c r="AZ79" s="188">
        <f t="shared" ca="1" si="145"/>
        <v>0</v>
      </c>
      <c r="BA79" s="188">
        <f t="shared" ca="1" si="145"/>
        <v>0</v>
      </c>
      <c r="BB79" s="188">
        <f t="shared" ca="1" si="145"/>
        <v>0</v>
      </c>
      <c r="BC79" s="188">
        <f t="shared" ca="1" si="145"/>
        <v>0</v>
      </c>
      <c r="BD79" s="188">
        <f t="shared" ca="1" si="145"/>
        <v>0</v>
      </c>
      <c r="BE79" s="188">
        <f t="shared" ca="1" si="145"/>
        <v>0</v>
      </c>
      <c r="BF79" s="188">
        <f t="shared" ca="1" si="145"/>
        <v>0</v>
      </c>
      <c r="BG79" s="188">
        <f t="shared" ca="1" si="145"/>
        <v>0</v>
      </c>
      <c r="BH79" s="188">
        <f t="shared" ca="1" si="145"/>
        <v>0</v>
      </c>
      <c r="BI79" s="188">
        <f t="shared" ca="1" si="145"/>
        <v>0</v>
      </c>
      <c r="BJ79" s="188">
        <f t="shared" ca="1" si="145"/>
        <v>0</v>
      </c>
      <c r="BK79" s="188">
        <f t="shared" ca="1" si="145"/>
        <v>0</v>
      </c>
      <c r="BL79" s="188">
        <f t="shared" ca="1" si="145"/>
        <v>0</v>
      </c>
      <c r="BM79" s="188">
        <f t="shared" ca="1" si="145"/>
        <v>0</v>
      </c>
      <c r="BN79" s="188">
        <f t="shared" ca="1" si="145"/>
        <v>0</v>
      </c>
      <c r="BO79" s="188">
        <f t="shared" ca="1" si="145"/>
        <v>0</v>
      </c>
      <c r="BP79" s="188">
        <f t="shared" ca="1" si="145"/>
        <v>0</v>
      </c>
      <c r="BQ79" s="188">
        <f t="shared" ca="1" si="145"/>
        <v>0</v>
      </c>
      <c r="BR79" s="188">
        <f t="shared" ca="1" si="145"/>
        <v>0</v>
      </c>
      <c r="BS79" s="283">
        <f ca="1">IF(ISNUMBER($A74),IF(INDEX(B76:G76,6)&lt;&gt;0,SIGN(INDEX(B76:G76,6))*INDIRECT(ADDRESS(1+ABS(INDEX(B76:G76,6)),COLUMN(Ksys!$B$1),1,TRUE,"Ksys")),0)+AB79,0)</f>
        <v>0</v>
      </c>
      <c r="BT79" s="178">
        <f ca="1"/>
        <v>0</v>
      </c>
      <c r="BU79" s="178">
        <f ca="1"/>
        <v>0</v>
      </c>
      <c r="BV79" s="178">
        <f ca="1"/>
        <v>0</v>
      </c>
      <c r="BW79" s="294" t="s">
        <v>103</v>
      </c>
      <c r="BX79" s="218">
        <f ca="1">IF(ISNUMBER($A74),$D75*(1-BX$1) + $E75*BX$1 + Knoten!$S$5*BX77,KnotenData!$H$3)</f>
        <v>0.47499999999999998</v>
      </c>
      <c r="BY79" s="295">
        <f ca="1">IF(ISNUMBER($A74),$D75*(1-BY$1) + $E75*BY$1 + Knoten!$S$5*BY77,KnotenData!$H$3)</f>
        <v>0.47499999999999998</v>
      </c>
      <c r="BZ79" s="295">
        <f ca="1">IF(ISNUMBER($A74),$D75*(1-BZ$1) + $E75*BZ$1 + Knoten!$S$5*BZ77,KnotenData!$H$3)</f>
        <v>0.47499999999999998</v>
      </c>
      <c r="CA79" s="295">
        <f ca="1">IF(ISNUMBER($A74),$D75*(1-CA$1) + $E75*CA$1 + Knoten!$S$5*CA77,KnotenData!$H$3)</f>
        <v>0.47499999999999998</v>
      </c>
      <c r="CB79" s="295">
        <f ca="1">IF(ISNUMBER($A74),$D75*(1-CB$1) + $E75*CB$1 + Knoten!$S$5*CB77,KnotenData!$H$3)</f>
        <v>0.47499999999999998</v>
      </c>
      <c r="CC79" s="295">
        <f ca="1">IF(ISNUMBER($A74),$D75*(1-CC$1) + $E75*CC$1 + Knoten!$S$5*CC77,KnotenData!$H$3)</f>
        <v>0.47499999999999998</v>
      </c>
      <c r="CD79" s="295">
        <f ca="1">IF(ISNUMBER($A74),$D75*(1-CD$1) + $E75*CD$1 + Knoten!$S$5*CD77,KnotenData!$H$3)</f>
        <v>0.47499999999999998</v>
      </c>
      <c r="CE79" s="295">
        <f ca="1">IF(ISNUMBER($A74),$D75*(1-CE$1) + $E75*CE$1 + Knoten!$S$5*CE77,KnotenData!$H$3)</f>
        <v>0.47499999999999998</v>
      </c>
      <c r="CF79" s="295">
        <f ca="1">IF(ISNUMBER($A74),$D75*(1-CF$1) + $E75*CF$1 + Knoten!$S$5*CF77,KnotenData!$H$3)</f>
        <v>0.47499999999999998</v>
      </c>
      <c r="CG79" s="295">
        <f ca="1">IF(ISNUMBER($A74),$D75*(1-CG$1) + $E75*CG$1 + Knoten!$S$5*CG77,KnotenData!$H$3)</f>
        <v>0.47499999999999998</v>
      </c>
      <c r="CH79" s="219">
        <f ca="1">IF(ISNUMBER($A74),$D75*(1-CH$1) + $E75*CH$1 + Knoten!$S$5*CH77,KnotenData!$H$3)</f>
        <v>0.47499999999999998</v>
      </c>
      <c r="CI79" s="449">
        <f ca="1">MAX(BX78:CH78)</f>
        <v>0.5</v>
      </c>
      <c r="CJ79" s="448">
        <f ca="1">MAX(BX79:CH79)</f>
        <v>0.47499999999999998</v>
      </c>
      <c r="CK79" s="446"/>
      <c r="CL79">
        <v>13</v>
      </c>
      <c r="CM79" s="294" t="s">
        <v>103</v>
      </c>
      <c r="CN79" s="218">
        <f ca="1">IF(ISNUMBER($A74),$D75*(1-CN$1) + $E75*CN$1 + Momente!$D$6*CN77,KnotenData!$H$3)</f>
        <v>0.47499999999999998</v>
      </c>
      <c r="CO79" s="295">
        <f ca="1">IF(ISNUMBER($A74),$D75*(1-CO$1) + $E75*CO$1 + Momente!$D$6*CO77,KnotenData!$H$3)</f>
        <v>0.47499999999999998</v>
      </c>
      <c r="CP79" s="295">
        <f ca="1">IF(ISNUMBER($A74),$D75*(1-CP$1) + $E75*CP$1 + Momente!$D$6*CP77,KnotenData!$H$3)</f>
        <v>0.47499999999999998</v>
      </c>
      <c r="CQ79" s="295">
        <f ca="1">IF(ISNUMBER($A74),$D75*(1-CQ$1) + $E75*CQ$1 + Momente!$D$6*CQ77,KnotenData!$H$3)</f>
        <v>0.47499999999999998</v>
      </c>
      <c r="CR79" s="295">
        <f ca="1">IF(ISNUMBER($A74),$D75*(1-CR$1) + $E75*CR$1 + Momente!$D$6*CR77,KnotenData!$H$3)</f>
        <v>0.47499999999999998</v>
      </c>
      <c r="CS79" s="295">
        <f ca="1">IF(ISNUMBER($A74),$D75*(1-CS$1) + $E75*CS$1 + Momente!$D$6*CS77,KnotenData!$H$3)</f>
        <v>0.47499999999999998</v>
      </c>
      <c r="CT79" s="295">
        <f ca="1">IF(ISNUMBER($A74),$D75*(1-CT$1) + $E75*CT$1 + Momente!$D$6*CT77,KnotenData!$H$3)</f>
        <v>0.47499999999999998</v>
      </c>
      <c r="CU79" s="295">
        <f ca="1">IF(ISNUMBER($A74),$D75*(1-CU$1) + $E75*CU$1 + Momente!$D$6*CU77,KnotenData!$H$3)</f>
        <v>0.47499999999999998</v>
      </c>
      <c r="CV79" s="295">
        <f ca="1">IF(ISNUMBER($A74),$D75*(1-CV$1) + $E75*CV$1 + Momente!$D$6*CV77,KnotenData!$H$3)</f>
        <v>0.47499999999999998</v>
      </c>
      <c r="CW79" s="295">
        <f ca="1">IF(ISNUMBER($A74),$D75*(1-CW$1) + $E75*CW$1 + Momente!$D$6*CW77,KnotenData!$H$3)</f>
        <v>0.47499999999999998</v>
      </c>
      <c r="CX79" s="295">
        <f ca="1">IF(ISNUMBER($A74),$D75*(1-CX$1) + $E75*CX$1 + Momente!$D$6*CX77,KnotenData!$H$3)</f>
        <v>0.47499999999999998</v>
      </c>
      <c r="CY79" s="295">
        <f ca="1">IF(ISNUMBER($A74),$E75,KnotenData!$H$3)</f>
        <v>0.47499999999999998</v>
      </c>
      <c r="CZ79" s="295">
        <f ca="1">IF(ISNUMBER($A74),$D75,KnotenData!$H$3)</f>
        <v>0.47499999999999998</v>
      </c>
      <c r="DA79" s="306">
        <f ca="1">IF(ISNUMBER($A74),CN79,KnotenData!$H$3)</f>
        <v>0.47499999999999998</v>
      </c>
      <c r="DB79" s="9">
        <f ca="1">MAX(CN78:DA78)</f>
        <v>0.5</v>
      </c>
      <c r="DC79" s="146">
        <f ca="1">MAX(CN79:DA79)</f>
        <v>0.47499999999999998</v>
      </c>
      <c r="DD79" s="346"/>
      <c r="DE79">
        <v>13</v>
      </c>
      <c r="DF79" s="294" t="s">
        <v>103</v>
      </c>
      <c r="DG79" s="218">
        <f ca="1">IF(ISNUMBER($A74),$D75*(1-DG$1) + $E75*DG$1 + Querkräfte!$D$6*DG77,KnotenData!$H$3)</f>
        <v>0.47499999999999998</v>
      </c>
      <c r="DH79" s="295">
        <f ca="1">IF(ISNUMBER($A74),$D75*(1-DH$1) + $E75*DH$1 + Querkräfte!$D$6*DH77,KnotenData!$H$3)</f>
        <v>0.47499999999999998</v>
      </c>
      <c r="DI79" s="295">
        <f ca="1">IF(ISNUMBER($A74),$D75*(1-DI$1) + $E75*DI$1 + Querkräfte!$D$6*DI77,KnotenData!$H$3)</f>
        <v>0.47499999999999998</v>
      </c>
      <c r="DJ79" s="295">
        <f ca="1">IF(ISNUMBER($A74),$D75*(1-DJ$1) + $E75*DJ$1 + Querkräfte!$D$6*DJ77,KnotenData!$H$3)</f>
        <v>0.47499999999999998</v>
      </c>
      <c r="DK79" s="295">
        <f ca="1">IF(ISNUMBER($A74),$D75*(1-DK$1) + $E75*DK$1 + Querkräfte!$D$6*DK77,KnotenData!$H$3)</f>
        <v>0.47499999999999998</v>
      </c>
      <c r="DL79" s="295">
        <f ca="1">IF(ISNUMBER($A74),$D75*(1-DL$1) + $E75*DL$1 + Querkräfte!$D$6*DL77,KnotenData!$H$3)</f>
        <v>0.47499999999999998</v>
      </c>
      <c r="DM79" s="295">
        <f ca="1">IF(ISNUMBER($A74),$D75*(1-DM$1) + $E75*DM$1 + Querkräfte!$D$6*DM77,KnotenData!$H$3)</f>
        <v>0.47499999999999998</v>
      </c>
      <c r="DN79" s="295">
        <f ca="1">IF(ISNUMBER($A74),$D75*(1-DN$1) + $E75*DN$1 + Querkräfte!$D$6*DN77,KnotenData!$H$3)</f>
        <v>0.47499999999999998</v>
      </c>
      <c r="DO79" s="295">
        <f ca="1">IF(ISNUMBER($A74),$D75*(1-DO$1) + $E75*DO$1 + Querkräfte!$D$6*DO77,KnotenData!$H$3)</f>
        <v>0.47499999999999998</v>
      </c>
      <c r="DP79" s="295">
        <f ca="1">IF(ISNUMBER($A74),$D75*(1-DP$1) + $E75*DP$1 + Querkräfte!$D$6*DP77,KnotenData!$H$3)</f>
        <v>0.47499999999999998</v>
      </c>
      <c r="DQ79" s="295">
        <f ca="1">IF(ISNUMBER($A74),$D75*(1-DQ$1) + $E75*DQ$1 + Querkräfte!$D$6*DQ77,KnotenData!$H$3)</f>
        <v>0.47499999999999998</v>
      </c>
      <c r="DR79" s="295">
        <f ca="1">IF(ISNUMBER($A74),$E75,KnotenData!$H$3)</f>
        <v>0.47499999999999998</v>
      </c>
      <c r="DS79" s="295">
        <f ca="1">IF(ISNUMBER($A74),$D75,KnotenData!$H$3)</f>
        <v>0.47499999999999998</v>
      </c>
      <c r="DT79" s="219">
        <f ca="1">IF(ISNUMBER($A74),DG79,KnotenData!$H$3)</f>
        <v>0.47499999999999998</v>
      </c>
      <c r="DU79" s="11">
        <f ca="1">MAX(DG78:DQ78)</f>
        <v>0.5</v>
      </c>
      <c r="DV79" s="146">
        <f ca="1">MAX(DG79:DQ79)</f>
        <v>0.47499999999999998</v>
      </c>
      <c r="DW79" s="346"/>
      <c r="DX79">
        <v>13</v>
      </c>
      <c r="DY79" s="294" t="s">
        <v>103</v>
      </c>
      <c r="DZ79" s="218">
        <f ca="1">IF(ISNUMBER($A74),$D75*(1-DZ$1) + $E75*DZ$1 + Normalkräfte!$D$6*DZ77,KnotenData!$H$3)</f>
        <v>0.47499999999999998</v>
      </c>
      <c r="EA79" s="295">
        <f ca="1">IF(ISNUMBER($A74),$D75*(1-EA$1) + $E75*EA$1 + Normalkräfte!$D$6*EA77,KnotenData!$H$3)</f>
        <v>0.47499999999999998</v>
      </c>
      <c r="EB79" s="295">
        <f ca="1">IF(ISNUMBER($A74),$D75*(1-EB$1) + $E75*EB$1 + Normalkräfte!$D$6*EB77,KnotenData!$H$3)</f>
        <v>0.47499999999999998</v>
      </c>
      <c r="EC79" s="295">
        <f ca="1">IF(ISNUMBER($A74),$D75*(1-EC$1) + $E75*EC$1 + Normalkräfte!$D$6*EC77,KnotenData!$H$3)</f>
        <v>0.47499999999999998</v>
      </c>
      <c r="ED79" s="295">
        <f ca="1">IF(ISNUMBER($A74),$D75*(1-ED$1) + $E75*ED$1 + Normalkräfte!$D$6*ED77,KnotenData!$H$3)</f>
        <v>0.47499999999999998</v>
      </c>
      <c r="EE79" s="295">
        <f ca="1">IF(ISNUMBER($A74),$D75*(1-EE$1) + $E75*EE$1 + Normalkräfte!$D$6*EE77,KnotenData!$H$3)</f>
        <v>0.47499999999999998</v>
      </c>
      <c r="EF79" s="295">
        <f ca="1">IF(ISNUMBER($A74),$D75*(1-EF$1) + $E75*EF$1 + Normalkräfte!$D$6*EF77,KnotenData!$H$3)</f>
        <v>0.47499999999999998</v>
      </c>
      <c r="EG79" s="295">
        <f ca="1">IF(ISNUMBER($A74),$D75*(1-EG$1) + $E75*EG$1 + Normalkräfte!$D$6*EG77,KnotenData!$H$3)</f>
        <v>0.47499999999999998</v>
      </c>
      <c r="EH79" s="295">
        <f ca="1">IF(ISNUMBER($A74),$D75*(1-EH$1) + $E75*EH$1 + Normalkräfte!$D$6*EH77,KnotenData!$H$3)</f>
        <v>0.47499999999999998</v>
      </c>
      <c r="EI79" s="295">
        <f ca="1">IF(ISNUMBER($A74),$D75*(1-EI$1) + $E75*EI$1 + Normalkräfte!$D$6*EI77,KnotenData!$H$3)</f>
        <v>0.47499999999999998</v>
      </c>
      <c r="EJ79" s="295">
        <f ca="1">IF(ISNUMBER($A74),$D75*(1-EJ$1) + $E75*EJ$1 + Normalkräfte!$D$6*EJ77,KnotenData!$H$3)</f>
        <v>0.47499999999999998</v>
      </c>
      <c r="EK79" s="295">
        <f ca="1">IF(ISNUMBER($A74),$E75,KnotenData!$H$3)</f>
        <v>0.47499999999999998</v>
      </c>
      <c r="EL79" s="295">
        <f ca="1">IF(ISNUMBER($A74),$D75,KnotenData!$H$3)</f>
        <v>0.47499999999999998</v>
      </c>
      <c r="EM79" s="219">
        <f ca="1">IF(ISNUMBER($A74),DZ79,KnotenData!$H$3)</f>
        <v>0.47499999999999998</v>
      </c>
      <c r="EN79" s="9">
        <f ca="1">MAX(DZ78:EJ78)</f>
        <v>0.5</v>
      </c>
      <c r="EO79" s="146">
        <f ca="1">MAX(DZ79:EJ79)</f>
        <v>0.47499999999999998</v>
      </c>
      <c r="EP79" s="346"/>
    </row>
    <row r="80" spans="1:146" x14ac:dyDescent="0.2">
      <c r="A80" s="205" t="str">
        <f ca="1">IF(ISNUMBER(INDIRECT("System!C" &amp;(ROW(A80)+4)/6+1)),INDIRECT("System!B"&amp;(ROW(A80)+4)/6+1),"")</f>
        <v/>
      </c>
      <c r="B80" s="206">
        <f ca="1">IF(ISNUMBER(A80),INDIRECT("System!" &amp; ADDRESS(A80 +1,COLUMN(System!E79))),0)</f>
        <v>0</v>
      </c>
      <c r="C80" s="206">
        <f ca="1">IF(ISNUMBER(A80),INDIRECT("System!" &amp; ADDRESS(A80 +1,COLUMN(System!F79))),0)</f>
        <v>0</v>
      </c>
      <c r="D80" s="209">
        <f ca="1">IF(ISNUMBER(A80),INDIRECT("System!" &amp; ADDRESS(A80 +1,COLUMN(System!O79))),0)</f>
        <v>0</v>
      </c>
      <c r="E80" s="208" t="str">
        <f ca="1">IF(ISNUMBER(A80),INDIRECT("System!" &amp; ADDRESS(A80 +1,COLUMN(System!G79))),"")</f>
        <v/>
      </c>
      <c r="F80" s="208" t="str">
        <f ca="1">IF(ISNUMBER(A80),INDIRECT("System!" &amp; ADDRESS(A80 +1,COLUMN(System!H79))),"")</f>
        <v/>
      </c>
      <c r="G80" s="261" t="str">
        <f ca="1">IF(ISNUMBER(A80),INDIRECT("System!" &amp; ADDRESS(A80 +1,COLUMN(System!I79))),"")</f>
        <v/>
      </c>
      <c r="H80" s="207">
        <f ca="1">IF(ISNUMBER($A80),INDIRECT("System!" &amp; ADDRESS($A80 +1,COLUMN(System!Q79))),0)</f>
        <v>0</v>
      </c>
      <c r="I80" s="209">
        <f ca="1">IF(ISNUMBER($A80),INDIRECT("System!" &amp; ADDRESS($A80 +1,COLUMN(System!R79))),0)</f>
        <v>0</v>
      </c>
      <c r="J80" s="179">
        <f ca="1">IF(ISNUMBER(A80),C80/D80,0)</f>
        <v>0</v>
      </c>
      <c r="K80" s="5">
        <v>0</v>
      </c>
      <c r="L80" s="6">
        <v>0</v>
      </c>
      <c r="M80" s="4">
        <f ca="1">-J80</f>
        <v>0</v>
      </c>
      <c r="N80" s="5">
        <v>0</v>
      </c>
      <c r="O80" s="6">
        <v>0</v>
      </c>
      <c r="P80" s="141">
        <f ca="1">I80</f>
        <v>0</v>
      </c>
      <c r="Q80" s="142">
        <f ca="1">-H80</f>
        <v>0</v>
      </c>
      <c r="R80" s="142">
        <v>0</v>
      </c>
      <c r="S80" s="182">
        <v>0</v>
      </c>
      <c r="T80" s="182">
        <v>0</v>
      </c>
      <c r="U80" s="183">
        <v>0</v>
      </c>
      <c r="V80" s="179">
        <f t="array" aca="1" ref="V80:AA85" ca="1">MMULT(TRANSPOSE(P80:U85),MMULT(J80:O85,P80:U85))</f>
        <v>0</v>
      </c>
      <c r="W80" s="5">
        <f ca="1"/>
        <v>0</v>
      </c>
      <c r="X80" s="6">
        <f ca="1"/>
        <v>0</v>
      </c>
      <c r="Y80" s="4">
        <f ca="1"/>
        <v>0</v>
      </c>
      <c r="Z80" s="5">
        <f ca="1"/>
        <v>0</v>
      </c>
      <c r="AA80" s="6">
        <f ca="1"/>
        <v>0</v>
      </c>
      <c r="AB80" s="60">
        <f ca="1">IF(ISNUMBER($A80),INDIRECT("System!" &amp; ADDRESS(A80+1,COLUMN(System!S79))),0)</f>
        <v>0</v>
      </c>
      <c r="AC80" s="299">
        <f ca="1">IF(ISNUMBER(E80),E80*D80/2,0)</f>
        <v>0</v>
      </c>
      <c r="AD80" s="60">
        <f t="array" aca="1" ref="AD80:AD85" ca="1">MMULT(TRANSPOSE(P80:U85),AC80:AC85) - MMULT(V80:AA85,AB80:AB85)</f>
        <v>0</v>
      </c>
      <c r="AE80" s="4">
        <f t="shared" ref="AE80:BR80" ca="1" si="146">IF(ABS($B82)=AE$1,SIGN($B82),0)</f>
        <v>0</v>
      </c>
      <c r="AF80" s="5">
        <f t="shared" ca="1" si="146"/>
        <v>0</v>
      </c>
      <c r="AG80" s="5">
        <f t="shared" ca="1" si="146"/>
        <v>0</v>
      </c>
      <c r="AH80" s="5">
        <f t="shared" ca="1" si="146"/>
        <v>0</v>
      </c>
      <c r="AI80" s="5">
        <f t="shared" ca="1" si="146"/>
        <v>0</v>
      </c>
      <c r="AJ80" s="189">
        <f t="shared" ca="1" si="146"/>
        <v>0</v>
      </c>
      <c r="AK80" s="189">
        <f t="shared" ca="1" si="146"/>
        <v>0</v>
      </c>
      <c r="AL80" s="189">
        <f t="shared" ca="1" si="146"/>
        <v>0</v>
      </c>
      <c r="AM80" s="189">
        <f t="shared" ca="1" si="146"/>
        <v>0</v>
      </c>
      <c r="AN80" s="189">
        <f t="shared" ca="1" si="146"/>
        <v>0</v>
      </c>
      <c r="AO80" s="189">
        <f t="shared" ca="1" si="146"/>
        <v>0</v>
      </c>
      <c r="AP80" s="189">
        <f t="shared" ca="1" si="146"/>
        <v>0</v>
      </c>
      <c r="AQ80" s="189">
        <f t="shared" ca="1" si="146"/>
        <v>0</v>
      </c>
      <c r="AR80" s="189">
        <f t="shared" ca="1" si="146"/>
        <v>0</v>
      </c>
      <c r="AS80" s="189">
        <f t="shared" ca="1" si="146"/>
        <v>0</v>
      </c>
      <c r="AT80" s="189">
        <f t="shared" ca="1" si="146"/>
        <v>0</v>
      </c>
      <c r="AU80" s="189">
        <f t="shared" ca="1" si="146"/>
        <v>0</v>
      </c>
      <c r="AV80" s="189">
        <f t="shared" ca="1" si="146"/>
        <v>0</v>
      </c>
      <c r="AW80" s="189">
        <f t="shared" ca="1" si="146"/>
        <v>0</v>
      </c>
      <c r="AX80" s="189">
        <f t="shared" ca="1" si="146"/>
        <v>0</v>
      </c>
      <c r="AY80" s="189">
        <f t="shared" ca="1" si="146"/>
        <v>0</v>
      </c>
      <c r="AZ80" s="189">
        <f t="shared" ca="1" si="146"/>
        <v>0</v>
      </c>
      <c r="BA80" s="189">
        <f t="shared" ca="1" si="146"/>
        <v>0</v>
      </c>
      <c r="BB80" s="189">
        <f t="shared" ca="1" si="146"/>
        <v>0</v>
      </c>
      <c r="BC80" s="189">
        <f t="shared" ca="1" si="146"/>
        <v>0</v>
      </c>
      <c r="BD80" s="189">
        <f t="shared" ca="1" si="146"/>
        <v>0</v>
      </c>
      <c r="BE80" s="189">
        <f t="shared" ca="1" si="146"/>
        <v>0</v>
      </c>
      <c r="BF80" s="189">
        <f t="shared" ca="1" si="146"/>
        <v>0</v>
      </c>
      <c r="BG80" s="189">
        <f t="shared" ca="1" si="146"/>
        <v>0</v>
      </c>
      <c r="BH80" s="189">
        <f t="shared" ca="1" si="146"/>
        <v>0</v>
      </c>
      <c r="BI80" s="189">
        <f t="shared" ca="1" si="146"/>
        <v>0</v>
      </c>
      <c r="BJ80" s="189">
        <f t="shared" ca="1" si="146"/>
        <v>0</v>
      </c>
      <c r="BK80" s="189">
        <f t="shared" ca="1" si="146"/>
        <v>0</v>
      </c>
      <c r="BL80" s="189">
        <f t="shared" ca="1" si="146"/>
        <v>0</v>
      </c>
      <c r="BM80" s="189">
        <f t="shared" ca="1" si="146"/>
        <v>0</v>
      </c>
      <c r="BN80" s="189">
        <f t="shared" ca="1" si="146"/>
        <v>0</v>
      </c>
      <c r="BO80" s="189">
        <f t="shared" ca="1" si="146"/>
        <v>0</v>
      </c>
      <c r="BP80" s="189">
        <f t="shared" ca="1" si="146"/>
        <v>0</v>
      </c>
      <c r="BQ80" s="189">
        <f t="shared" ca="1" si="146"/>
        <v>0</v>
      </c>
      <c r="BR80" s="189">
        <f t="shared" ca="1" si="146"/>
        <v>0</v>
      </c>
      <c r="BS80" s="281">
        <f ca="1">IF(ISNUMBER($A80),IF(INDEX(B82:G82,1)&lt;&gt;0,SIGN(INDEX(B82:G82,1))*INDIRECT(ADDRESS(1+ABS(INDEX(B82:G82,1)),COLUMN(Ksys!$B$1),1,TRUE,"Ksys")),0)+AB80,0)</f>
        <v>0</v>
      </c>
      <c r="BT80" s="60">
        <f t="array" aca="1" ref="BT80:BT85" ca="1">MMULT(P80:U85,BS80:BS85)</f>
        <v>0</v>
      </c>
      <c r="BU80" s="60">
        <f t="array" aca="1" ref="BU80:BU85" ca="1">MMULT(J80:O85,BT80:BT85)-AC80:AC85</f>
        <v>0</v>
      </c>
      <c r="BV80" s="60">
        <f t="array" aca="1" ref="BV80:BV82" ca="1">-(MMULT(J80:O82,BT80:BT85)-AC80:AC82)</f>
        <v>0</v>
      </c>
      <c r="BW80" s="286" t="s">
        <v>97</v>
      </c>
      <c r="BX80" s="4">
        <f t="shared" ref="BX80:CH80" ca="1" si="147">IF(ISNUMBER($A80),$BT80*(1-BX$1) + $BT83*BX$1,0)</f>
        <v>0</v>
      </c>
      <c r="BY80" s="5">
        <f t="shared" ca="1" si="147"/>
        <v>0</v>
      </c>
      <c r="BZ80" s="5">
        <f t="shared" ca="1" si="147"/>
        <v>0</v>
      </c>
      <c r="CA80" s="5">
        <f t="shared" ca="1" si="147"/>
        <v>0</v>
      </c>
      <c r="CB80" s="5">
        <f t="shared" ca="1" si="147"/>
        <v>0</v>
      </c>
      <c r="CC80" s="5">
        <f t="shared" ca="1" si="147"/>
        <v>0</v>
      </c>
      <c r="CD80" s="5">
        <f t="shared" ca="1" si="147"/>
        <v>0</v>
      </c>
      <c r="CE80" s="5">
        <f t="shared" ca="1" si="147"/>
        <v>0</v>
      </c>
      <c r="CF80" s="5">
        <f t="shared" ca="1" si="147"/>
        <v>0</v>
      </c>
      <c r="CG80" s="5">
        <f t="shared" ca="1" si="147"/>
        <v>0</v>
      </c>
      <c r="CH80" s="6">
        <f t="shared" ca="1" si="147"/>
        <v>0</v>
      </c>
      <c r="CI80" s="343"/>
      <c r="CJ80" s="343"/>
      <c r="CK80" s="308"/>
      <c r="CM80" s="290" t="s">
        <v>97</v>
      </c>
      <c r="CN80" s="4">
        <v>0</v>
      </c>
      <c r="CO80" s="5">
        <v>0</v>
      </c>
      <c r="CP80" s="5">
        <v>0</v>
      </c>
      <c r="CQ80" s="5">
        <v>0</v>
      </c>
      <c r="CR80" s="5">
        <v>0</v>
      </c>
      <c r="CS80" s="5">
        <v>0</v>
      </c>
      <c r="CT80" s="5">
        <v>0</v>
      </c>
      <c r="CU80" s="5">
        <v>0</v>
      </c>
      <c r="CV80" s="5">
        <v>0</v>
      </c>
      <c r="CW80" s="5">
        <v>0</v>
      </c>
      <c r="CX80" s="5">
        <v>0</v>
      </c>
      <c r="CY80" s="5"/>
      <c r="CZ80" s="5"/>
      <c r="DA80" s="189"/>
      <c r="DB80" s="307"/>
      <c r="DC80" s="308"/>
      <c r="DD80" s="343"/>
      <c r="DF80" s="290" t="s">
        <v>97</v>
      </c>
      <c r="DG80" s="4">
        <v>0</v>
      </c>
      <c r="DH80" s="5">
        <v>0</v>
      </c>
      <c r="DI80" s="5">
        <v>0</v>
      </c>
      <c r="DJ80" s="5">
        <v>0</v>
      </c>
      <c r="DK80" s="5">
        <v>0</v>
      </c>
      <c r="DL80" s="5">
        <v>0</v>
      </c>
      <c r="DM80" s="5">
        <v>0</v>
      </c>
      <c r="DN80" s="5">
        <v>0</v>
      </c>
      <c r="DO80" s="5">
        <v>0</v>
      </c>
      <c r="DP80" s="5">
        <v>0</v>
      </c>
      <c r="DQ80" s="5">
        <v>0</v>
      </c>
      <c r="DR80" s="5"/>
      <c r="DS80" s="5"/>
      <c r="DT80" s="6"/>
      <c r="DU80" s="325"/>
      <c r="DV80" s="308"/>
      <c r="DW80" s="343"/>
      <c r="DY80" s="290" t="s">
        <v>97</v>
      </c>
      <c r="DZ80" s="4">
        <v>0</v>
      </c>
      <c r="EA80" s="5">
        <v>0</v>
      </c>
      <c r="EB80" s="5">
        <v>0</v>
      </c>
      <c r="EC80" s="5">
        <v>0</v>
      </c>
      <c r="ED80" s="5">
        <v>0</v>
      </c>
      <c r="EE80" s="5">
        <v>0</v>
      </c>
      <c r="EF80" s="5">
        <v>0</v>
      </c>
      <c r="EG80" s="5">
        <v>0</v>
      </c>
      <c r="EH80" s="5">
        <v>0</v>
      </c>
      <c r="EI80" s="5">
        <v>0</v>
      </c>
      <c r="EJ80" s="5">
        <v>0</v>
      </c>
      <c r="EK80" s="5"/>
      <c r="EL80" s="5"/>
      <c r="EM80" s="6"/>
      <c r="EN80" s="307"/>
      <c r="EO80" s="308"/>
      <c r="EP80" s="343"/>
    </row>
    <row r="81" spans="1:146" x14ac:dyDescent="0.2">
      <c r="B81" s="1">
        <f ca="1">IF(ISNUMBER($A80),INDIRECT(ADDRESS($A80+1,COLUMN(System!K$2),1,TRUE,"System")),0)</f>
        <v>0</v>
      </c>
      <c r="C81" s="1">
        <f ca="1">IF(ISNUMBER($A80),INDIRECT(ADDRESS($A80+1,COLUMN(System!L$2),1,TRUE,"System")),0)</f>
        <v>0</v>
      </c>
      <c r="D81" s="1">
        <f ca="1">IF(ISNUMBER($A80),INDIRECT(ADDRESS($A80+1,COLUMN(System!M$2),1,TRUE,"System")),0)</f>
        <v>0</v>
      </c>
      <c r="E81" s="1">
        <f ca="1">IF(ISNUMBER($A80),INDIRECT(ADDRESS($A80+1,COLUMN(System!N$2),1,TRUE,"System")),0)</f>
        <v>0</v>
      </c>
      <c r="F81" s="12"/>
      <c r="J81" s="7">
        <v>0</v>
      </c>
      <c r="K81" s="180">
        <f ca="1">IF(G80=1,12*B80/D80^3,IF(G80="2a",3*B80/D80^3,IF(G80="2b",3*B80/D80^3,0)))</f>
        <v>0</v>
      </c>
      <c r="L81" s="8">
        <f ca="1">K82</f>
        <v>0</v>
      </c>
      <c r="M81" s="7">
        <v>0</v>
      </c>
      <c r="N81" s="1">
        <f ca="1">-K81</f>
        <v>0</v>
      </c>
      <c r="O81" s="8">
        <f ca="1">K85</f>
        <v>0</v>
      </c>
      <c r="P81" s="143">
        <f ca="1">H80</f>
        <v>0</v>
      </c>
      <c r="Q81" s="99">
        <f ca="1">I80</f>
        <v>0</v>
      </c>
      <c r="R81" s="99">
        <v>0</v>
      </c>
      <c r="S81" s="101">
        <v>0</v>
      </c>
      <c r="T81" s="101">
        <v>0</v>
      </c>
      <c r="U81" s="110">
        <v>0</v>
      </c>
      <c r="V81" s="7">
        <f ca="1"/>
        <v>0</v>
      </c>
      <c r="W81" s="180">
        <f ca="1"/>
        <v>0</v>
      </c>
      <c r="X81" s="8">
        <f ca="1"/>
        <v>0</v>
      </c>
      <c r="Y81" s="7">
        <f ca="1"/>
        <v>0</v>
      </c>
      <c r="Z81" s="1">
        <f ca="1"/>
        <v>0</v>
      </c>
      <c r="AA81" s="8">
        <f ca="1"/>
        <v>0</v>
      </c>
      <c r="AB81" s="61">
        <f ca="1">IF(ISNUMBER($A80),INDIRECT("System!" &amp; ADDRESS(A80+1,COLUMN(System!T79))),0)</f>
        <v>0</v>
      </c>
      <c r="AC81" s="301">
        <f ca="1">IF(G80=1,F80*D80/2,IF(G80="2a",F80*3/8*D80,IF(G80="2b",F80*5/8*D80,0)))</f>
        <v>0</v>
      </c>
      <c r="AD81" s="61">
        <f ca="1"/>
        <v>0</v>
      </c>
      <c r="AE81" s="7">
        <f t="shared" ref="AE81:BR81" ca="1" si="148">IF(ABS($C82)=AE$1,SIGN($C82),0)</f>
        <v>0</v>
      </c>
      <c r="AF81" s="1">
        <f t="shared" ca="1" si="148"/>
        <v>0</v>
      </c>
      <c r="AG81" s="1">
        <f t="shared" ca="1" si="148"/>
        <v>0</v>
      </c>
      <c r="AH81" s="1">
        <f t="shared" ca="1" si="148"/>
        <v>0</v>
      </c>
      <c r="AI81" s="1">
        <f t="shared" ca="1" si="148"/>
        <v>0</v>
      </c>
      <c r="AJ81" s="26">
        <f t="shared" ca="1" si="148"/>
        <v>0</v>
      </c>
      <c r="AK81" s="26">
        <f t="shared" ca="1" si="148"/>
        <v>0</v>
      </c>
      <c r="AL81" s="26">
        <f t="shared" ca="1" si="148"/>
        <v>0</v>
      </c>
      <c r="AM81" s="26">
        <f t="shared" ca="1" si="148"/>
        <v>0</v>
      </c>
      <c r="AN81" s="26">
        <f t="shared" ca="1" si="148"/>
        <v>0</v>
      </c>
      <c r="AO81" s="26">
        <f t="shared" ca="1" si="148"/>
        <v>0</v>
      </c>
      <c r="AP81" s="26">
        <f t="shared" ca="1" si="148"/>
        <v>0</v>
      </c>
      <c r="AQ81" s="26">
        <f t="shared" ca="1" si="148"/>
        <v>0</v>
      </c>
      <c r="AR81" s="26">
        <f t="shared" ca="1" si="148"/>
        <v>0</v>
      </c>
      <c r="AS81" s="26">
        <f t="shared" ca="1" si="148"/>
        <v>0</v>
      </c>
      <c r="AT81" s="26">
        <f t="shared" ca="1" si="148"/>
        <v>0</v>
      </c>
      <c r="AU81" s="26">
        <f t="shared" ca="1" si="148"/>
        <v>0</v>
      </c>
      <c r="AV81" s="26">
        <f t="shared" ca="1" si="148"/>
        <v>0</v>
      </c>
      <c r="AW81" s="26">
        <f t="shared" ca="1" si="148"/>
        <v>0</v>
      </c>
      <c r="AX81" s="26">
        <f t="shared" ca="1" si="148"/>
        <v>0</v>
      </c>
      <c r="AY81" s="26">
        <f t="shared" ca="1" si="148"/>
        <v>0</v>
      </c>
      <c r="AZ81" s="26">
        <f t="shared" ca="1" si="148"/>
        <v>0</v>
      </c>
      <c r="BA81" s="26">
        <f t="shared" ca="1" si="148"/>
        <v>0</v>
      </c>
      <c r="BB81" s="26">
        <f t="shared" ca="1" si="148"/>
        <v>0</v>
      </c>
      <c r="BC81" s="26">
        <f t="shared" ca="1" si="148"/>
        <v>0</v>
      </c>
      <c r="BD81" s="26">
        <f t="shared" ca="1" si="148"/>
        <v>0</v>
      </c>
      <c r="BE81" s="26">
        <f t="shared" ca="1" si="148"/>
        <v>0</v>
      </c>
      <c r="BF81" s="26">
        <f t="shared" ca="1" si="148"/>
        <v>0</v>
      </c>
      <c r="BG81" s="26">
        <f t="shared" ca="1" si="148"/>
        <v>0</v>
      </c>
      <c r="BH81" s="26">
        <f t="shared" ca="1" si="148"/>
        <v>0</v>
      </c>
      <c r="BI81" s="26">
        <f t="shared" ca="1" si="148"/>
        <v>0</v>
      </c>
      <c r="BJ81" s="26">
        <f t="shared" ca="1" si="148"/>
        <v>0</v>
      </c>
      <c r="BK81" s="26">
        <f t="shared" ca="1" si="148"/>
        <v>0</v>
      </c>
      <c r="BL81" s="26">
        <f t="shared" ca="1" si="148"/>
        <v>0</v>
      </c>
      <c r="BM81" s="26">
        <f t="shared" ca="1" si="148"/>
        <v>0</v>
      </c>
      <c r="BN81" s="26">
        <f t="shared" ca="1" si="148"/>
        <v>0</v>
      </c>
      <c r="BO81" s="26">
        <f t="shared" ca="1" si="148"/>
        <v>0</v>
      </c>
      <c r="BP81" s="26">
        <f t="shared" ca="1" si="148"/>
        <v>0</v>
      </c>
      <c r="BQ81" s="26">
        <f t="shared" ca="1" si="148"/>
        <v>0</v>
      </c>
      <c r="BR81" s="26">
        <f t="shared" ca="1" si="148"/>
        <v>0</v>
      </c>
      <c r="BS81" s="282">
        <f ca="1">IF(ISNUMBER($A80),IF(INDEX(B82:G82,2)&lt;&gt;0,SIGN(INDEX(B82:G82,2))*INDIRECT(ADDRESS(1+ABS(INDEX(B82:G82,2)),COLUMN(Ksys!$B$1),1,TRUE,"Ksys")),0)+AB81,0)</f>
        <v>0</v>
      </c>
      <c r="BT81" s="61">
        <f ca="1"/>
        <v>0</v>
      </c>
      <c r="BU81" s="61">
        <f ca="1"/>
        <v>0</v>
      </c>
      <c r="BV81" s="61">
        <f ca="1"/>
        <v>0</v>
      </c>
      <c r="BW81" s="287" t="s">
        <v>100</v>
      </c>
      <c r="BX81" s="272">
        <f t="shared" ref="BX81:CH81" ca="1" si="149" xml:space="preserve">  IF(ISNUMBER($A80),$BT81*(1-BX$1) + $BT84*BX$1 + ((1-BX$1)-(1-BX$1)^3)*$D80^2/6*$BV82/$B80 + (BX$1-(BX$1)^3)*$D80^2/6*$BV85/$B80 + (BX$1-2*(BX$1)^3+(BX$1)^4)*$D80^2/3*$F80*$D80^2/8/$B80,0)</f>
        <v>0</v>
      </c>
      <c r="BY81" s="173">
        <f t="shared" ca="1" si="149"/>
        <v>0</v>
      </c>
      <c r="BZ81" s="173">
        <f t="shared" ca="1" si="149"/>
        <v>0</v>
      </c>
      <c r="CA81" s="173">
        <f t="shared" ca="1" si="149"/>
        <v>0</v>
      </c>
      <c r="CB81" s="173">
        <f t="shared" ca="1" si="149"/>
        <v>0</v>
      </c>
      <c r="CC81" s="173">
        <f t="shared" ca="1" si="149"/>
        <v>0</v>
      </c>
      <c r="CD81" s="173">
        <f t="shared" ca="1" si="149"/>
        <v>0</v>
      </c>
      <c r="CE81" s="173">
        <f t="shared" ca="1" si="149"/>
        <v>0</v>
      </c>
      <c r="CF81" s="173">
        <f t="shared" ca="1" si="149"/>
        <v>0</v>
      </c>
      <c r="CG81" s="173">
        <f t="shared" ca="1" si="149"/>
        <v>0</v>
      </c>
      <c r="CH81" s="289">
        <f t="shared" ca="1" si="149"/>
        <v>0</v>
      </c>
      <c r="CI81" s="344"/>
      <c r="CJ81" s="344"/>
      <c r="CK81" s="312"/>
      <c r="CM81" s="291" t="s">
        <v>100</v>
      </c>
      <c r="CN81" s="7">
        <f t="shared" ref="CN81:CX81" ca="1" si="150" xml:space="preserve">  IF(ISNUMBER($A80),$BV82*(1-CN$1) + $BV85*CN$1  + CN$1*(1-CN$1)*$F80*$D80^2/2,0)</f>
        <v>0</v>
      </c>
      <c r="CO81" s="1">
        <f t="shared" ca="1" si="150"/>
        <v>0</v>
      </c>
      <c r="CP81" s="1">
        <f t="shared" ca="1" si="150"/>
        <v>0</v>
      </c>
      <c r="CQ81" s="1">
        <f t="shared" ca="1" si="150"/>
        <v>0</v>
      </c>
      <c r="CR81" s="1">
        <f t="shared" ca="1" si="150"/>
        <v>0</v>
      </c>
      <c r="CS81" s="1">
        <f t="shared" ca="1" si="150"/>
        <v>0</v>
      </c>
      <c r="CT81" s="1">
        <f t="shared" ca="1" si="150"/>
        <v>0</v>
      </c>
      <c r="CU81" s="1">
        <f t="shared" ca="1" si="150"/>
        <v>0</v>
      </c>
      <c r="CV81" s="1">
        <f t="shared" ca="1" si="150"/>
        <v>0</v>
      </c>
      <c r="CW81" s="1">
        <f t="shared" ca="1" si="150"/>
        <v>0</v>
      </c>
      <c r="CX81" s="1">
        <f t="shared" ca="1" si="150"/>
        <v>0</v>
      </c>
      <c r="CY81" s="1"/>
      <c r="CZ81" s="1"/>
      <c r="DA81" s="26"/>
      <c r="DB81" s="309"/>
      <c r="DC81" s="310"/>
      <c r="DD81" s="345"/>
      <c r="DF81" s="291" t="s">
        <v>100</v>
      </c>
      <c r="DG81" s="7">
        <f t="shared" ref="DG81:DQ81" ca="1" si="151" xml:space="preserve">  IF(ISNUMBER($A80),$BV81*(1-DG$1) + $BV84*DG$1,0)</f>
        <v>0</v>
      </c>
      <c r="DH81" s="1">
        <f t="shared" ca="1" si="151"/>
        <v>0</v>
      </c>
      <c r="DI81" s="1">
        <f t="shared" ca="1" si="151"/>
        <v>0</v>
      </c>
      <c r="DJ81" s="1">
        <f t="shared" ca="1" si="151"/>
        <v>0</v>
      </c>
      <c r="DK81" s="1">
        <f t="shared" ca="1" si="151"/>
        <v>0</v>
      </c>
      <c r="DL81" s="1">
        <f t="shared" ca="1" si="151"/>
        <v>0</v>
      </c>
      <c r="DM81" s="1">
        <f t="shared" ca="1" si="151"/>
        <v>0</v>
      </c>
      <c r="DN81" s="1">
        <f t="shared" ca="1" si="151"/>
        <v>0</v>
      </c>
      <c r="DO81" s="1">
        <f t="shared" ca="1" si="151"/>
        <v>0</v>
      </c>
      <c r="DP81" s="1">
        <f t="shared" ca="1" si="151"/>
        <v>0</v>
      </c>
      <c r="DQ81" s="1">
        <f t="shared" ca="1" si="151"/>
        <v>0</v>
      </c>
      <c r="DR81" s="1"/>
      <c r="DS81" s="1"/>
      <c r="DT81" s="8"/>
      <c r="DU81" s="12"/>
      <c r="DV81" s="310"/>
      <c r="DW81" s="345"/>
      <c r="DY81" s="291" t="s">
        <v>100</v>
      </c>
      <c r="DZ81" s="7">
        <f t="shared" ref="DZ81:EJ81" ca="1" si="152" xml:space="preserve">  IF(ISNUMBER($A80),$BV80*(1-DZ$1) + $BV83*DZ$1,0)</f>
        <v>0</v>
      </c>
      <c r="EA81" s="1">
        <f t="shared" ca="1" si="152"/>
        <v>0</v>
      </c>
      <c r="EB81" s="1">
        <f t="shared" ca="1" si="152"/>
        <v>0</v>
      </c>
      <c r="EC81" s="1">
        <f t="shared" ca="1" si="152"/>
        <v>0</v>
      </c>
      <c r="ED81" s="1">
        <f t="shared" ca="1" si="152"/>
        <v>0</v>
      </c>
      <c r="EE81" s="1">
        <f t="shared" ca="1" si="152"/>
        <v>0</v>
      </c>
      <c r="EF81" s="1">
        <f t="shared" ca="1" si="152"/>
        <v>0</v>
      </c>
      <c r="EG81" s="1">
        <f t="shared" ca="1" si="152"/>
        <v>0</v>
      </c>
      <c r="EH81" s="1">
        <f t="shared" ca="1" si="152"/>
        <v>0</v>
      </c>
      <c r="EI81" s="1">
        <f t="shared" ca="1" si="152"/>
        <v>0</v>
      </c>
      <c r="EJ81" s="1">
        <f t="shared" ca="1" si="152"/>
        <v>0</v>
      </c>
      <c r="EK81" s="1"/>
      <c r="EL81" s="1"/>
      <c r="EM81" s="8"/>
      <c r="EN81" s="309"/>
      <c r="EO81" s="310"/>
      <c r="EP81" s="345"/>
    </row>
    <row r="82" spans="1:146" ht="13.5" thickBot="1" x14ac:dyDescent="0.25">
      <c r="B82" s="1">
        <f ca="1">IF(ISNUMBER($A80),INDIRECT("System!" &amp; ADDRESS($A80 +1,COLUMN(System!Y79))),0)</f>
        <v>0</v>
      </c>
      <c r="C82" s="1">
        <f ca="1">IF(ISNUMBER($A80),INDIRECT("System!" &amp; ADDRESS($A80 +1,COLUMN(System!Z79))),0)</f>
        <v>0</v>
      </c>
      <c r="D82" s="1">
        <f ca="1">IF(ISNUMBER($A80),INDIRECT("System!" &amp; ADDRESS($A80 +1,COLUMN(System!AA79))),0)</f>
        <v>0</v>
      </c>
      <c r="E82" s="1">
        <f ca="1">IF(ISNUMBER($A80),INDIRECT("System!" &amp; ADDRESS($A80 +1,COLUMN(System!AB79))),0)</f>
        <v>0</v>
      </c>
      <c r="F82" s="1">
        <f ca="1">IF(ISNUMBER($A80),INDIRECT("System!" &amp; ADDRESS($A80 +1,COLUMN(System!AC79))),0)</f>
        <v>0</v>
      </c>
      <c r="G82" s="1">
        <f ca="1">IF(ISNUMBER($A80),INDIRECT("System!" &amp; ADDRESS($A80 +1,COLUMN(System!AD79))),0)</f>
        <v>0</v>
      </c>
      <c r="J82" s="9">
        <v>0</v>
      </c>
      <c r="K82" s="10">
        <f ca="1">IF(G80=1,-6*B80/D80^2,IF(G80="2a",0,IF(G80="2b",-3*B80/D80^2,0)))</f>
        <v>0</v>
      </c>
      <c r="L82" s="181">
        <f ca="1">IF(G80=1,4*B80/D80,IF(G80="2a",0,IF(G80="2b",3*B80/D80,0)))</f>
        <v>0</v>
      </c>
      <c r="M82" s="9">
        <v>0</v>
      </c>
      <c r="N82" s="10">
        <f ca="1">L84</f>
        <v>0</v>
      </c>
      <c r="O82" s="146">
        <f ca="1">L85</f>
        <v>0</v>
      </c>
      <c r="P82" s="143">
        <v>0</v>
      </c>
      <c r="Q82" s="99">
        <v>0</v>
      </c>
      <c r="R82" s="99">
        <v>1</v>
      </c>
      <c r="S82" s="101">
        <v>0</v>
      </c>
      <c r="T82" s="101">
        <v>0</v>
      </c>
      <c r="U82" s="110">
        <v>0</v>
      </c>
      <c r="V82" s="9">
        <f ca="1"/>
        <v>0</v>
      </c>
      <c r="W82" s="10">
        <f ca="1"/>
        <v>0</v>
      </c>
      <c r="X82" s="181">
        <f ca="1"/>
        <v>0</v>
      </c>
      <c r="Y82" s="9">
        <f ca="1"/>
        <v>0</v>
      </c>
      <c r="Z82" s="10">
        <f ca="1"/>
        <v>0</v>
      </c>
      <c r="AA82" s="146">
        <f ca="1"/>
        <v>0</v>
      </c>
      <c r="AB82" s="61">
        <f ca="1">IF(ISNUMBER($A80),INDIRECT("System!" &amp; ADDRESS(A80+1,COLUMN(System!U79))),0)</f>
        <v>0</v>
      </c>
      <c r="AC82" s="301">
        <f ca="1">IF(G80=1,-F80*D80^2/12,IF(G80="2a",0,IF(G80="2b",-F80*D80^2/8,0)))</f>
        <v>0</v>
      </c>
      <c r="AD82" s="61">
        <f ca="1"/>
        <v>0</v>
      </c>
      <c r="AE82" s="7">
        <f t="shared" ref="AE82:BR82" ca="1" si="153">IF(ABS($D82)=AE$1,SIGN($D82),0)</f>
        <v>0</v>
      </c>
      <c r="AF82" s="1">
        <f t="shared" ca="1" si="153"/>
        <v>0</v>
      </c>
      <c r="AG82" s="1">
        <f t="shared" ca="1" si="153"/>
        <v>0</v>
      </c>
      <c r="AH82" s="1">
        <f t="shared" ca="1" si="153"/>
        <v>0</v>
      </c>
      <c r="AI82" s="1">
        <f t="shared" ca="1" si="153"/>
        <v>0</v>
      </c>
      <c r="AJ82" s="26">
        <f t="shared" ca="1" si="153"/>
        <v>0</v>
      </c>
      <c r="AK82" s="26">
        <f t="shared" ca="1" si="153"/>
        <v>0</v>
      </c>
      <c r="AL82" s="26">
        <f t="shared" ca="1" si="153"/>
        <v>0</v>
      </c>
      <c r="AM82" s="26">
        <f t="shared" ca="1" si="153"/>
        <v>0</v>
      </c>
      <c r="AN82" s="26">
        <f t="shared" ca="1" si="153"/>
        <v>0</v>
      </c>
      <c r="AO82" s="26">
        <f t="shared" ca="1" si="153"/>
        <v>0</v>
      </c>
      <c r="AP82" s="26">
        <f t="shared" ca="1" si="153"/>
        <v>0</v>
      </c>
      <c r="AQ82" s="26">
        <f t="shared" ca="1" si="153"/>
        <v>0</v>
      </c>
      <c r="AR82" s="26">
        <f t="shared" ca="1" si="153"/>
        <v>0</v>
      </c>
      <c r="AS82" s="26">
        <f t="shared" ca="1" si="153"/>
        <v>0</v>
      </c>
      <c r="AT82" s="26">
        <f t="shared" ca="1" si="153"/>
        <v>0</v>
      </c>
      <c r="AU82" s="26">
        <f t="shared" ca="1" si="153"/>
        <v>0</v>
      </c>
      <c r="AV82" s="26">
        <f t="shared" ca="1" si="153"/>
        <v>0</v>
      </c>
      <c r="AW82" s="26">
        <f t="shared" ca="1" si="153"/>
        <v>0</v>
      </c>
      <c r="AX82" s="26">
        <f t="shared" ca="1" si="153"/>
        <v>0</v>
      </c>
      <c r="AY82" s="26">
        <f t="shared" ca="1" si="153"/>
        <v>0</v>
      </c>
      <c r="AZ82" s="26">
        <f t="shared" ca="1" si="153"/>
        <v>0</v>
      </c>
      <c r="BA82" s="26">
        <f t="shared" ca="1" si="153"/>
        <v>0</v>
      </c>
      <c r="BB82" s="26">
        <f t="shared" ca="1" si="153"/>
        <v>0</v>
      </c>
      <c r="BC82" s="26">
        <f t="shared" ca="1" si="153"/>
        <v>0</v>
      </c>
      <c r="BD82" s="26">
        <f t="shared" ca="1" si="153"/>
        <v>0</v>
      </c>
      <c r="BE82" s="26">
        <f t="shared" ca="1" si="153"/>
        <v>0</v>
      </c>
      <c r="BF82" s="26">
        <f t="shared" ca="1" si="153"/>
        <v>0</v>
      </c>
      <c r="BG82" s="26">
        <f t="shared" ca="1" si="153"/>
        <v>0</v>
      </c>
      <c r="BH82" s="26">
        <f t="shared" ca="1" si="153"/>
        <v>0</v>
      </c>
      <c r="BI82" s="26">
        <f t="shared" ca="1" si="153"/>
        <v>0</v>
      </c>
      <c r="BJ82" s="26">
        <f t="shared" ca="1" si="153"/>
        <v>0</v>
      </c>
      <c r="BK82" s="26">
        <f t="shared" ca="1" si="153"/>
        <v>0</v>
      </c>
      <c r="BL82" s="26">
        <f t="shared" ca="1" si="153"/>
        <v>0</v>
      </c>
      <c r="BM82" s="26">
        <f t="shared" ca="1" si="153"/>
        <v>0</v>
      </c>
      <c r="BN82" s="26">
        <f t="shared" ca="1" si="153"/>
        <v>0</v>
      </c>
      <c r="BO82" s="26">
        <f t="shared" ca="1" si="153"/>
        <v>0</v>
      </c>
      <c r="BP82" s="26">
        <f t="shared" ca="1" si="153"/>
        <v>0</v>
      </c>
      <c r="BQ82" s="26">
        <f t="shared" ca="1" si="153"/>
        <v>0</v>
      </c>
      <c r="BR82" s="26">
        <f t="shared" ca="1" si="153"/>
        <v>0</v>
      </c>
      <c r="BS82" s="282">
        <f ca="1">IF(ISNUMBER($A80),IF(INDEX(B82:G82,3)&lt;&gt;0,SIGN(INDEX(B82:G82,3))*INDIRECT(ADDRESS(1+ABS(INDEX(B82:G82,3)),COLUMN(Ksys!$B$1),1,TRUE,"Ksys")),0)+AB82,0)</f>
        <v>0</v>
      </c>
      <c r="BT82" s="61">
        <f ca="1"/>
        <v>0</v>
      </c>
      <c r="BU82" s="61">
        <f ca="1"/>
        <v>0</v>
      </c>
      <c r="BV82" s="61">
        <f ca="1"/>
        <v>0</v>
      </c>
      <c r="BW82" s="287" t="s">
        <v>96</v>
      </c>
      <c r="BX82" s="7">
        <f t="array" aca="1" ref="BX82:BX83" ca="1">IF(ISNUMBER($A80),MMULT(TRANSPOSE($P80:$Q81),BX80:BX81),0)</f>
        <v>0</v>
      </c>
      <c r="BY82" s="1">
        <f t="array" aca="1" ref="BY82:BY83" ca="1">IF(ISNUMBER($A80),MMULT(TRANSPOSE($P80:$Q81),BY80:BY81),0)</f>
        <v>0</v>
      </c>
      <c r="BZ82" s="1">
        <f t="array" aca="1" ref="BZ82:BZ83" ca="1">IF(ISNUMBER($A80),MMULT(TRANSPOSE($P80:$Q81),BZ80:BZ81),0)</f>
        <v>0</v>
      </c>
      <c r="CA82" s="1">
        <f t="array" aca="1" ref="CA82:CA83" ca="1">IF(ISNUMBER($A80),MMULT(TRANSPOSE($P80:$Q81),CA80:CA81),0)</f>
        <v>0</v>
      </c>
      <c r="CB82" s="1">
        <f t="array" aca="1" ref="CB82:CB83" ca="1">IF(ISNUMBER($A80),MMULT(TRANSPOSE($P80:$Q81),CB80:CB81),0)</f>
        <v>0</v>
      </c>
      <c r="CC82" s="1">
        <f t="array" aca="1" ref="CC82:CC83" ca="1">IF(ISNUMBER($A80),MMULT(TRANSPOSE($P80:$Q81),CC80:CC81),0)</f>
        <v>0</v>
      </c>
      <c r="CD82" s="1">
        <f t="array" aca="1" ref="CD82:CD83" ca="1">IF(ISNUMBER($A80),MMULT(TRANSPOSE($P80:$Q81),CD80:CD81),0)</f>
        <v>0</v>
      </c>
      <c r="CE82" s="1">
        <f t="array" aca="1" ref="CE82:CE83" ca="1">IF(ISNUMBER($A80),MMULT(TRANSPOSE($P80:$Q81),CE80:CE81),0)</f>
        <v>0</v>
      </c>
      <c r="CF82" s="1">
        <f t="array" aca="1" ref="CF82:CF83" ca="1">IF(ISNUMBER($A80),MMULT(TRANSPOSE($P80:$Q81),CF80:CF81),0)</f>
        <v>0</v>
      </c>
      <c r="CG82" s="1">
        <f t="array" aca="1" ref="CG82:CG83" ca="1">IF(ISNUMBER($A80),MMULT(TRANSPOSE($P80:$Q81),CG80:CG81),0)</f>
        <v>0</v>
      </c>
      <c r="CH82" s="8">
        <f t="array" aca="1" ref="CH82:CH83" ca="1">IF(ISNUMBER($A80),MMULT(TRANSPOSE($P80:$Q81),CH80:CH81),0)</f>
        <v>0</v>
      </c>
      <c r="CI82" s="345"/>
      <c r="CJ82" s="345"/>
      <c r="CK82" s="444">
        <f ca="1">MAX(MAX(BX82:CH83),ABS(MIN(BX82:CH83)))</f>
        <v>0</v>
      </c>
      <c r="CM82" s="291" t="s">
        <v>96</v>
      </c>
      <c r="CN82" s="7">
        <f t="array" aca="1" ref="CN82:CN83" ca="1">IF(ISNUMBER($A80),MMULT(TRANSPOSE($P80:$Q81),CN80:CN81),0)</f>
        <v>0</v>
      </c>
      <c r="CO82" s="1">
        <f t="array" aca="1" ref="CO82:CO83" ca="1">IF(ISNUMBER($A80),MMULT(TRANSPOSE($P80:$Q81),CO80:CO81),0)</f>
        <v>0</v>
      </c>
      <c r="CP82" s="1">
        <f t="array" aca="1" ref="CP82:CP83" ca="1">IF(ISNUMBER($A80),MMULT(TRANSPOSE($P80:$Q81),CP80:CP81),0)</f>
        <v>0</v>
      </c>
      <c r="CQ82" s="1">
        <f t="array" aca="1" ref="CQ82:CQ83" ca="1">IF(ISNUMBER($A80),MMULT(TRANSPOSE($P80:$Q81),CQ80:CQ81),0)</f>
        <v>0</v>
      </c>
      <c r="CR82" s="1">
        <f t="array" aca="1" ref="CR82:CR83" ca="1">IF(ISNUMBER($A80),MMULT(TRANSPOSE($P80:$Q81),CR80:CR81),0)</f>
        <v>0</v>
      </c>
      <c r="CS82" s="1">
        <f t="array" aca="1" ref="CS82:CS83" ca="1">IF(ISNUMBER($A80),MMULT(TRANSPOSE($P80:$Q81),CS80:CS81),0)</f>
        <v>0</v>
      </c>
      <c r="CT82" s="1">
        <f t="array" aca="1" ref="CT82:CT83" ca="1">IF(ISNUMBER($A80),MMULT(TRANSPOSE($P80:$Q81),CT80:CT81),0)</f>
        <v>0</v>
      </c>
      <c r="CU82" s="1">
        <f t="array" aca="1" ref="CU82:CU83" ca="1">IF(ISNUMBER($A80),MMULT(TRANSPOSE($P80:$Q81),CU80:CU81),0)</f>
        <v>0</v>
      </c>
      <c r="CV82" s="1">
        <f t="array" aca="1" ref="CV82:CV83" ca="1">IF(ISNUMBER($A80),MMULT(TRANSPOSE($P80:$Q81),CV80:CV81),0)</f>
        <v>0</v>
      </c>
      <c r="CW82" s="1">
        <f t="array" aca="1" ref="CW82:CW83" ca="1">IF(ISNUMBER($A80),MMULT(TRANSPOSE($P80:$Q81),CW80:CW81),0)</f>
        <v>0</v>
      </c>
      <c r="CX82" s="1">
        <f t="array" aca="1" ref="CX82:CX83" ca="1">IF(ISNUMBER($A80),MMULT(TRANSPOSE($P80:$Q81),CX80:CX81),0)</f>
        <v>0</v>
      </c>
      <c r="CY82" s="1"/>
      <c r="CZ82" s="1"/>
      <c r="DA82" s="26"/>
      <c r="DB82" s="309"/>
      <c r="DC82" s="310"/>
      <c r="DD82" s="345"/>
      <c r="DF82" s="291" t="s">
        <v>96</v>
      </c>
      <c r="DG82" s="7">
        <f t="array" aca="1" ref="DG82:DG83" ca="1">IF(ISNUMBER($A80),MMULT(TRANSPOSE($P80:$Q81),DG80:DG81),0)</f>
        <v>0</v>
      </c>
      <c r="DH82" s="1">
        <f t="array" aca="1" ref="DH82:DH83" ca="1">IF(ISNUMBER($A80),MMULT(TRANSPOSE($P80:$Q81),DH80:DH81),0)</f>
        <v>0</v>
      </c>
      <c r="DI82" s="1">
        <f t="array" aca="1" ref="DI82:DI83" ca="1">IF(ISNUMBER($A80),MMULT(TRANSPOSE($P80:$Q81),DI80:DI81),0)</f>
        <v>0</v>
      </c>
      <c r="DJ82" s="1">
        <f t="array" aca="1" ref="DJ82:DJ83" ca="1">IF(ISNUMBER($A80),MMULT(TRANSPOSE($P80:$Q81),DJ80:DJ81),0)</f>
        <v>0</v>
      </c>
      <c r="DK82" s="1">
        <f t="array" aca="1" ref="DK82:DK83" ca="1">IF(ISNUMBER($A80),MMULT(TRANSPOSE($P80:$Q81),DK80:DK81),0)</f>
        <v>0</v>
      </c>
      <c r="DL82" s="1">
        <f t="array" aca="1" ref="DL82:DL83" ca="1">IF(ISNUMBER($A80),MMULT(TRANSPOSE($P80:$Q81),DL80:DL81),0)</f>
        <v>0</v>
      </c>
      <c r="DM82" s="1">
        <f t="array" aca="1" ref="DM82:DM83" ca="1">IF(ISNUMBER($A80),MMULT(TRANSPOSE($P80:$Q81),DM80:DM81),0)</f>
        <v>0</v>
      </c>
      <c r="DN82" s="1">
        <f t="array" aca="1" ref="DN82:DN83" ca="1">IF(ISNUMBER($A80),MMULT(TRANSPOSE($P80:$Q81),DN80:DN81),0)</f>
        <v>0</v>
      </c>
      <c r="DO82" s="1">
        <f t="array" aca="1" ref="DO82:DO83" ca="1">IF(ISNUMBER($A80),MMULT(TRANSPOSE($P80:$Q81),DO80:DO81),0)</f>
        <v>0</v>
      </c>
      <c r="DP82" s="1">
        <f t="array" aca="1" ref="DP82:DP83" ca="1">IF(ISNUMBER($A80),MMULT(TRANSPOSE($P80:$Q81),DP80:DP81),0)</f>
        <v>0</v>
      </c>
      <c r="DQ82" s="1">
        <f t="array" aca="1" ref="DQ82:DQ83" ca="1">IF(ISNUMBER($A80),MMULT(TRANSPOSE($P80:$Q81),DQ80:DQ81),0)</f>
        <v>0</v>
      </c>
      <c r="DR82" s="1"/>
      <c r="DS82" s="1"/>
      <c r="DT82" s="8"/>
      <c r="DU82" s="12"/>
      <c r="DV82" s="310"/>
      <c r="DW82" s="345"/>
      <c r="DY82" s="291" t="s">
        <v>96</v>
      </c>
      <c r="DZ82" s="7">
        <f t="array" aca="1" ref="DZ82:DZ83" ca="1">IF(ISNUMBER($A80),MMULT(TRANSPOSE($P80:$Q81),DZ80:DZ81),0)</f>
        <v>0</v>
      </c>
      <c r="EA82" s="1">
        <f t="array" aca="1" ref="EA82:EA83" ca="1">IF(ISNUMBER($A80),MMULT(TRANSPOSE($P80:$Q81),EA80:EA81),0)</f>
        <v>0</v>
      </c>
      <c r="EB82" s="1">
        <f t="array" aca="1" ref="EB82:EB83" ca="1">IF(ISNUMBER($A80),MMULT(TRANSPOSE($P80:$Q81),EB80:EB81),0)</f>
        <v>0</v>
      </c>
      <c r="EC82" s="1">
        <f t="array" aca="1" ref="EC82:EC83" ca="1">IF(ISNUMBER($A80),MMULT(TRANSPOSE($P80:$Q81),EC80:EC81),0)</f>
        <v>0</v>
      </c>
      <c r="ED82" s="1">
        <f t="array" aca="1" ref="ED82:ED83" ca="1">IF(ISNUMBER($A80),MMULT(TRANSPOSE($P80:$Q81),ED80:ED81),0)</f>
        <v>0</v>
      </c>
      <c r="EE82" s="1">
        <f t="array" aca="1" ref="EE82:EE83" ca="1">IF(ISNUMBER($A80),MMULT(TRANSPOSE($P80:$Q81),EE80:EE81),0)</f>
        <v>0</v>
      </c>
      <c r="EF82" s="1">
        <f t="array" aca="1" ref="EF82:EF83" ca="1">IF(ISNUMBER($A80),MMULT(TRANSPOSE($P80:$Q81),EF80:EF81),0)</f>
        <v>0</v>
      </c>
      <c r="EG82" s="1">
        <f t="array" aca="1" ref="EG82:EG83" ca="1">IF(ISNUMBER($A80),MMULT(TRANSPOSE($P80:$Q81),EG80:EG81),0)</f>
        <v>0</v>
      </c>
      <c r="EH82" s="1">
        <f t="array" aca="1" ref="EH82:EH83" ca="1">IF(ISNUMBER($A80),MMULT(TRANSPOSE($P80:$Q81),EH80:EH81),0)</f>
        <v>0</v>
      </c>
      <c r="EI82" s="1">
        <f t="array" aca="1" ref="EI82:EI83" ca="1">IF(ISNUMBER($A80),MMULT(TRANSPOSE($P80:$Q81),EI80:EI81),0)</f>
        <v>0</v>
      </c>
      <c r="EJ82" s="1">
        <f t="array" aca="1" ref="EJ82:EJ83" ca="1">IF(ISNUMBER($A80),MMULT(TRANSPOSE($P80:$Q81),EJ80:EJ81),0)</f>
        <v>0</v>
      </c>
      <c r="EK82" s="1"/>
      <c r="EL82" s="1"/>
      <c r="EM82" s="8"/>
      <c r="EN82" s="309"/>
      <c r="EO82" s="310"/>
      <c r="EP82" s="345"/>
    </row>
    <row r="83" spans="1:146" x14ac:dyDescent="0.2">
      <c r="E83" s="12"/>
      <c r="F83" s="12"/>
      <c r="J83" s="4">
        <f ca="1">-J80</f>
        <v>0</v>
      </c>
      <c r="K83" s="5">
        <v>0</v>
      </c>
      <c r="L83" s="6">
        <v>0</v>
      </c>
      <c r="M83" s="179">
        <f ca="1">J80</f>
        <v>0</v>
      </c>
      <c r="N83" s="5">
        <v>0</v>
      </c>
      <c r="O83" s="6">
        <v>0</v>
      </c>
      <c r="P83" s="184">
        <v>0</v>
      </c>
      <c r="Q83" s="101">
        <v>0</v>
      </c>
      <c r="R83" s="101">
        <v>0</v>
      </c>
      <c r="S83" s="99">
        <f ca="1">I80</f>
        <v>0</v>
      </c>
      <c r="T83" s="99">
        <f ca="1">-H80</f>
        <v>0</v>
      </c>
      <c r="U83" s="100">
        <v>0</v>
      </c>
      <c r="V83" s="4">
        <f ca="1"/>
        <v>0</v>
      </c>
      <c r="W83" s="5">
        <f ca="1"/>
        <v>0</v>
      </c>
      <c r="X83" s="6">
        <f ca="1"/>
        <v>0</v>
      </c>
      <c r="Y83" s="179">
        <f ca="1"/>
        <v>0</v>
      </c>
      <c r="Z83" s="5">
        <f ca="1"/>
        <v>0</v>
      </c>
      <c r="AA83" s="6">
        <f ca="1"/>
        <v>0</v>
      </c>
      <c r="AB83" s="61">
        <f ca="1">IF(ISNUMBER($A80),INDIRECT("System!" &amp; ADDRESS(A80+1,COLUMN(System!V79))),0)</f>
        <v>0</v>
      </c>
      <c r="AC83" s="301">
        <f ca="1">IF(ISNUMBER(E80),E80*D80/2,0)</f>
        <v>0</v>
      </c>
      <c r="AD83" s="61">
        <f ca="1"/>
        <v>0</v>
      </c>
      <c r="AE83" s="7">
        <f t="shared" ref="AE83:BR83" ca="1" si="154">IF(ABS($E82)=AE$1,SIGN($E82),0)</f>
        <v>0</v>
      </c>
      <c r="AF83" s="1">
        <f t="shared" ca="1" si="154"/>
        <v>0</v>
      </c>
      <c r="AG83" s="1">
        <f t="shared" ca="1" si="154"/>
        <v>0</v>
      </c>
      <c r="AH83" s="1">
        <f t="shared" ca="1" si="154"/>
        <v>0</v>
      </c>
      <c r="AI83" s="1">
        <f t="shared" ca="1" si="154"/>
        <v>0</v>
      </c>
      <c r="AJ83" s="26">
        <f t="shared" ca="1" si="154"/>
        <v>0</v>
      </c>
      <c r="AK83" s="26">
        <f t="shared" ca="1" si="154"/>
        <v>0</v>
      </c>
      <c r="AL83" s="26">
        <f t="shared" ca="1" si="154"/>
        <v>0</v>
      </c>
      <c r="AM83" s="26">
        <f t="shared" ca="1" si="154"/>
        <v>0</v>
      </c>
      <c r="AN83" s="26">
        <f t="shared" ca="1" si="154"/>
        <v>0</v>
      </c>
      <c r="AO83" s="26">
        <f t="shared" ca="1" si="154"/>
        <v>0</v>
      </c>
      <c r="AP83" s="26">
        <f t="shared" ca="1" si="154"/>
        <v>0</v>
      </c>
      <c r="AQ83" s="26">
        <f t="shared" ca="1" si="154"/>
        <v>0</v>
      </c>
      <c r="AR83" s="26">
        <f t="shared" ca="1" si="154"/>
        <v>0</v>
      </c>
      <c r="AS83" s="26">
        <f t="shared" ca="1" si="154"/>
        <v>0</v>
      </c>
      <c r="AT83" s="26">
        <f t="shared" ca="1" si="154"/>
        <v>0</v>
      </c>
      <c r="AU83" s="26">
        <f t="shared" ca="1" si="154"/>
        <v>0</v>
      </c>
      <c r="AV83" s="26">
        <f t="shared" ca="1" si="154"/>
        <v>0</v>
      </c>
      <c r="AW83" s="26">
        <f t="shared" ca="1" si="154"/>
        <v>0</v>
      </c>
      <c r="AX83" s="26">
        <f t="shared" ca="1" si="154"/>
        <v>0</v>
      </c>
      <c r="AY83" s="26">
        <f t="shared" ca="1" si="154"/>
        <v>0</v>
      </c>
      <c r="AZ83" s="26">
        <f t="shared" ca="1" si="154"/>
        <v>0</v>
      </c>
      <c r="BA83" s="26">
        <f t="shared" ca="1" si="154"/>
        <v>0</v>
      </c>
      <c r="BB83" s="26">
        <f t="shared" ca="1" si="154"/>
        <v>0</v>
      </c>
      <c r="BC83" s="26">
        <f t="shared" ca="1" si="154"/>
        <v>0</v>
      </c>
      <c r="BD83" s="26">
        <f t="shared" ca="1" si="154"/>
        <v>0</v>
      </c>
      <c r="BE83" s="26">
        <f t="shared" ca="1" si="154"/>
        <v>0</v>
      </c>
      <c r="BF83" s="26">
        <f t="shared" ca="1" si="154"/>
        <v>0</v>
      </c>
      <c r="BG83" s="26">
        <f t="shared" ca="1" si="154"/>
        <v>0</v>
      </c>
      <c r="BH83" s="26">
        <f t="shared" ca="1" si="154"/>
        <v>0</v>
      </c>
      <c r="BI83" s="26">
        <f t="shared" ca="1" si="154"/>
        <v>0</v>
      </c>
      <c r="BJ83" s="26">
        <f t="shared" ca="1" si="154"/>
        <v>0</v>
      </c>
      <c r="BK83" s="26">
        <f t="shared" ca="1" si="154"/>
        <v>0</v>
      </c>
      <c r="BL83" s="26">
        <f t="shared" ca="1" si="154"/>
        <v>0</v>
      </c>
      <c r="BM83" s="26">
        <f t="shared" ca="1" si="154"/>
        <v>0</v>
      </c>
      <c r="BN83" s="26">
        <f t="shared" ca="1" si="154"/>
        <v>0</v>
      </c>
      <c r="BO83" s="26">
        <f t="shared" ca="1" si="154"/>
        <v>0</v>
      </c>
      <c r="BP83" s="26">
        <f t="shared" ca="1" si="154"/>
        <v>0</v>
      </c>
      <c r="BQ83" s="26">
        <f t="shared" ca="1" si="154"/>
        <v>0</v>
      </c>
      <c r="BR83" s="26">
        <f t="shared" ca="1" si="154"/>
        <v>0</v>
      </c>
      <c r="BS83" s="282">
        <f ca="1">IF(ISNUMBER($A80),IF(INDEX(B82:G82,4)&lt;&gt;0,SIGN(INDEX(B82:G82,4))*INDIRECT(ADDRESS(1+ABS(INDEX(B82:G82,4)),COLUMN(Ksys!$B$1),1,TRUE,"Ksys")),0)+AB83,0)</f>
        <v>0</v>
      </c>
      <c r="BT83" s="61">
        <f ca="1"/>
        <v>0</v>
      </c>
      <c r="BU83" s="61">
        <f ca="1"/>
        <v>0</v>
      </c>
      <c r="BV83" s="61">
        <f t="array" aca="1" ref="BV83:BV85" ca="1">MMULT(J83:O85,BT80:BT85)-AC83:AC85</f>
        <v>0</v>
      </c>
      <c r="BW83" s="288" t="s">
        <v>101</v>
      </c>
      <c r="BX83" s="7">
        <f ca="1"/>
        <v>0</v>
      </c>
      <c r="BY83" s="1">
        <f ca="1"/>
        <v>0</v>
      </c>
      <c r="BZ83" s="1">
        <f ca="1"/>
        <v>0</v>
      </c>
      <c r="CA83" s="1">
        <f ca="1"/>
        <v>0</v>
      </c>
      <c r="CB83" s="1">
        <f ca="1"/>
        <v>0</v>
      </c>
      <c r="CC83" s="1">
        <f ca="1"/>
        <v>0</v>
      </c>
      <c r="CD83" s="1">
        <f ca="1"/>
        <v>0</v>
      </c>
      <c r="CE83" s="1">
        <f ca="1"/>
        <v>0</v>
      </c>
      <c r="CF83" s="1">
        <f ca="1"/>
        <v>0</v>
      </c>
      <c r="CG83" s="1">
        <f ca="1"/>
        <v>0</v>
      </c>
      <c r="CH83" s="8">
        <f ca="1"/>
        <v>0</v>
      </c>
      <c r="CI83" s="344" t="s">
        <v>1</v>
      </c>
      <c r="CJ83" s="344" t="s">
        <v>111</v>
      </c>
      <c r="CK83" s="310"/>
      <c r="CM83" s="292" t="s">
        <v>101</v>
      </c>
      <c r="CN83" s="7">
        <f ca="1"/>
        <v>0</v>
      </c>
      <c r="CO83" s="1">
        <f ca="1"/>
        <v>0</v>
      </c>
      <c r="CP83" s="1">
        <f ca="1"/>
        <v>0</v>
      </c>
      <c r="CQ83" s="1">
        <f ca="1"/>
        <v>0</v>
      </c>
      <c r="CR83" s="1">
        <f ca="1"/>
        <v>0</v>
      </c>
      <c r="CS83" s="1">
        <f ca="1"/>
        <v>0</v>
      </c>
      <c r="CT83" s="1">
        <f ca="1"/>
        <v>0</v>
      </c>
      <c r="CU83" s="1">
        <f ca="1"/>
        <v>0</v>
      </c>
      <c r="CV83" s="1">
        <f ca="1"/>
        <v>0</v>
      </c>
      <c r="CW83" s="1">
        <f ca="1"/>
        <v>0</v>
      </c>
      <c r="CX83" s="1">
        <f ca="1"/>
        <v>0</v>
      </c>
      <c r="CY83" s="1"/>
      <c r="CZ83" s="1"/>
      <c r="DA83" s="26"/>
      <c r="DB83" s="311" t="s">
        <v>1</v>
      </c>
      <c r="DC83" s="312" t="s">
        <v>111</v>
      </c>
      <c r="DD83" s="61">
        <f ca="1">MAX(MAX(CN82:CX83),ABS(MIN(CN82:CX83)))</f>
        <v>0</v>
      </c>
      <c r="DF83" s="292" t="s">
        <v>101</v>
      </c>
      <c r="DG83" s="7">
        <f ca="1"/>
        <v>0</v>
      </c>
      <c r="DH83" s="1">
        <f ca="1"/>
        <v>0</v>
      </c>
      <c r="DI83" s="1">
        <f ca="1"/>
        <v>0</v>
      </c>
      <c r="DJ83" s="1">
        <f ca="1"/>
        <v>0</v>
      </c>
      <c r="DK83" s="1">
        <f ca="1"/>
        <v>0</v>
      </c>
      <c r="DL83" s="1">
        <f ca="1"/>
        <v>0</v>
      </c>
      <c r="DM83" s="1">
        <f ca="1"/>
        <v>0</v>
      </c>
      <c r="DN83" s="1">
        <f ca="1"/>
        <v>0</v>
      </c>
      <c r="DO83" s="1">
        <f ca="1"/>
        <v>0</v>
      </c>
      <c r="DP83" s="1">
        <f ca="1"/>
        <v>0</v>
      </c>
      <c r="DQ83" s="1">
        <f ca="1"/>
        <v>0</v>
      </c>
      <c r="DR83" s="1"/>
      <c r="DS83" s="1"/>
      <c r="DT83" s="8"/>
      <c r="DU83" s="314" t="s">
        <v>1</v>
      </c>
      <c r="DV83" s="312" t="s">
        <v>111</v>
      </c>
      <c r="DW83" s="349">
        <f ca="1">MAX(MAX(DG82:DQ83),ABS(MIN(DG82:DQ83)))</f>
        <v>0</v>
      </c>
      <c r="DY83" s="292" t="s">
        <v>101</v>
      </c>
      <c r="DZ83" s="7">
        <f ca="1"/>
        <v>0</v>
      </c>
      <c r="EA83" s="1">
        <f ca="1"/>
        <v>0</v>
      </c>
      <c r="EB83" s="1">
        <f ca="1"/>
        <v>0</v>
      </c>
      <c r="EC83" s="1">
        <f ca="1"/>
        <v>0</v>
      </c>
      <c r="ED83" s="1">
        <f ca="1"/>
        <v>0</v>
      </c>
      <c r="EE83" s="1">
        <f ca="1"/>
        <v>0</v>
      </c>
      <c r="EF83" s="1">
        <f ca="1"/>
        <v>0</v>
      </c>
      <c r="EG83" s="1">
        <f ca="1"/>
        <v>0</v>
      </c>
      <c r="EH83" s="1">
        <f ca="1"/>
        <v>0</v>
      </c>
      <c r="EI83" s="1">
        <f ca="1"/>
        <v>0</v>
      </c>
      <c r="EJ83" s="1">
        <f ca="1"/>
        <v>0</v>
      </c>
      <c r="EK83" s="1"/>
      <c r="EL83" s="1"/>
      <c r="EM83" s="8"/>
      <c r="EN83" s="311" t="s">
        <v>1</v>
      </c>
      <c r="EO83" s="312" t="s">
        <v>111</v>
      </c>
      <c r="EP83" s="61">
        <f ca="1">MAX(MAX(DZ82:EJ83),ABS(MIN(DZ82:EJ83)))</f>
        <v>0</v>
      </c>
    </row>
    <row r="84" spans="1:146" x14ac:dyDescent="0.2">
      <c r="E84" s="1" t="str">
        <f ca="1">IF(ISNUMBER(A80),"" &amp; ADDRESS(ROW(A80),COLUMN($AD$1)) &amp; ":" &amp; ADDRESS(ROW(A85),COLUMN($AD$1)) &amp; "","")</f>
        <v/>
      </c>
      <c r="F84" s="1" t="str">
        <f ca="1">IF(ISNUMBER(A80),"" &amp; ADDRESS(ROW(A80),COLUMN($V$1)) &amp; ":" &amp; ADDRESS(ROW(A85),COLUMN($AA$1)) &amp; "","")</f>
        <v/>
      </c>
      <c r="G84" s="1" t="str">
        <f ca="1">IF(ISNUMBER(A80),"" &amp; ADDRESS(ROW(A80),COLUMN($AE$1)) &amp; ":" &amp; ADDRESS(ROW(A85),COLUMN($AD$1)+$C$6) &amp; "","")</f>
        <v/>
      </c>
      <c r="J84" s="7">
        <v>0</v>
      </c>
      <c r="K84" s="1">
        <f ca="1">-K81</f>
        <v>0</v>
      </c>
      <c r="L84" s="8">
        <f ca="1">IF(G80=1,6*B80/D80^2,IF(G80="2a",0,IF(G80="2b",3*B80/D80^2,0)))</f>
        <v>0</v>
      </c>
      <c r="M84" s="7">
        <v>0</v>
      </c>
      <c r="N84" s="180">
        <f ca="1">K81</f>
        <v>0</v>
      </c>
      <c r="O84" s="8">
        <f ca="1">N85</f>
        <v>0</v>
      </c>
      <c r="P84" s="184">
        <v>0</v>
      </c>
      <c r="Q84" s="101">
        <v>0</v>
      </c>
      <c r="R84" s="101">
        <v>0</v>
      </c>
      <c r="S84" s="99">
        <f ca="1">H80</f>
        <v>0</v>
      </c>
      <c r="T84" s="99">
        <f ca="1">I80</f>
        <v>0</v>
      </c>
      <c r="U84" s="100">
        <v>0</v>
      </c>
      <c r="V84" s="7">
        <f ca="1"/>
        <v>0</v>
      </c>
      <c r="W84" s="1">
        <f ca="1"/>
        <v>0</v>
      </c>
      <c r="X84" s="8">
        <f ca="1"/>
        <v>0</v>
      </c>
      <c r="Y84" s="7">
        <f ca="1"/>
        <v>0</v>
      </c>
      <c r="Z84" s="180">
        <f ca="1"/>
        <v>0</v>
      </c>
      <c r="AA84" s="8">
        <f ca="1"/>
        <v>0</v>
      </c>
      <c r="AB84" s="61">
        <f ca="1">IF(ISNUMBER($A80),INDIRECT("System!" &amp; ADDRESS(A80+1,COLUMN(System!W79))),0)</f>
        <v>0</v>
      </c>
      <c r="AC84" s="301">
        <f ca="1">IF(G80=1,F80*D80/2,IF(G80="2a",F80*5/8*D80,IF(G80="2b",F80*3/8*D80,0)))</f>
        <v>0</v>
      </c>
      <c r="AD84" s="61">
        <f ca="1"/>
        <v>0</v>
      </c>
      <c r="AE84" s="7">
        <f t="shared" ref="AE84:BR84" ca="1" si="155">IF(ABS($F82)=AE$1,SIGN($F82),0)</f>
        <v>0</v>
      </c>
      <c r="AF84" s="1">
        <f t="shared" ca="1" si="155"/>
        <v>0</v>
      </c>
      <c r="AG84" s="1">
        <f t="shared" ca="1" si="155"/>
        <v>0</v>
      </c>
      <c r="AH84" s="1">
        <f t="shared" ca="1" si="155"/>
        <v>0</v>
      </c>
      <c r="AI84" s="1">
        <f t="shared" ca="1" si="155"/>
        <v>0</v>
      </c>
      <c r="AJ84" s="26">
        <f t="shared" ca="1" si="155"/>
        <v>0</v>
      </c>
      <c r="AK84" s="26">
        <f t="shared" ca="1" si="155"/>
        <v>0</v>
      </c>
      <c r="AL84" s="26">
        <f t="shared" ca="1" si="155"/>
        <v>0</v>
      </c>
      <c r="AM84" s="26">
        <f t="shared" ca="1" si="155"/>
        <v>0</v>
      </c>
      <c r="AN84" s="26">
        <f t="shared" ca="1" si="155"/>
        <v>0</v>
      </c>
      <c r="AO84" s="26">
        <f t="shared" ca="1" si="155"/>
        <v>0</v>
      </c>
      <c r="AP84" s="26">
        <f t="shared" ca="1" si="155"/>
        <v>0</v>
      </c>
      <c r="AQ84" s="26">
        <f t="shared" ca="1" si="155"/>
        <v>0</v>
      </c>
      <c r="AR84" s="26">
        <f t="shared" ca="1" si="155"/>
        <v>0</v>
      </c>
      <c r="AS84" s="26">
        <f t="shared" ca="1" si="155"/>
        <v>0</v>
      </c>
      <c r="AT84" s="26">
        <f t="shared" ca="1" si="155"/>
        <v>0</v>
      </c>
      <c r="AU84" s="26">
        <f t="shared" ca="1" si="155"/>
        <v>0</v>
      </c>
      <c r="AV84" s="26">
        <f t="shared" ca="1" si="155"/>
        <v>0</v>
      </c>
      <c r="AW84" s="26">
        <f t="shared" ca="1" si="155"/>
        <v>0</v>
      </c>
      <c r="AX84" s="26">
        <f t="shared" ca="1" si="155"/>
        <v>0</v>
      </c>
      <c r="AY84" s="26">
        <f t="shared" ca="1" si="155"/>
        <v>0</v>
      </c>
      <c r="AZ84" s="26">
        <f t="shared" ca="1" si="155"/>
        <v>0</v>
      </c>
      <c r="BA84" s="26">
        <f t="shared" ca="1" si="155"/>
        <v>0</v>
      </c>
      <c r="BB84" s="26">
        <f t="shared" ca="1" si="155"/>
        <v>0</v>
      </c>
      <c r="BC84" s="26">
        <f t="shared" ca="1" si="155"/>
        <v>0</v>
      </c>
      <c r="BD84" s="26">
        <f t="shared" ca="1" si="155"/>
        <v>0</v>
      </c>
      <c r="BE84" s="26">
        <f t="shared" ca="1" si="155"/>
        <v>0</v>
      </c>
      <c r="BF84" s="26">
        <f t="shared" ca="1" si="155"/>
        <v>0</v>
      </c>
      <c r="BG84" s="26">
        <f t="shared" ca="1" si="155"/>
        <v>0</v>
      </c>
      <c r="BH84" s="26">
        <f t="shared" ca="1" si="155"/>
        <v>0</v>
      </c>
      <c r="BI84" s="26">
        <f t="shared" ca="1" si="155"/>
        <v>0</v>
      </c>
      <c r="BJ84" s="26">
        <f t="shared" ca="1" si="155"/>
        <v>0</v>
      </c>
      <c r="BK84" s="26">
        <f t="shared" ca="1" si="155"/>
        <v>0</v>
      </c>
      <c r="BL84" s="26">
        <f t="shared" ca="1" si="155"/>
        <v>0</v>
      </c>
      <c r="BM84" s="26">
        <f t="shared" ca="1" si="155"/>
        <v>0</v>
      </c>
      <c r="BN84" s="26">
        <f t="shared" ca="1" si="155"/>
        <v>0</v>
      </c>
      <c r="BO84" s="26">
        <f t="shared" ca="1" si="155"/>
        <v>0</v>
      </c>
      <c r="BP84" s="26">
        <f t="shared" ca="1" si="155"/>
        <v>0</v>
      </c>
      <c r="BQ84" s="26">
        <f t="shared" ca="1" si="155"/>
        <v>0</v>
      </c>
      <c r="BR84" s="26">
        <f t="shared" ca="1" si="155"/>
        <v>0</v>
      </c>
      <c r="BS84" s="282">
        <f ca="1">IF(ISNUMBER($A80),IF(INDEX(B82:G82,5)&lt;&gt;0,SIGN(INDEX(B82:G82,5))*INDIRECT(ADDRESS(1+ABS(INDEX(B82:G82,5)),COLUMN(Ksys!$B$1),1,TRUE,"Ksys")),0)+AB84,0)</f>
        <v>0</v>
      </c>
      <c r="BT84" s="61">
        <f ca="1"/>
        <v>0</v>
      </c>
      <c r="BU84" s="61">
        <f ca="1"/>
        <v>0</v>
      </c>
      <c r="BV84" s="61">
        <f ca="1"/>
        <v>0</v>
      </c>
      <c r="BW84" s="296" t="s">
        <v>102</v>
      </c>
      <c r="BX84" s="216">
        <f ca="1">IF(ISNUMBER($A80),$B81*(1-BX$1) + $C81*BX$1 + Knoten!$S$5*BX82,KnotenData!$H$2)</f>
        <v>0.5</v>
      </c>
      <c r="BY84" s="206">
        <f ca="1">IF(ISNUMBER($A80),$B81*(1-BY$1) + $C81*BY$1 + Knoten!$S$5*BY82,KnotenData!$H$2)</f>
        <v>0.5</v>
      </c>
      <c r="BZ84" s="206">
        <f ca="1">IF(ISNUMBER($A80),$B81*(1-BZ$1) + $C81*BZ$1 + Knoten!$S$5*BZ82,KnotenData!$H$2)</f>
        <v>0.5</v>
      </c>
      <c r="CA84" s="206">
        <f ca="1">IF(ISNUMBER($A80),$B81*(1-CA$1) + $C81*CA$1 + Knoten!$S$5*CA82,KnotenData!$H$2)</f>
        <v>0.5</v>
      </c>
      <c r="CB84" s="206">
        <f ca="1">IF(ISNUMBER($A80),$B81*(1-CB$1) + $C81*CB$1 + Knoten!$S$5*CB82,KnotenData!$H$2)</f>
        <v>0.5</v>
      </c>
      <c r="CC84" s="206">
        <f ca="1">IF(ISNUMBER($A80),$B81*(1-CC$1) + $C81*CC$1 + Knoten!$S$5*CC82,KnotenData!$H$2)</f>
        <v>0.5</v>
      </c>
      <c r="CD84" s="206">
        <f ca="1">IF(ISNUMBER($A80),$B81*(1-CD$1) + $C81*CD$1 + Knoten!$S$5*CD82,KnotenData!$H$2)</f>
        <v>0.5</v>
      </c>
      <c r="CE84" s="206">
        <f ca="1">IF(ISNUMBER($A80),$B81*(1-CE$1) + $C81*CE$1 + Knoten!$S$5*CE82,KnotenData!$H$2)</f>
        <v>0.5</v>
      </c>
      <c r="CF84" s="206">
        <f ca="1">IF(ISNUMBER($A80),$B81*(1-CF$1) + $C81*CF$1 + Knoten!$S$5*CF82,KnotenData!$H$2)</f>
        <v>0.5</v>
      </c>
      <c r="CG84" s="206">
        <f ca="1">IF(ISNUMBER($A80),$B81*(1-CG$1) + $C81*CG$1 + Knoten!$S$5*CG82,KnotenData!$H$2)</f>
        <v>0.5</v>
      </c>
      <c r="CH84" s="217">
        <f ca="1">IF(ISNUMBER($A80),$B81*(1-CH$1) + $C81*CH$1 + Knoten!$S$5*CH82,KnotenData!$H$2)</f>
        <v>0.5</v>
      </c>
      <c r="CI84" s="447">
        <f ca="1">MIN(BX84:CH84)</f>
        <v>0.5</v>
      </c>
      <c r="CJ84" s="447">
        <f ca="1">MIN(BX85:CH85)</f>
        <v>0.47499999999999998</v>
      </c>
      <c r="CK84" s="445"/>
      <c r="CM84" s="293" t="s">
        <v>102</v>
      </c>
      <c r="CN84" s="216">
        <f ca="1">IF(ISNUMBER($A80),$B81*(1-CN$1) + $C81*CN$1 + Momente!$D$6*CN82,KnotenData!$H$2)</f>
        <v>0.5</v>
      </c>
      <c r="CO84" s="206">
        <f ca="1">IF(ISNUMBER($A80),$B81*(1-CO$1) + $C81*CO$1 + Momente!$D$6*CO82,KnotenData!$H$2)</f>
        <v>0.5</v>
      </c>
      <c r="CP84" s="206">
        <f ca="1">IF(ISNUMBER($A80),$B81*(1-CP$1) + $C81*CP$1 + Momente!$D$6*CP82,KnotenData!$H$2)</f>
        <v>0.5</v>
      </c>
      <c r="CQ84" s="206">
        <f ca="1">IF(ISNUMBER($A80),$B81*(1-CQ$1) + $C81*CQ$1 + Momente!$D$6*CQ82,KnotenData!$H$2)</f>
        <v>0.5</v>
      </c>
      <c r="CR84" s="206">
        <f ca="1">IF(ISNUMBER($A80),$B81*(1-CR$1) + $C81*CR$1 + Momente!$D$6*CR82,KnotenData!$H$2)</f>
        <v>0.5</v>
      </c>
      <c r="CS84" s="206">
        <f ca="1">IF(ISNUMBER($A80),$B81*(1-CS$1) + $C81*CS$1 + Momente!$D$6*CS82,KnotenData!$H$2)</f>
        <v>0.5</v>
      </c>
      <c r="CT84" s="206">
        <f ca="1">IF(ISNUMBER($A80),$B81*(1-CT$1) + $C81*CT$1 + Momente!$D$6*CT82,KnotenData!$H$2)</f>
        <v>0.5</v>
      </c>
      <c r="CU84" s="206">
        <f ca="1">IF(ISNUMBER($A80),$B81*(1-CU$1) + $C81*CU$1 + Momente!$D$6*CU82,KnotenData!$H$2)</f>
        <v>0.5</v>
      </c>
      <c r="CV84" s="206">
        <f ca="1">IF(ISNUMBER($A80),$B81*(1-CV$1) + $C81*CV$1 + Momente!$D$6*CV82,KnotenData!$H$2)</f>
        <v>0.5</v>
      </c>
      <c r="CW84" s="206">
        <f ca="1">IF(ISNUMBER($A80),$B81*(1-CW$1) + $C81*CW$1 + Momente!$D$6*CW82,KnotenData!$H$2)</f>
        <v>0.5</v>
      </c>
      <c r="CX84" s="206">
        <f ca="1">IF(ISNUMBER($A80),$B81*(1-CX$1) + $C81*CX$1 + Momente!$D$6*CX82,KnotenData!$H$2)</f>
        <v>0.5</v>
      </c>
      <c r="CY84" s="206">
        <f ca="1">IF(ISNUMBER($A80),$C81,KnotenData!$H$2)</f>
        <v>0.5</v>
      </c>
      <c r="CZ84" s="206">
        <f ca="1">IF(ISNUMBER($A80),$B81,KnotenData!$H$2)</f>
        <v>0.5</v>
      </c>
      <c r="DA84" s="305">
        <f ca="1">IF(ISNUMBER($A80),CN84,KnotenData!$H$2)</f>
        <v>0.5</v>
      </c>
      <c r="DB84" s="7">
        <f ca="1">MIN(CN84:DA84)</f>
        <v>0.5</v>
      </c>
      <c r="DC84" s="8">
        <f ca="1">MIN(CN85:DA85)</f>
        <v>0.47499999999999998</v>
      </c>
      <c r="DD84" s="345"/>
      <c r="DF84" s="293" t="s">
        <v>102</v>
      </c>
      <c r="DG84" s="216">
        <f ca="1">IF(ISNUMBER($A80),$B81*(1-DG$1) + $C81*DG$1 + Querkräfte!$D$6*DG82,KnotenData!$H$2)</f>
        <v>0.5</v>
      </c>
      <c r="DH84" s="206">
        <f ca="1">IF(ISNUMBER($A80),$B81*(1-DH$1) + $C81*DH$1 + Querkräfte!$D$6*DH82,KnotenData!$H$2)</f>
        <v>0.5</v>
      </c>
      <c r="DI84" s="206">
        <f ca="1">IF(ISNUMBER($A80),$B81*(1-DI$1) + $C81*DI$1 + Querkräfte!$D$6*DI82,KnotenData!$H$2)</f>
        <v>0.5</v>
      </c>
      <c r="DJ84" s="206">
        <f ca="1">IF(ISNUMBER($A80),$B81*(1-DJ$1) + $C81*DJ$1 + Querkräfte!$D$6*DJ82,KnotenData!$H$2)</f>
        <v>0.5</v>
      </c>
      <c r="DK84" s="206">
        <f ca="1">IF(ISNUMBER($A80),$B81*(1-DK$1) + $C81*DK$1 + Querkräfte!$D$6*DK82,KnotenData!$H$2)</f>
        <v>0.5</v>
      </c>
      <c r="DL84" s="206">
        <f ca="1">IF(ISNUMBER($A80),$B81*(1-DL$1) + $C81*DL$1 + Querkräfte!$D$6*DL82,KnotenData!$H$2)</f>
        <v>0.5</v>
      </c>
      <c r="DM84" s="206">
        <f ca="1">IF(ISNUMBER($A80),$B81*(1-DM$1) + $C81*DM$1 + Querkräfte!$D$6*DM82,KnotenData!$H$2)</f>
        <v>0.5</v>
      </c>
      <c r="DN84" s="206">
        <f ca="1">IF(ISNUMBER($A80),$B81*(1-DN$1) + $C81*DN$1 + Querkräfte!$D$6*DN82,KnotenData!$H$2)</f>
        <v>0.5</v>
      </c>
      <c r="DO84" s="206">
        <f ca="1">IF(ISNUMBER($A80),$B81*(1-DO$1) + $C81*DO$1 + Querkräfte!$D$6*DO82,KnotenData!$H$2)</f>
        <v>0.5</v>
      </c>
      <c r="DP84" s="206">
        <f ca="1">IF(ISNUMBER($A80),$B81*(1-DP$1) + $C81*DP$1 + Querkräfte!$D$6*DP82,KnotenData!$H$2)</f>
        <v>0.5</v>
      </c>
      <c r="DQ84" s="206">
        <f ca="1">IF(ISNUMBER($A80),$B81*(1-DQ$1) + $C81*DQ$1 + Querkräfte!$D$6*DQ82,KnotenData!$H$2)</f>
        <v>0.5</v>
      </c>
      <c r="DR84" s="206">
        <f ca="1">IF(ISNUMBER($A80),$C81,KnotenData!$H$2)</f>
        <v>0.5</v>
      </c>
      <c r="DS84" s="206">
        <f ca="1">IF(ISNUMBER($A80),$B81,KnotenData!$H$2)</f>
        <v>0.5</v>
      </c>
      <c r="DT84" s="217">
        <f ca="1">IF(ISNUMBER($A80),DG84,KnotenData!$H$2)</f>
        <v>0.5</v>
      </c>
      <c r="DU84" s="145">
        <f ca="1">MIN(DG84:DQ84)</f>
        <v>0.5</v>
      </c>
      <c r="DV84" s="8">
        <f ca="1">MIN(DG85:DQ85)</f>
        <v>0.47499999999999998</v>
      </c>
      <c r="DW84" s="345"/>
      <c r="DY84" s="293" t="s">
        <v>102</v>
      </c>
      <c r="DZ84" s="216">
        <f ca="1">IF(ISNUMBER($A80),$B81*(1-DZ$1) + $C81*DZ$1 + Normalkräfte!$D$6*DZ82,KnotenData!$H$2)</f>
        <v>0.5</v>
      </c>
      <c r="EA84" s="206">
        <f ca="1">IF(ISNUMBER($A80),$B81*(1-EA$1) + $C81*EA$1 + Normalkräfte!$D$6*EA82,KnotenData!$H$2)</f>
        <v>0.5</v>
      </c>
      <c r="EB84" s="206">
        <f ca="1">IF(ISNUMBER($A80),$B81*(1-EB$1) + $C81*EB$1 + Normalkräfte!$D$6*EB82,KnotenData!$H$2)</f>
        <v>0.5</v>
      </c>
      <c r="EC84" s="206">
        <f ca="1">IF(ISNUMBER($A80),$B81*(1-EC$1) + $C81*EC$1 + Normalkräfte!$D$6*EC82,KnotenData!$H$2)</f>
        <v>0.5</v>
      </c>
      <c r="ED84" s="206">
        <f ca="1">IF(ISNUMBER($A80),$B81*(1-ED$1) + $C81*ED$1 + Normalkräfte!$D$6*ED82,KnotenData!$H$2)</f>
        <v>0.5</v>
      </c>
      <c r="EE84" s="206">
        <f ca="1">IF(ISNUMBER($A80),$B81*(1-EE$1) + $C81*EE$1 + Normalkräfte!$D$6*EE82,KnotenData!$H$2)</f>
        <v>0.5</v>
      </c>
      <c r="EF84" s="206">
        <f ca="1">IF(ISNUMBER($A80),$B81*(1-EF$1) + $C81*EF$1 + Normalkräfte!$D$6*EF82,KnotenData!$H$2)</f>
        <v>0.5</v>
      </c>
      <c r="EG84" s="206">
        <f ca="1">IF(ISNUMBER($A80),$B81*(1-EG$1) + $C81*EG$1 + Normalkräfte!$D$6*EG82,KnotenData!$H$2)</f>
        <v>0.5</v>
      </c>
      <c r="EH84" s="206">
        <f ca="1">IF(ISNUMBER($A80),$B81*(1-EH$1) + $C81*EH$1 + Normalkräfte!$D$6*EH82,KnotenData!$H$2)</f>
        <v>0.5</v>
      </c>
      <c r="EI84" s="206">
        <f ca="1">IF(ISNUMBER($A80),$B81*(1-EI$1) + $C81*EI$1 + Normalkräfte!$D$6*EI82,KnotenData!$H$2)</f>
        <v>0.5</v>
      </c>
      <c r="EJ84" s="206">
        <f ca="1">IF(ISNUMBER($A80),$B81*(1-EJ$1) + $C81*EJ$1 + Normalkräfte!$D$6*EJ82,KnotenData!$H$2)</f>
        <v>0.5</v>
      </c>
      <c r="EK84" s="256">
        <f ca="1">IF(ISNUMBER($A80),$C81,KnotenData!$H$2)</f>
        <v>0.5</v>
      </c>
      <c r="EL84" s="206">
        <f ca="1">IF(ISNUMBER($A80),$B81,KnotenData!$H$2)</f>
        <v>0.5</v>
      </c>
      <c r="EM84" s="217">
        <f ca="1">IF(ISNUMBER($A80),DZ84,KnotenData!$H$2)</f>
        <v>0.5</v>
      </c>
      <c r="EN84" s="7">
        <f ca="1">MIN(DZ84:EJ84)</f>
        <v>0.5</v>
      </c>
      <c r="EO84" s="8">
        <f ca="1">MIN(DZ85:EJ85)</f>
        <v>0.47499999999999998</v>
      </c>
      <c r="EP84" s="345"/>
    </row>
    <row r="85" spans="1:146" ht="13.5" thickBot="1" x14ac:dyDescent="0.25">
      <c r="E85" s="12"/>
      <c r="F85" s="12"/>
      <c r="J85" s="9">
        <v>0</v>
      </c>
      <c r="K85" s="10">
        <f ca="1">IF(G80=1,-6*B80/D80^2,IF(G80="2a",-3*B80/D80^2,IF(G80="2b",0,0)))</f>
        <v>0</v>
      </c>
      <c r="L85" s="146">
        <f ca="1">IF(G80=1,2*B80/D80,IF(G80="2a",0,IF(G80="2b",0,0)))</f>
        <v>0</v>
      </c>
      <c r="M85" s="9">
        <v>0</v>
      </c>
      <c r="N85" s="10">
        <f ca="1">-K85</f>
        <v>0</v>
      </c>
      <c r="O85" s="181">
        <f ca="1">IF(G80=1,4*B80/D80,IF(G80="2a",3*B80/D80,IF(G80="2b",0,0)))</f>
        <v>0</v>
      </c>
      <c r="P85" s="185">
        <v>0</v>
      </c>
      <c r="Q85" s="103">
        <v>0</v>
      </c>
      <c r="R85" s="103">
        <v>0</v>
      </c>
      <c r="S85" s="111">
        <v>0</v>
      </c>
      <c r="T85" s="111">
        <v>0</v>
      </c>
      <c r="U85" s="112">
        <v>1</v>
      </c>
      <c r="V85" s="9">
        <f ca="1"/>
        <v>0</v>
      </c>
      <c r="W85" s="10">
        <f ca="1"/>
        <v>0</v>
      </c>
      <c r="X85" s="146">
        <f ca="1"/>
        <v>0</v>
      </c>
      <c r="Y85" s="9">
        <f ca="1"/>
        <v>0</v>
      </c>
      <c r="Z85" s="10">
        <f ca="1"/>
        <v>0</v>
      </c>
      <c r="AA85" s="181">
        <f ca="1"/>
        <v>0</v>
      </c>
      <c r="AB85" s="62">
        <f ca="1">IF(ISNUMBER($A80),INDIRECT("System!" &amp; ADDRESS(A80+1,COLUMN(System!X79))),0)</f>
        <v>0</v>
      </c>
      <c r="AC85" s="302">
        <f ca="1">IF(G80=1,F80*D80^2/12,IF(G80="2a",F80*D80^2/8,IF(G80="2b",0,0)))</f>
        <v>0</v>
      </c>
      <c r="AD85" s="62">
        <f ca="1"/>
        <v>0</v>
      </c>
      <c r="AE85" s="9">
        <f t="shared" ref="AE85:BR85" ca="1" si="156">IF(ABS($G82)=AE$1,SIGN($G82),0)</f>
        <v>0</v>
      </c>
      <c r="AF85" s="10">
        <f t="shared" ca="1" si="156"/>
        <v>0</v>
      </c>
      <c r="AG85" s="10">
        <f t="shared" ca="1" si="156"/>
        <v>0</v>
      </c>
      <c r="AH85" s="10">
        <f t="shared" ca="1" si="156"/>
        <v>0</v>
      </c>
      <c r="AI85" s="10">
        <f t="shared" ca="1" si="156"/>
        <v>0</v>
      </c>
      <c r="AJ85" s="188">
        <f t="shared" ca="1" si="156"/>
        <v>0</v>
      </c>
      <c r="AK85" s="188">
        <f t="shared" ca="1" si="156"/>
        <v>0</v>
      </c>
      <c r="AL85" s="188">
        <f t="shared" ca="1" si="156"/>
        <v>0</v>
      </c>
      <c r="AM85" s="188">
        <f t="shared" ca="1" si="156"/>
        <v>0</v>
      </c>
      <c r="AN85" s="188">
        <f t="shared" ca="1" si="156"/>
        <v>0</v>
      </c>
      <c r="AO85" s="188">
        <f t="shared" ca="1" si="156"/>
        <v>0</v>
      </c>
      <c r="AP85" s="188">
        <f t="shared" ca="1" si="156"/>
        <v>0</v>
      </c>
      <c r="AQ85" s="188">
        <f t="shared" ca="1" si="156"/>
        <v>0</v>
      </c>
      <c r="AR85" s="188">
        <f t="shared" ca="1" si="156"/>
        <v>0</v>
      </c>
      <c r="AS85" s="188">
        <f t="shared" ca="1" si="156"/>
        <v>0</v>
      </c>
      <c r="AT85" s="188">
        <f t="shared" ca="1" si="156"/>
        <v>0</v>
      </c>
      <c r="AU85" s="188">
        <f t="shared" ca="1" si="156"/>
        <v>0</v>
      </c>
      <c r="AV85" s="188">
        <f t="shared" ca="1" si="156"/>
        <v>0</v>
      </c>
      <c r="AW85" s="188">
        <f t="shared" ca="1" si="156"/>
        <v>0</v>
      </c>
      <c r="AX85" s="188">
        <f t="shared" ca="1" si="156"/>
        <v>0</v>
      </c>
      <c r="AY85" s="188">
        <f t="shared" ca="1" si="156"/>
        <v>0</v>
      </c>
      <c r="AZ85" s="188">
        <f t="shared" ca="1" si="156"/>
        <v>0</v>
      </c>
      <c r="BA85" s="188">
        <f t="shared" ca="1" si="156"/>
        <v>0</v>
      </c>
      <c r="BB85" s="188">
        <f t="shared" ca="1" si="156"/>
        <v>0</v>
      </c>
      <c r="BC85" s="188">
        <f t="shared" ca="1" si="156"/>
        <v>0</v>
      </c>
      <c r="BD85" s="188">
        <f t="shared" ca="1" si="156"/>
        <v>0</v>
      </c>
      <c r="BE85" s="188">
        <f t="shared" ca="1" si="156"/>
        <v>0</v>
      </c>
      <c r="BF85" s="188">
        <f t="shared" ca="1" si="156"/>
        <v>0</v>
      </c>
      <c r="BG85" s="188">
        <f t="shared" ca="1" si="156"/>
        <v>0</v>
      </c>
      <c r="BH85" s="188">
        <f t="shared" ca="1" si="156"/>
        <v>0</v>
      </c>
      <c r="BI85" s="188">
        <f t="shared" ca="1" si="156"/>
        <v>0</v>
      </c>
      <c r="BJ85" s="188">
        <f t="shared" ca="1" si="156"/>
        <v>0</v>
      </c>
      <c r="BK85" s="188">
        <f t="shared" ca="1" si="156"/>
        <v>0</v>
      </c>
      <c r="BL85" s="188">
        <f t="shared" ca="1" si="156"/>
        <v>0</v>
      </c>
      <c r="BM85" s="188">
        <f t="shared" ca="1" si="156"/>
        <v>0</v>
      </c>
      <c r="BN85" s="188">
        <f t="shared" ca="1" si="156"/>
        <v>0</v>
      </c>
      <c r="BO85" s="188">
        <f t="shared" ca="1" si="156"/>
        <v>0</v>
      </c>
      <c r="BP85" s="188">
        <f t="shared" ca="1" si="156"/>
        <v>0</v>
      </c>
      <c r="BQ85" s="188">
        <f t="shared" ca="1" si="156"/>
        <v>0</v>
      </c>
      <c r="BR85" s="188">
        <f t="shared" ca="1" si="156"/>
        <v>0</v>
      </c>
      <c r="BS85" s="283">
        <f ca="1">IF(ISNUMBER($A80),IF(INDEX(B82:G82,6)&lt;&gt;0,SIGN(INDEX(B82:G82,6))*INDIRECT(ADDRESS(1+ABS(INDEX(B82:G82,6)),COLUMN(Ksys!$B$1),1,TRUE,"Ksys")),0)+AB85,0)</f>
        <v>0</v>
      </c>
      <c r="BT85" s="62">
        <f ca="1"/>
        <v>0</v>
      </c>
      <c r="BU85" s="62">
        <f ca="1"/>
        <v>0</v>
      </c>
      <c r="BV85" s="62">
        <f ca="1"/>
        <v>0</v>
      </c>
      <c r="BW85" s="297" t="s">
        <v>103</v>
      </c>
      <c r="BX85" s="218">
        <f ca="1">IF(ISNUMBER($A80),$D81*(1-BX$1) + $E81*BX$1 + Knoten!$S$5*BX83,KnotenData!$H$3)</f>
        <v>0.47499999999999998</v>
      </c>
      <c r="BY85" s="295">
        <f ca="1">IF(ISNUMBER($A80),$D81*(1-BY$1) + $E81*BY$1 + Knoten!$S$5*BY83,KnotenData!$H$3)</f>
        <v>0.47499999999999998</v>
      </c>
      <c r="BZ85" s="295">
        <f ca="1">IF(ISNUMBER($A80),$D81*(1-BZ$1) + $E81*BZ$1 + Knoten!$S$5*BZ83,KnotenData!$H$3)</f>
        <v>0.47499999999999998</v>
      </c>
      <c r="CA85" s="295">
        <f ca="1">IF(ISNUMBER($A80),$D81*(1-CA$1) + $E81*CA$1 + Knoten!$S$5*CA83,KnotenData!$H$3)</f>
        <v>0.47499999999999998</v>
      </c>
      <c r="CB85" s="295">
        <f ca="1">IF(ISNUMBER($A80),$D81*(1-CB$1) + $E81*CB$1 + Knoten!$S$5*CB83,KnotenData!$H$3)</f>
        <v>0.47499999999999998</v>
      </c>
      <c r="CC85" s="295">
        <f ca="1">IF(ISNUMBER($A80),$D81*(1-CC$1) + $E81*CC$1 + Knoten!$S$5*CC83,KnotenData!$H$3)</f>
        <v>0.47499999999999998</v>
      </c>
      <c r="CD85" s="295">
        <f ca="1">IF(ISNUMBER($A80),$D81*(1-CD$1) + $E81*CD$1 + Knoten!$S$5*CD83,KnotenData!$H$3)</f>
        <v>0.47499999999999998</v>
      </c>
      <c r="CE85" s="295">
        <f ca="1">IF(ISNUMBER($A80),$D81*(1-CE$1) + $E81*CE$1 + Knoten!$S$5*CE83,KnotenData!$H$3)</f>
        <v>0.47499999999999998</v>
      </c>
      <c r="CF85" s="295">
        <f ca="1">IF(ISNUMBER($A80),$D81*(1-CF$1) + $E81*CF$1 + Knoten!$S$5*CF83,KnotenData!$H$3)</f>
        <v>0.47499999999999998</v>
      </c>
      <c r="CG85" s="295">
        <f ca="1">IF(ISNUMBER($A80),$D81*(1-CG$1) + $E81*CG$1 + Knoten!$S$5*CG83,KnotenData!$H$3)</f>
        <v>0.47499999999999998</v>
      </c>
      <c r="CH85" s="219">
        <f ca="1">IF(ISNUMBER($A80),$D81*(1-CH$1) + $E81*CH$1 + Knoten!$S$5*CH83,KnotenData!$H$3)</f>
        <v>0.47499999999999998</v>
      </c>
      <c r="CI85" s="449">
        <f ca="1">MAX(BX84:CH84)</f>
        <v>0.5</v>
      </c>
      <c r="CJ85" s="448">
        <f ca="1">MAX(BX85:CH85)</f>
        <v>0.47499999999999998</v>
      </c>
      <c r="CK85" s="446"/>
      <c r="CL85">
        <v>14</v>
      </c>
      <c r="CM85" s="294" t="s">
        <v>103</v>
      </c>
      <c r="CN85" s="218">
        <f ca="1">IF(ISNUMBER($A80),$D81*(1-CN$1) + $E81*CN$1 + Momente!$D$6*CN83,KnotenData!$H$3)</f>
        <v>0.47499999999999998</v>
      </c>
      <c r="CO85" s="295">
        <f ca="1">IF(ISNUMBER($A80),$D81*(1-CO$1) + $E81*CO$1 + Momente!$D$6*CO83,KnotenData!$H$3)</f>
        <v>0.47499999999999998</v>
      </c>
      <c r="CP85" s="295">
        <f ca="1">IF(ISNUMBER($A80),$D81*(1-CP$1) + $E81*CP$1 + Momente!$D$6*CP83,KnotenData!$H$3)</f>
        <v>0.47499999999999998</v>
      </c>
      <c r="CQ85" s="295">
        <f ca="1">IF(ISNUMBER($A80),$D81*(1-CQ$1) + $E81*CQ$1 + Momente!$D$6*CQ83,KnotenData!$H$3)</f>
        <v>0.47499999999999998</v>
      </c>
      <c r="CR85" s="295">
        <f ca="1">IF(ISNUMBER($A80),$D81*(1-CR$1) + $E81*CR$1 + Momente!$D$6*CR83,KnotenData!$H$3)</f>
        <v>0.47499999999999998</v>
      </c>
      <c r="CS85" s="295">
        <f ca="1">IF(ISNUMBER($A80),$D81*(1-CS$1) + $E81*CS$1 + Momente!$D$6*CS83,KnotenData!$H$3)</f>
        <v>0.47499999999999998</v>
      </c>
      <c r="CT85" s="295">
        <f ca="1">IF(ISNUMBER($A80),$D81*(1-CT$1) + $E81*CT$1 + Momente!$D$6*CT83,KnotenData!$H$3)</f>
        <v>0.47499999999999998</v>
      </c>
      <c r="CU85" s="295">
        <f ca="1">IF(ISNUMBER($A80),$D81*(1-CU$1) + $E81*CU$1 + Momente!$D$6*CU83,KnotenData!$H$3)</f>
        <v>0.47499999999999998</v>
      </c>
      <c r="CV85" s="295">
        <f ca="1">IF(ISNUMBER($A80),$D81*(1-CV$1) + $E81*CV$1 + Momente!$D$6*CV83,KnotenData!$H$3)</f>
        <v>0.47499999999999998</v>
      </c>
      <c r="CW85" s="295">
        <f ca="1">IF(ISNUMBER($A80),$D81*(1-CW$1) + $E81*CW$1 + Momente!$D$6*CW83,KnotenData!$H$3)</f>
        <v>0.47499999999999998</v>
      </c>
      <c r="CX85" s="295">
        <f ca="1">IF(ISNUMBER($A80),$D81*(1-CX$1) + $E81*CX$1 + Momente!$D$6*CX83,KnotenData!$H$3)</f>
        <v>0.47499999999999998</v>
      </c>
      <c r="CY85" s="295">
        <f ca="1">IF(ISNUMBER($A80),$E81,KnotenData!$H$3)</f>
        <v>0.47499999999999998</v>
      </c>
      <c r="CZ85" s="295">
        <f ca="1">IF(ISNUMBER($A80),$D81,KnotenData!$H$3)</f>
        <v>0.47499999999999998</v>
      </c>
      <c r="DA85" s="306">
        <f ca="1">IF(ISNUMBER($A80),CN85,KnotenData!$H$3)</f>
        <v>0.47499999999999998</v>
      </c>
      <c r="DB85" s="9">
        <f ca="1">MAX(CN84:DA84)</f>
        <v>0.5</v>
      </c>
      <c r="DC85" s="146">
        <f ca="1">MAX(CN85:DA85)</f>
        <v>0.47499999999999998</v>
      </c>
      <c r="DD85" s="346"/>
      <c r="DE85">
        <v>14</v>
      </c>
      <c r="DF85" s="294" t="s">
        <v>103</v>
      </c>
      <c r="DG85" s="218">
        <f ca="1">IF(ISNUMBER($A80),$D81*(1-DG$1) + $E81*DG$1 + Querkräfte!$D$6*DG83,KnotenData!$H$3)</f>
        <v>0.47499999999999998</v>
      </c>
      <c r="DH85" s="295">
        <f ca="1">IF(ISNUMBER($A80),$D81*(1-DH$1) + $E81*DH$1 + Querkräfte!$D$6*DH83,KnotenData!$H$3)</f>
        <v>0.47499999999999998</v>
      </c>
      <c r="DI85" s="295">
        <f ca="1">IF(ISNUMBER($A80),$D81*(1-DI$1) + $E81*DI$1 + Querkräfte!$D$6*DI83,KnotenData!$H$3)</f>
        <v>0.47499999999999998</v>
      </c>
      <c r="DJ85" s="295">
        <f ca="1">IF(ISNUMBER($A80),$D81*(1-DJ$1) + $E81*DJ$1 + Querkräfte!$D$6*DJ83,KnotenData!$H$3)</f>
        <v>0.47499999999999998</v>
      </c>
      <c r="DK85" s="295">
        <f ca="1">IF(ISNUMBER($A80),$D81*(1-DK$1) + $E81*DK$1 + Querkräfte!$D$6*DK83,KnotenData!$H$3)</f>
        <v>0.47499999999999998</v>
      </c>
      <c r="DL85" s="295">
        <f ca="1">IF(ISNUMBER($A80),$D81*(1-DL$1) + $E81*DL$1 + Querkräfte!$D$6*DL83,KnotenData!$H$3)</f>
        <v>0.47499999999999998</v>
      </c>
      <c r="DM85" s="295">
        <f ca="1">IF(ISNUMBER($A80),$D81*(1-DM$1) + $E81*DM$1 + Querkräfte!$D$6*DM83,KnotenData!$H$3)</f>
        <v>0.47499999999999998</v>
      </c>
      <c r="DN85" s="295">
        <f ca="1">IF(ISNUMBER($A80),$D81*(1-DN$1) + $E81*DN$1 + Querkräfte!$D$6*DN83,KnotenData!$H$3)</f>
        <v>0.47499999999999998</v>
      </c>
      <c r="DO85" s="295">
        <f ca="1">IF(ISNUMBER($A80),$D81*(1-DO$1) + $E81*DO$1 + Querkräfte!$D$6*DO83,KnotenData!$H$3)</f>
        <v>0.47499999999999998</v>
      </c>
      <c r="DP85" s="295">
        <f ca="1">IF(ISNUMBER($A80),$D81*(1-DP$1) + $E81*DP$1 + Querkräfte!$D$6*DP83,KnotenData!$H$3)</f>
        <v>0.47499999999999998</v>
      </c>
      <c r="DQ85" s="295">
        <f ca="1">IF(ISNUMBER($A80),$D81*(1-DQ$1) + $E81*DQ$1 + Querkräfte!$D$6*DQ83,KnotenData!$H$3)</f>
        <v>0.47499999999999998</v>
      </c>
      <c r="DR85" s="295">
        <f ca="1">IF(ISNUMBER($A80),$E81,KnotenData!$H$3)</f>
        <v>0.47499999999999998</v>
      </c>
      <c r="DS85" s="295">
        <f ca="1">IF(ISNUMBER($A80),$D81,KnotenData!$H$3)</f>
        <v>0.47499999999999998</v>
      </c>
      <c r="DT85" s="219">
        <f ca="1">IF(ISNUMBER($A80),DG85,KnotenData!$H$3)</f>
        <v>0.47499999999999998</v>
      </c>
      <c r="DU85" s="11">
        <f ca="1">MAX(DG84:DQ84)</f>
        <v>0.5</v>
      </c>
      <c r="DV85" s="146">
        <f ca="1">MAX(DG85:DQ85)</f>
        <v>0.47499999999999998</v>
      </c>
      <c r="DW85" s="346"/>
      <c r="DX85">
        <v>14</v>
      </c>
      <c r="DY85" s="294" t="s">
        <v>103</v>
      </c>
      <c r="DZ85" s="218">
        <f ca="1">IF(ISNUMBER($A80),$D81*(1-DZ$1) + $E81*DZ$1 + Normalkräfte!$D$6*DZ83,KnotenData!$H$3)</f>
        <v>0.47499999999999998</v>
      </c>
      <c r="EA85" s="295">
        <f ca="1">IF(ISNUMBER($A80),$D81*(1-EA$1) + $E81*EA$1 + Normalkräfte!$D$6*EA83,KnotenData!$H$3)</f>
        <v>0.47499999999999998</v>
      </c>
      <c r="EB85" s="295">
        <f ca="1">IF(ISNUMBER($A80),$D81*(1-EB$1) + $E81*EB$1 + Normalkräfte!$D$6*EB83,KnotenData!$H$3)</f>
        <v>0.47499999999999998</v>
      </c>
      <c r="EC85" s="295">
        <f ca="1">IF(ISNUMBER($A80),$D81*(1-EC$1) + $E81*EC$1 + Normalkräfte!$D$6*EC83,KnotenData!$H$3)</f>
        <v>0.47499999999999998</v>
      </c>
      <c r="ED85" s="295">
        <f ca="1">IF(ISNUMBER($A80),$D81*(1-ED$1) + $E81*ED$1 + Normalkräfte!$D$6*ED83,KnotenData!$H$3)</f>
        <v>0.47499999999999998</v>
      </c>
      <c r="EE85" s="295">
        <f ca="1">IF(ISNUMBER($A80),$D81*(1-EE$1) + $E81*EE$1 + Normalkräfte!$D$6*EE83,KnotenData!$H$3)</f>
        <v>0.47499999999999998</v>
      </c>
      <c r="EF85" s="295">
        <f ca="1">IF(ISNUMBER($A80),$D81*(1-EF$1) + $E81*EF$1 + Normalkräfte!$D$6*EF83,KnotenData!$H$3)</f>
        <v>0.47499999999999998</v>
      </c>
      <c r="EG85" s="295">
        <f ca="1">IF(ISNUMBER($A80),$D81*(1-EG$1) + $E81*EG$1 + Normalkräfte!$D$6*EG83,KnotenData!$H$3)</f>
        <v>0.47499999999999998</v>
      </c>
      <c r="EH85" s="295">
        <f ca="1">IF(ISNUMBER($A80),$D81*(1-EH$1) + $E81*EH$1 + Normalkräfte!$D$6*EH83,KnotenData!$H$3)</f>
        <v>0.47499999999999998</v>
      </c>
      <c r="EI85" s="295">
        <f ca="1">IF(ISNUMBER($A80),$D81*(1-EI$1) + $E81*EI$1 + Normalkräfte!$D$6*EI83,KnotenData!$H$3)</f>
        <v>0.47499999999999998</v>
      </c>
      <c r="EJ85" s="295">
        <f ca="1">IF(ISNUMBER($A80),$D81*(1-EJ$1) + $E81*EJ$1 + Normalkräfte!$D$6*EJ83,KnotenData!$H$3)</f>
        <v>0.47499999999999998</v>
      </c>
      <c r="EK85" s="295">
        <f ca="1">IF(ISNUMBER($A80),$E81,KnotenData!$H$3)</f>
        <v>0.47499999999999998</v>
      </c>
      <c r="EL85" s="295">
        <f ca="1">IF(ISNUMBER($A80),$D81,KnotenData!$H$3)</f>
        <v>0.47499999999999998</v>
      </c>
      <c r="EM85" s="219">
        <f ca="1">IF(ISNUMBER($A80),DZ85,KnotenData!$H$3)</f>
        <v>0.47499999999999998</v>
      </c>
      <c r="EN85" s="9">
        <f ca="1">MAX(DZ84:EJ84)</f>
        <v>0.5</v>
      </c>
      <c r="EO85" s="146">
        <f ca="1">MAX(DZ85:EJ85)</f>
        <v>0.47499999999999998</v>
      </c>
      <c r="EP85" s="346"/>
    </row>
    <row r="86" spans="1:146" x14ac:dyDescent="0.2">
      <c r="A86" s="205" t="str">
        <f ca="1">IF(ISNUMBER(INDIRECT("System!C" &amp;(ROW(A86)+4)/6+1)),INDIRECT("System!B"&amp;(ROW(A86)+4)/6+1),"")</f>
        <v/>
      </c>
      <c r="B86" s="206">
        <f ca="1">IF(ISNUMBER(A86),INDIRECT("System!" &amp; ADDRESS(A86 +1,COLUMN(System!E85))),0)</f>
        <v>0</v>
      </c>
      <c r="C86" s="206">
        <f ca="1">IF(ISNUMBER(A86),INDIRECT("System!" &amp; ADDRESS(A86 +1,COLUMN(System!F85))),0)</f>
        <v>0</v>
      </c>
      <c r="D86" s="209">
        <f ca="1">IF(ISNUMBER(A86),INDIRECT("System!" &amp; ADDRESS(A86 +1,COLUMN(System!O85))),0)</f>
        <v>0</v>
      </c>
      <c r="E86" s="208" t="str">
        <f ca="1">IF(ISNUMBER(A86),INDIRECT("System!" &amp; ADDRESS(A86 +1,COLUMN(System!G85))),"")</f>
        <v/>
      </c>
      <c r="F86" s="208" t="str">
        <f ca="1">IF(ISNUMBER(A86),INDIRECT("System!" &amp; ADDRESS(A86 +1,COLUMN(System!H85))),"")</f>
        <v/>
      </c>
      <c r="G86" s="261" t="str">
        <f ca="1">IF(ISNUMBER(A86),INDIRECT("System!" &amp; ADDRESS(A86 +1,COLUMN(System!I85))),"")</f>
        <v/>
      </c>
      <c r="H86" s="207">
        <f ca="1">IF(ISNUMBER($A86),INDIRECT("System!" &amp; ADDRESS($A86 +1,COLUMN(System!Q85))),0)</f>
        <v>0</v>
      </c>
      <c r="I86" s="209">
        <f ca="1">IF(ISNUMBER($A86),INDIRECT("System!" &amp; ADDRESS($A86 +1,COLUMN(System!R85))),0)</f>
        <v>0</v>
      </c>
      <c r="J86" s="179">
        <f ca="1">IF(ISNUMBER(A86),C86/D86,0)</f>
        <v>0</v>
      </c>
      <c r="K86" s="5">
        <v>0</v>
      </c>
      <c r="L86" s="6">
        <v>0</v>
      </c>
      <c r="M86" s="4">
        <f ca="1">-J86</f>
        <v>0</v>
      </c>
      <c r="N86" s="5">
        <v>0</v>
      </c>
      <c r="O86" s="6">
        <v>0</v>
      </c>
      <c r="P86" s="141">
        <f ca="1">I86</f>
        <v>0</v>
      </c>
      <c r="Q86" s="142">
        <f ca="1">-H86</f>
        <v>0</v>
      </c>
      <c r="R86" s="142">
        <v>0</v>
      </c>
      <c r="S86" s="182">
        <v>0</v>
      </c>
      <c r="T86" s="182">
        <v>0</v>
      </c>
      <c r="U86" s="183">
        <v>0</v>
      </c>
      <c r="V86" s="179">
        <f t="array" aca="1" ref="V86:AA91" ca="1">MMULT(TRANSPOSE(P86:U91),MMULT(J86:O91,P86:U91))</f>
        <v>0</v>
      </c>
      <c r="W86" s="5">
        <f ca="1"/>
        <v>0</v>
      </c>
      <c r="X86" s="6">
        <f ca="1"/>
        <v>0</v>
      </c>
      <c r="Y86" s="4">
        <f ca="1"/>
        <v>0</v>
      </c>
      <c r="Z86" s="5">
        <f ca="1"/>
        <v>0</v>
      </c>
      <c r="AA86" s="6">
        <f ca="1"/>
        <v>0</v>
      </c>
      <c r="AB86" s="60">
        <f ca="1">IF(ISNUMBER($A86),INDIRECT("System!" &amp; ADDRESS(A86+1,COLUMN(System!S85))),0)</f>
        <v>0</v>
      </c>
      <c r="AC86" s="299">
        <f ca="1">IF(ISNUMBER(E86),E86*D86/2,0)</f>
        <v>0</v>
      </c>
      <c r="AD86" s="60">
        <f t="array" aca="1" ref="AD86:AD91" ca="1">MMULT(TRANSPOSE(P86:U91),AC86:AC91) - MMULT(V86:AA91,AB86:AB91)</f>
        <v>0</v>
      </c>
      <c r="AE86" s="4">
        <f t="shared" ref="AE86:BR86" ca="1" si="157">IF(ABS($B88)=AE$1,SIGN($B88),0)</f>
        <v>0</v>
      </c>
      <c r="AF86" s="5">
        <f t="shared" ca="1" si="157"/>
        <v>0</v>
      </c>
      <c r="AG86" s="5">
        <f t="shared" ca="1" si="157"/>
        <v>0</v>
      </c>
      <c r="AH86" s="5">
        <f t="shared" ca="1" si="157"/>
        <v>0</v>
      </c>
      <c r="AI86" s="5">
        <f t="shared" ca="1" si="157"/>
        <v>0</v>
      </c>
      <c r="AJ86" s="189">
        <f t="shared" ca="1" si="157"/>
        <v>0</v>
      </c>
      <c r="AK86" s="189">
        <f t="shared" ca="1" si="157"/>
        <v>0</v>
      </c>
      <c r="AL86" s="189">
        <f t="shared" ca="1" si="157"/>
        <v>0</v>
      </c>
      <c r="AM86" s="189">
        <f t="shared" ca="1" si="157"/>
        <v>0</v>
      </c>
      <c r="AN86" s="189">
        <f t="shared" ca="1" si="157"/>
        <v>0</v>
      </c>
      <c r="AO86" s="189">
        <f t="shared" ca="1" si="157"/>
        <v>0</v>
      </c>
      <c r="AP86" s="189">
        <f t="shared" ca="1" si="157"/>
        <v>0</v>
      </c>
      <c r="AQ86" s="189">
        <f t="shared" ca="1" si="157"/>
        <v>0</v>
      </c>
      <c r="AR86" s="189">
        <f t="shared" ca="1" si="157"/>
        <v>0</v>
      </c>
      <c r="AS86" s="189">
        <f t="shared" ca="1" si="157"/>
        <v>0</v>
      </c>
      <c r="AT86" s="189">
        <f t="shared" ca="1" si="157"/>
        <v>0</v>
      </c>
      <c r="AU86" s="189">
        <f t="shared" ca="1" si="157"/>
        <v>0</v>
      </c>
      <c r="AV86" s="189">
        <f t="shared" ca="1" si="157"/>
        <v>0</v>
      </c>
      <c r="AW86" s="189">
        <f t="shared" ca="1" si="157"/>
        <v>0</v>
      </c>
      <c r="AX86" s="189">
        <f t="shared" ca="1" si="157"/>
        <v>0</v>
      </c>
      <c r="AY86" s="189">
        <f t="shared" ca="1" si="157"/>
        <v>0</v>
      </c>
      <c r="AZ86" s="189">
        <f t="shared" ca="1" si="157"/>
        <v>0</v>
      </c>
      <c r="BA86" s="189">
        <f t="shared" ca="1" si="157"/>
        <v>0</v>
      </c>
      <c r="BB86" s="189">
        <f t="shared" ca="1" si="157"/>
        <v>0</v>
      </c>
      <c r="BC86" s="189">
        <f t="shared" ca="1" si="157"/>
        <v>0</v>
      </c>
      <c r="BD86" s="189">
        <f t="shared" ca="1" si="157"/>
        <v>0</v>
      </c>
      <c r="BE86" s="189">
        <f t="shared" ca="1" si="157"/>
        <v>0</v>
      </c>
      <c r="BF86" s="189">
        <f t="shared" ca="1" si="157"/>
        <v>0</v>
      </c>
      <c r="BG86" s="189">
        <f t="shared" ca="1" si="157"/>
        <v>0</v>
      </c>
      <c r="BH86" s="189">
        <f t="shared" ca="1" si="157"/>
        <v>0</v>
      </c>
      <c r="BI86" s="189">
        <f t="shared" ca="1" si="157"/>
        <v>0</v>
      </c>
      <c r="BJ86" s="189">
        <f t="shared" ca="1" si="157"/>
        <v>0</v>
      </c>
      <c r="BK86" s="189">
        <f t="shared" ca="1" si="157"/>
        <v>0</v>
      </c>
      <c r="BL86" s="189">
        <f t="shared" ca="1" si="157"/>
        <v>0</v>
      </c>
      <c r="BM86" s="189">
        <f t="shared" ca="1" si="157"/>
        <v>0</v>
      </c>
      <c r="BN86" s="189">
        <f t="shared" ca="1" si="157"/>
        <v>0</v>
      </c>
      <c r="BO86" s="189">
        <f t="shared" ca="1" si="157"/>
        <v>0</v>
      </c>
      <c r="BP86" s="189">
        <f t="shared" ca="1" si="157"/>
        <v>0</v>
      </c>
      <c r="BQ86" s="189">
        <f t="shared" ca="1" si="157"/>
        <v>0</v>
      </c>
      <c r="BR86" s="189">
        <f t="shared" ca="1" si="157"/>
        <v>0</v>
      </c>
      <c r="BS86" s="281">
        <f ca="1">IF(ISNUMBER($A86),IF(INDEX(B88:G88,1)&lt;&gt;0,SIGN(INDEX(B88:G88,1))*INDIRECT(ADDRESS(1+ABS(INDEX(B88:G88,1)),COLUMN(Ksys!$B$1),1,TRUE,"Ksys")),0)+AB86,0)</f>
        <v>0</v>
      </c>
      <c r="BT86" s="60">
        <f t="array" aca="1" ref="BT86:BT91" ca="1">MMULT(P86:U91,BS86:BS91)</f>
        <v>0</v>
      </c>
      <c r="BU86" s="60">
        <f t="array" aca="1" ref="BU86:BU91" ca="1">MMULT(J86:O91,BT86:BT91)-AC86:AC91</f>
        <v>0</v>
      </c>
      <c r="BV86" s="60">
        <f t="array" aca="1" ref="BV86:BV88" ca="1">-(MMULT(J86:O88,BT86:BT91)-AC86:AC88)</f>
        <v>0</v>
      </c>
      <c r="BW86" s="286" t="s">
        <v>97</v>
      </c>
      <c r="BX86" s="4">
        <f t="shared" ref="BX86:CH86" ca="1" si="158">IF(ISNUMBER($A86),$BT86*(1-BX$1) + $BT89*BX$1,0)</f>
        <v>0</v>
      </c>
      <c r="BY86" s="5">
        <f t="shared" ca="1" si="158"/>
        <v>0</v>
      </c>
      <c r="BZ86" s="5">
        <f t="shared" ca="1" si="158"/>
        <v>0</v>
      </c>
      <c r="CA86" s="5">
        <f t="shared" ca="1" si="158"/>
        <v>0</v>
      </c>
      <c r="CB86" s="5">
        <f t="shared" ca="1" si="158"/>
        <v>0</v>
      </c>
      <c r="CC86" s="5">
        <f t="shared" ca="1" si="158"/>
        <v>0</v>
      </c>
      <c r="CD86" s="5">
        <f t="shared" ca="1" si="158"/>
        <v>0</v>
      </c>
      <c r="CE86" s="5">
        <f t="shared" ca="1" si="158"/>
        <v>0</v>
      </c>
      <c r="CF86" s="5">
        <f t="shared" ca="1" si="158"/>
        <v>0</v>
      </c>
      <c r="CG86" s="5">
        <f t="shared" ca="1" si="158"/>
        <v>0</v>
      </c>
      <c r="CH86" s="6">
        <f t="shared" ca="1" si="158"/>
        <v>0</v>
      </c>
      <c r="CI86" s="343"/>
      <c r="CJ86" s="343"/>
      <c r="CK86" s="308"/>
      <c r="CM86" s="290" t="s">
        <v>97</v>
      </c>
      <c r="CN86" s="4">
        <v>0</v>
      </c>
      <c r="CO86" s="5">
        <v>0</v>
      </c>
      <c r="CP86" s="5">
        <v>0</v>
      </c>
      <c r="CQ86" s="5">
        <v>0</v>
      </c>
      <c r="CR86" s="5">
        <v>0</v>
      </c>
      <c r="CS86" s="5">
        <v>0</v>
      </c>
      <c r="CT86" s="5">
        <v>0</v>
      </c>
      <c r="CU86" s="5">
        <v>0</v>
      </c>
      <c r="CV86" s="5">
        <v>0</v>
      </c>
      <c r="CW86" s="5">
        <v>0</v>
      </c>
      <c r="CX86" s="5">
        <v>0</v>
      </c>
      <c r="CY86" s="5"/>
      <c r="CZ86" s="5"/>
      <c r="DA86" s="189"/>
      <c r="DB86" s="307"/>
      <c r="DC86" s="308"/>
      <c r="DD86" s="343"/>
      <c r="DF86" s="290" t="s">
        <v>97</v>
      </c>
      <c r="DG86" s="4">
        <v>0</v>
      </c>
      <c r="DH86" s="5">
        <v>0</v>
      </c>
      <c r="DI86" s="5">
        <v>0</v>
      </c>
      <c r="DJ86" s="5">
        <v>0</v>
      </c>
      <c r="DK86" s="5">
        <v>0</v>
      </c>
      <c r="DL86" s="5">
        <v>0</v>
      </c>
      <c r="DM86" s="5">
        <v>0</v>
      </c>
      <c r="DN86" s="5">
        <v>0</v>
      </c>
      <c r="DO86" s="5">
        <v>0</v>
      </c>
      <c r="DP86" s="5">
        <v>0</v>
      </c>
      <c r="DQ86" s="5">
        <v>0</v>
      </c>
      <c r="DR86" s="5"/>
      <c r="DS86" s="5"/>
      <c r="DT86" s="6"/>
      <c r="DU86" s="325"/>
      <c r="DV86" s="308"/>
      <c r="DW86" s="343"/>
      <c r="DY86" s="290" t="s">
        <v>97</v>
      </c>
      <c r="DZ86" s="4">
        <v>0</v>
      </c>
      <c r="EA86" s="5">
        <v>0</v>
      </c>
      <c r="EB86" s="5">
        <v>0</v>
      </c>
      <c r="EC86" s="5">
        <v>0</v>
      </c>
      <c r="ED86" s="5">
        <v>0</v>
      </c>
      <c r="EE86" s="5">
        <v>0</v>
      </c>
      <c r="EF86" s="5">
        <v>0</v>
      </c>
      <c r="EG86" s="5">
        <v>0</v>
      </c>
      <c r="EH86" s="5">
        <v>0</v>
      </c>
      <c r="EI86" s="5">
        <v>0</v>
      </c>
      <c r="EJ86" s="5">
        <v>0</v>
      </c>
      <c r="EK86" s="5"/>
      <c r="EL86" s="5"/>
      <c r="EM86" s="6"/>
      <c r="EN86" s="307"/>
      <c r="EO86" s="308"/>
      <c r="EP86" s="343"/>
    </row>
    <row r="87" spans="1:146" x14ac:dyDescent="0.2">
      <c r="B87" s="1">
        <f ca="1">IF(ISNUMBER($A86),INDIRECT(ADDRESS($A86+1,COLUMN(System!K$2),1,TRUE,"System")),0)</f>
        <v>0</v>
      </c>
      <c r="C87" s="1">
        <f ca="1">IF(ISNUMBER($A86),INDIRECT(ADDRESS($A86+1,COLUMN(System!L$2),1,TRUE,"System")),0)</f>
        <v>0</v>
      </c>
      <c r="D87" s="1">
        <f ca="1">IF(ISNUMBER($A86),INDIRECT(ADDRESS($A86+1,COLUMN(System!M$2),1,TRUE,"System")),0)</f>
        <v>0</v>
      </c>
      <c r="E87" s="1">
        <f ca="1">IF(ISNUMBER($A86),INDIRECT(ADDRESS($A86+1,COLUMN(System!N$2),1,TRUE,"System")),0)</f>
        <v>0</v>
      </c>
      <c r="F87" s="12"/>
      <c r="J87" s="7">
        <v>0</v>
      </c>
      <c r="K87" s="180">
        <f ca="1">IF(G86=1,12*B86/D86^3,IF(G86="2a",3*B86/D86^3,IF(G86="2b",3*B86/D86^3,0)))</f>
        <v>0</v>
      </c>
      <c r="L87" s="8">
        <f ca="1">K88</f>
        <v>0</v>
      </c>
      <c r="M87" s="7">
        <v>0</v>
      </c>
      <c r="N87" s="1">
        <f ca="1">-K87</f>
        <v>0</v>
      </c>
      <c r="O87" s="8">
        <f ca="1">K91</f>
        <v>0</v>
      </c>
      <c r="P87" s="143">
        <f ca="1">H86</f>
        <v>0</v>
      </c>
      <c r="Q87" s="99">
        <f ca="1">I86</f>
        <v>0</v>
      </c>
      <c r="R87" s="99">
        <v>0</v>
      </c>
      <c r="S87" s="101">
        <v>0</v>
      </c>
      <c r="T87" s="101">
        <v>0</v>
      </c>
      <c r="U87" s="110">
        <v>0</v>
      </c>
      <c r="V87" s="7">
        <f ca="1"/>
        <v>0</v>
      </c>
      <c r="W87" s="180">
        <f ca="1"/>
        <v>0</v>
      </c>
      <c r="X87" s="8">
        <f ca="1"/>
        <v>0</v>
      </c>
      <c r="Y87" s="7">
        <f ca="1"/>
        <v>0</v>
      </c>
      <c r="Z87" s="1">
        <f ca="1"/>
        <v>0</v>
      </c>
      <c r="AA87" s="8">
        <f ca="1"/>
        <v>0</v>
      </c>
      <c r="AB87" s="61">
        <f ca="1">IF(ISNUMBER($A86),INDIRECT("System!" &amp; ADDRESS(A86+1,COLUMN(System!T85))),0)</f>
        <v>0</v>
      </c>
      <c r="AC87" s="301">
        <f ca="1">IF(G86=1,F86*D86/2,IF(G86="2a",F86*3/8*D86,IF(G86="2b",F86*5/8*D86,0)))</f>
        <v>0</v>
      </c>
      <c r="AD87" s="61">
        <f ca="1"/>
        <v>0</v>
      </c>
      <c r="AE87" s="7">
        <f t="shared" ref="AE87:BR87" ca="1" si="159">IF(ABS($C88)=AE$1,SIGN($C88),0)</f>
        <v>0</v>
      </c>
      <c r="AF87" s="1">
        <f t="shared" ca="1" si="159"/>
        <v>0</v>
      </c>
      <c r="AG87" s="1">
        <f t="shared" ca="1" si="159"/>
        <v>0</v>
      </c>
      <c r="AH87" s="1">
        <f t="shared" ca="1" si="159"/>
        <v>0</v>
      </c>
      <c r="AI87" s="1">
        <f t="shared" ca="1" si="159"/>
        <v>0</v>
      </c>
      <c r="AJ87" s="26">
        <f t="shared" ca="1" si="159"/>
        <v>0</v>
      </c>
      <c r="AK87" s="26">
        <f t="shared" ca="1" si="159"/>
        <v>0</v>
      </c>
      <c r="AL87" s="26">
        <f t="shared" ca="1" si="159"/>
        <v>0</v>
      </c>
      <c r="AM87" s="26">
        <f t="shared" ca="1" si="159"/>
        <v>0</v>
      </c>
      <c r="AN87" s="26">
        <f t="shared" ca="1" si="159"/>
        <v>0</v>
      </c>
      <c r="AO87" s="26">
        <f t="shared" ca="1" si="159"/>
        <v>0</v>
      </c>
      <c r="AP87" s="26">
        <f t="shared" ca="1" si="159"/>
        <v>0</v>
      </c>
      <c r="AQ87" s="26">
        <f t="shared" ca="1" si="159"/>
        <v>0</v>
      </c>
      <c r="AR87" s="26">
        <f t="shared" ca="1" si="159"/>
        <v>0</v>
      </c>
      <c r="AS87" s="26">
        <f t="shared" ca="1" si="159"/>
        <v>0</v>
      </c>
      <c r="AT87" s="26">
        <f t="shared" ca="1" si="159"/>
        <v>0</v>
      </c>
      <c r="AU87" s="26">
        <f t="shared" ca="1" si="159"/>
        <v>0</v>
      </c>
      <c r="AV87" s="26">
        <f t="shared" ca="1" si="159"/>
        <v>0</v>
      </c>
      <c r="AW87" s="26">
        <f t="shared" ca="1" si="159"/>
        <v>0</v>
      </c>
      <c r="AX87" s="26">
        <f t="shared" ca="1" si="159"/>
        <v>0</v>
      </c>
      <c r="AY87" s="26">
        <f t="shared" ca="1" si="159"/>
        <v>0</v>
      </c>
      <c r="AZ87" s="26">
        <f t="shared" ca="1" si="159"/>
        <v>0</v>
      </c>
      <c r="BA87" s="26">
        <f t="shared" ca="1" si="159"/>
        <v>0</v>
      </c>
      <c r="BB87" s="26">
        <f t="shared" ca="1" si="159"/>
        <v>0</v>
      </c>
      <c r="BC87" s="26">
        <f t="shared" ca="1" si="159"/>
        <v>0</v>
      </c>
      <c r="BD87" s="26">
        <f t="shared" ca="1" si="159"/>
        <v>0</v>
      </c>
      <c r="BE87" s="26">
        <f t="shared" ca="1" si="159"/>
        <v>0</v>
      </c>
      <c r="BF87" s="26">
        <f t="shared" ca="1" si="159"/>
        <v>0</v>
      </c>
      <c r="BG87" s="26">
        <f t="shared" ca="1" si="159"/>
        <v>0</v>
      </c>
      <c r="BH87" s="26">
        <f t="shared" ca="1" si="159"/>
        <v>0</v>
      </c>
      <c r="BI87" s="26">
        <f t="shared" ca="1" si="159"/>
        <v>0</v>
      </c>
      <c r="BJ87" s="26">
        <f t="shared" ca="1" si="159"/>
        <v>0</v>
      </c>
      <c r="BK87" s="26">
        <f t="shared" ca="1" si="159"/>
        <v>0</v>
      </c>
      <c r="BL87" s="26">
        <f t="shared" ca="1" si="159"/>
        <v>0</v>
      </c>
      <c r="BM87" s="26">
        <f t="shared" ca="1" si="159"/>
        <v>0</v>
      </c>
      <c r="BN87" s="26">
        <f t="shared" ca="1" si="159"/>
        <v>0</v>
      </c>
      <c r="BO87" s="26">
        <f t="shared" ca="1" si="159"/>
        <v>0</v>
      </c>
      <c r="BP87" s="26">
        <f t="shared" ca="1" si="159"/>
        <v>0</v>
      </c>
      <c r="BQ87" s="26">
        <f t="shared" ca="1" si="159"/>
        <v>0</v>
      </c>
      <c r="BR87" s="26">
        <f t="shared" ca="1" si="159"/>
        <v>0</v>
      </c>
      <c r="BS87" s="282">
        <f ca="1">IF(ISNUMBER($A86),IF(INDEX(B88:G88,2)&lt;&gt;0,SIGN(INDEX(B88:G88,2))*INDIRECT(ADDRESS(1+ABS(INDEX(B88:G88,2)),COLUMN(Ksys!$B$1),1,TRUE,"Ksys")),0)+AB87,0)</f>
        <v>0</v>
      </c>
      <c r="BT87" s="61">
        <f ca="1"/>
        <v>0</v>
      </c>
      <c r="BU87" s="61">
        <f ca="1"/>
        <v>0</v>
      </c>
      <c r="BV87" s="61">
        <f ca="1"/>
        <v>0</v>
      </c>
      <c r="BW87" s="287" t="s">
        <v>100</v>
      </c>
      <c r="BX87" s="272">
        <f t="shared" ref="BX87:CH87" ca="1" si="160" xml:space="preserve">  IF(ISNUMBER($A86),$BT87*(1-BX$1) + $BT90*BX$1 + ((1-BX$1)-(1-BX$1)^3)*$D86^2/6*$BV88/$B86 + (BX$1-(BX$1)^3)*$D86^2/6*$BV91/$B86 + (BX$1-2*(BX$1)^3+(BX$1)^4)*$D86^2/3*$F86*$D86^2/8/$B86,0)</f>
        <v>0</v>
      </c>
      <c r="BY87" s="173">
        <f t="shared" ca="1" si="160"/>
        <v>0</v>
      </c>
      <c r="BZ87" s="173">
        <f t="shared" ca="1" si="160"/>
        <v>0</v>
      </c>
      <c r="CA87" s="173">
        <f t="shared" ca="1" si="160"/>
        <v>0</v>
      </c>
      <c r="CB87" s="173">
        <f t="shared" ca="1" si="160"/>
        <v>0</v>
      </c>
      <c r="CC87" s="173">
        <f t="shared" ca="1" si="160"/>
        <v>0</v>
      </c>
      <c r="CD87" s="173">
        <f t="shared" ca="1" si="160"/>
        <v>0</v>
      </c>
      <c r="CE87" s="173">
        <f t="shared" ca="1" si="160"/>
        <v>0</v>
      </c>
      <c r="CF87" s="173">
        <f t="shared" ca="1" si="160"/>
        <v>0</v>
      </c>
      <c r="CG87" s="173">
        <f t="shared" ca="1" si="160"/>
        <v>0</v>
      </c>
      <c r="CH87" s="289">
        <f t="shared" ca="1" si="160"/>
        <v>0</v>
      </c>
      <c r="CI87" s="344"/>
      <c r="CJ87" s="344"/>
      <c r="CK87" s="312"/>
      <c r="CM87" s="291" t="s">
        <v>100</v>
      </c>
      <c r="CN87" s="7">
        <f t="shared" ref="CN87:CX87" ca="1" si="161" xml:space="preserve">  IF(ISNUMBER($A86),$BV88*(1-CN$1) + $BV91*CN$1  + CN$1*(1-CN$1)*$F86*$D86^2/2,0)</f>
        <v>0</v>
      </c>
      <c r="CO87" s="1">
        <f t="shared" ca="1" si="161"/>
        <v>0</v>
      </c>
      <c r="CP87" s="1">
        <f t="shared" ca="1" si="161"/>
        <v>0</v>
      </c>
      <c r="CQ87" s="1">
        <f t="shared" ca="1" si="161"/>
        <v>0</v>
      </c>
      <c r="CR87" s="1">
        <f t="shared" ca="1" si="161"/>
        <v>0</v>
      </c>
      <c r="CS87" s="1">
        <f t="shared" ca="1" si="161"/>
        <v>0</v>
      </c>
      <c r="CT87" s="1">
        <f t="shared" ca="1" si="161"/>
        <v>0</v>
      </c>
      <c r="CU87" s="1">
        <f t="shared" ca="1" si="161"/>
        <v>0</v>
      </c>
      <c r="CV87" s="1">
        <f t="shared" ca="1" si="161"/>
        <v>0</v>
      </c>
      <c r="CW87" s="1">
        <f t="shared" ca="1" si="161"/>
        <v>0</v>
      </c>
      <c r="CX87" s="1">
        <f t="shared" ca="1" si="161"/>
        <v>0</v>
      </c>
      <c r="CY87" s="1"/>
      <c r="CZ87" s="1"/>
      <c r="DA87" s="26"/>
      <c r="DB87" s="309"/>
      <c r="DC87" s="310"/>
      <c r="DD87" s="345"/>
      <c r="DF87" s="291" t="s">
        <v>100</v>
      </c>
      <c r="DG87" s="7">
        <f t="shared" ref="DG87:DQ87" ca="1" si="162" xml:space="preserve">  IF(ISNUMBER($A86),$BV87*(1-DG$1) + $BV90*DG$1,0)</f>
        <v>0</v>
      </c>
      <c r="DH87" s="1">
        <f t="shared" ca="1" si="162"/>
        <v>0</v>
      </c>
      <c r="DI87" s="1">
        <f t="shared" ca="1" si="162"/>
        <v>0</v>
      </c>
      <c r="DJ87" s="1">
        <f t="shared" ca="1" si="162"/>
        <v>0</v>
      </c>
      <c r="DK87" s="1">
        <f t="shared" ca="1" si="162"/>
        <v>0</v>
      </c>
      <c r="DL87" s="1">
        <f t="shared" ca="1" si="162"/>
        <v>0</v>
      </c>
      <c r="DM87" s="1">
        <f t="shared" ca="1" si="162"/>
        <v>0</v>
      </c>
      <c r="DN87" s="1">
        <f t="shared" ca="1" si="162"/>
        <v>0</v>
      </c>
      <c r="DO87" s="1">
        <f t="shared" ca="1" si="162"/>
        <v>0</v>
      </c>
      <c r="DP87" s="1">
        <f t="shared" ca="1" si="162"/>
        <v>0</v>
      </c>
      <c r="DQ87" s="1">
        <f t="shared" ca="1" si="162"/>
        <v>0</v>
      </c>
      <c r="DR87" s="1"/>
      <c r="DS87" s="1"/>
      <c r="DT87" s="8"/>
      <c r="DU87" s="12"/>
      <c r="DV87" s="310"/>
      <c r="DW87" s="345"/>
      <c r="DY87" s="291" t="s">
        <v>100</v>
      </c>
      <c r="DZ87" s="7">
        <f t="shared" ref="DZ87:EJ87" ca="1" si="163" xml:space="preserve">  IF(ISNUMBER($A86),$BV86*(1-DZ$1) + $BV89*DZ$1,0)</f>
        <v>0</v>
      </c>
      <c r="EA87" s="1">
        <f t="shared" ca="1" si="163"/>
        <v>0</v>
      </c>
      <c r="EB87" s="1">
        <f t="shared" ca="1" si="163"/>
        <v>0</v>
      </c>
      <c r="EC87" s="1">
        <f t="shared" ca="1" si="163"/>
        <v>0</v>
      </c>
      <c r="ED87" s="1">
        <f t="shared" ca="1" si="163"/>
        <v>0</v>
      </c>
      <c r="EE87" s="1">
        <f t="shared" ca="1" si="163"/>
        <v>0</v>
      </c>
      <c r="EF87" s="1">
        <f t="shared" ca="1" si="163"/>
        <v>0</v>
      </c>
      <c r="EG87" s="1">
        <f t="shared" ca="1" si="163"/>
        <v>0</v>
      </c>
      <c r="EH87" s="1">
        <f t="shared" ca="1" si="163"/>
        <v>0</v>
      </c>
      <c r="EI87" s="1">
        <f t="shared" ca="1" si="163"/>
        <v>0</v>
      </c>
      <c r="EJ87" s="1">
        <f t="shared" ca="1" si="163"/>
        <v>0</v>
      </c>
      <c r="EK87" s="1"/>
      <c r="EL87" s="1"/>
      <c r="EM87" s="8"/>
      <c r="EN87" s="309"/>
      <c r="EO87" s="310"/>
      <c r="EP87" s="345"/>
    </row>
    <row r="88" spans="1:146" ht="13.5" thickBot="1" x14ac:dyDescent="0.25">
      <c r="B88" s="1">
        <f ca="1">IF(ISNUMBER($A86),INDIRECT("System!" &amp; ADDRESS($A86 +1,COLUMN(System!Y85))),0)</f>
        <v>0</v>
      </c>
      <c r="C88" s="1">
        <f ca="1">IF(ISNUMBER($A86),INDIRECT("System!" &amp; ADDRESS($A86 +1,COLUMN(System!Z85))),0)</f>
        <v>0</v>
      </c>
      <c r="D88" s="1">
        <f ca="1">IF(ISNUMBER($A86),INDIRECT("System!" &amp; ADDRESS($A86 +1,COLUMN(System!AA85))),0)</f>
        <v>0</v>
      </c>
      <c r="E88" s="1">
        <f ca="1">IF(ISNUMBER($A86),INDIRECT("System!" &amp; ADDRESS($A86 +1,COLUMN(System!AB85))),0)</f>
        <v>0</v>
      </c>
      <c r="F88" s="1">
        <f ca="1">IF(ISNUMBER($A86),INDIRECT("System!" &amp; ADDRESS($A86 +1,COLUMN(System!AC85))),0)</f>
        <v>0</v>
      </c>
      <c r="G88" s="1">
        <f ca="1">IF(ISNUMBER($A86),INDIRECT("System!" &amp; ADDRESS($A86 +1,COLUMN(System!AD85))),0)</f>
        <v>0</v>
      </c>
      <c r="J88" s="9">
        <v>0</v>
      </c>
      <c r="K88" s="10">
        <f ca="1">IF(G86=1,-6*B86/D86^2,IF(G86="2a",0,IF(G86="2b",-3*B86/D86^2,0)))</f>
        <v>0</v>
      </c>
      <c r="L88" s="181">
        <f ca="1">IF(G86=1,4*B86/D86,IF(G86="2a",0,IF(G86="2b",3*B86/D86,0)))</f>
        <v>0</v>
      </c>
      <c r="M88" s="9">
        <v>0</v>
      </c>
      <c r="N88" s="10">
        <f ca="1">L90</f>
        <v>0</v>
      </c>
      <c r="O88" s="146">
        <f ca="1">L91</f>
        <v>0</v>
      </c>
      <c r="P88" s="143">
        <v>0</v>
      </c>
      <c r="Q88" s="99">
        <v>0</v>
      </c>
      <c r="R88" s="99">
        <v>1</v>
      </c>
      <c r="S88" s="101">
        <v>0</v>
      </c>
      <c r="T88" s="101">
        <v>0</v>
      </c>
      <c r="U88" s="110">
        <v>0</v>
      </c>
      <c r="V88" s="9">
        <f ca="1"/>
        <v>0</v>
      </c>
      <c r="W88" s="10">
        <f ca="1"/>
        <v>0</v>
      </c>
      <c r="X88" s="181">
        <f ca="1"/>
        <v>0</v>
      </c>
      <c r="Y88" s="9">
        <f ca="1"/>
        <v>0</v>
      </c>
      <c r="Z88" s="10">
        <f ca="1"/>
        <v>0</v>
      </c>
      <c r="AA88" s="146">
        <f ca="1"/>
        <v>0</v>
      </c>
      <c r="AB88" s="61">
        <f ca="1">IF(ISNUMBER($A86),INDIRECT("System!" &amp; ADDRESS(A86+1,COLUMN(System!U85))),0)</f>
        <v>0</v>
      </c>
      <c r="AC88" s="301">
        <f ca="1">IF(G86=1,-F86*D86^2/12,IF(G86="2a",0,IF(G86="2b",-F86*D86^2/8,0)))</f>
        <v>0</v>
      </c>
      <c r="AD88" s="61">
        <f ca="1"/>
        <v>0</v>
      </c>
      <c r="AE88" s="7">
        <f t="shared" ref="AE88:BR88" ca="1" si="164">IF(ABS($D88)=AE$1,SIGN($D88),0)</f>
        <v>0</v>
      </c>
      <c r="AF88" s="1">
        <f t="shared" ca="1" si="164"/>
        <v>0</v>
      </c>
      <c r="AG88" s="1">
        <f t="shared" ca="1" si="164"/>
        <v>0</v>
      </c>
      <c r="AH88" s="1">
        <f t="shared" ca="1" si="164"/>
        <v>0</v>
      </c>
      <c r="AI88" s="1">
        <f t="shared" ca="1" si="164"/>
        <v>0</v>
      </c>
      <c r="AJ88" s="26">
        <f t="shared" ca="1" si="164"/>
        <v>0</v>
      </c>
      <c r="AK88" s="26">
        <f t="shared" ca="1" si="164"/>
        <v>0</v>
      </c>
      <c r="AL88" s="26">
        <f t="shared" ca="1" si="164"/>
        <v>0</v>
      </c>
      <c r="AM88" s="26">
        <f t="shared" ca="1" si="164"/>
        <v>0</v>
      </c>
      <c r="AN88" s="26">
        <f t="shared" ca="1" si="164"/>
        <v>0</v>
      </c>
      <c r="AO88" s="26">
        <f t="shared" ca="1" si="164"/>
        <v>0</v>
      </c>
      <c r="AP88" s="26">
        <f t="shared" ca="1" si="164"/>
        <v>0</v>
      </c>
      <c r="AQ88" s="26">
        <f t="shared" ca="1" si="164"/>
        <v>0</v>
      </c>
      <c r="AR88" s="26">
        <f t="shared" ca="1" si="164"/>
        <v>0</v>
      </c>
      <c r="AS88" s="26">
        <f t="shared" ca="1" si="164"/>
        <v>0</v>
      </c>
      <c r="AT88" s="26">
        <f t="shared" ca="1" si="164"/>
        <v>0</v>
      </c>
      <c r="AU88" s="26">
        <f t="shared" ca="1" si="164"/>
        <v>0</v>
      </c>
      <c r="AV88" s="26">
        <f t="shared" ca="1" si="164"/>
        <v>0</v>
      </c>
      <c r="AW88" s="26">
        <f t="shared" ca="1" si="164"/>
        <v>0</v>
      </c>
      <c r="AX88" s="26">
        <f t="shared" ca="1" si="164"/>
        <v>0</v>
      </c>
      <c r="AY88" s="26">
        <f t="shared" ca="1" si="164"/>
        <v>0</v>
      </c>
      <c r="AZ88" s="26">
        <f t="shared" ca="1" si="164"/>
        <v>0</v>
      </c>
      <c r="BA88" s="26">
        <f t="shared" ca="1" si="164"/>
        <v>0</v>
      </c>
      <c r="BB88" s="26">
        <f t="shared" ca="1" si="164"/>
        <v>0</v>
      </c>
      <c r="BC88" s="26">
        <f t="shared" ca="1" si="164"/>
        <v>0</v>
      </c>
      <c r="BD88" s="26">
        <f t="shared" ca="1" si="164"/>
        <v>0</v>
      </c>
      <c r="BE88" s="26">
        <f t="shared" ca="1" si="164"/>
        <v>0</v>
      </c>
      <c r="BF88" s="26">
        <f t="shared" ca="1" si="164"/>
        <v>0</v>
      </c>
      <c r="BG88" s="26">
        <f t="shared" ca="1" si="164"/>
        <v>0</v>
      </c>
      <c r="BH88" s="26">
        <f t="shared" ca="1" si="164"/>
        <v>0</v>
      </c>
      <c r="BI88" s="26">
        <f t="shared" ca="1" si="164"/>
        <v>0</v>
      </c>
      <c r="BJ88" s="26">
        <f t="shared" ca="1" si="164"/>
        <v>0</v>
      </c>
      <c r="BK88" s="26">
        <f t="shared" ca="1" si="164"/>
        <v>0</v>
      </c>
      <c r="BL88" s="26">
        <f t="shared" ca="1" si="164"/>
        <v>0</v>
      </c>
      <c r="BM88" s="26">
        <f t="shared" ca="1" si="164"/>
        <v>0</v>
      </c>
      <c r="BN88" s="26">
        <f t="shared" ca="1" si="164"/>
        <v>0</v>
      </c>
      <c r="BO88" s="26">
        <f t="shared" ca="1" si="164"/>
        <v>0</v>
      </c>
      <c r="BP88" s="26">
        <f t="shared" ca="1" si="164"/>
        <v>0</v>
      </c>
      <c r="BQ88" s="26">
        <f t="shared" ca="1" si="164"/>
        <v>0</v>
      </c>
      <c r="BR88" s="26">
        <f t="shared" ca="1" si="164"/>
        <v>0</v>
      </c>
      <c r="BS88" s="282">
        <f ca="1">IF(ISNUMBER($A86),IF(INDEX(B88:G88,3)&lt;&gt;0,SIGN(INDEX(B88:G88,3))*INDIRECT(ADDRESS(1+ABS(INDEX(B88:G88,3)),COLUMN(Ksys!$B$1),1,TRUE,"Ksys")),0)+AB88,0)</f>
        <v>0</v>
      </c>
      <c r="BT88" s="61">
        <f ca="1"/>
        <v>0</v>
      </c>
      <c r="BU88" s="61">
        <f ca="1"/>
        <v>0</v>
      </c>
      <c r="BV88" s="61">
        <f ca="1"/>
        <v>0</v>
      </c>
      <c r="BW88" s="287" t="s">
        <v>96</v>
      </c>
      <c r="BX88" s="7">
        <f t="array" aca="1" ref="BX88:BX89" ca="1">IF(ISNUMBER($A86),MMULT(TRANSPOSE($P86:$Q87),BX86:BX87),0)</f>
        <v>0</v>
      </c>
      <c r="BY88" s="1">
        <f t="array" aca="1" ref="BY88:BY89" ca="1">IF(ISNUMBER($A86),MMULT(TRANSPOSE($P86:$Q87),BY86:BY87),0)</f>
        <v>0</v>
      </c>
      <c r="BZ88" s="1">
        <f t="array" aca="1" ref="BZ88:BZ89" ca="1">IF(ISNUMBER($A86),MMULT(TRANSPOSE($P86:$Q87),BZ86:BZ87),0)</f>
        <v>0</v>
      </c>
      <c r="CA88" s="1">
        <f t="array" aca="1" ref="CA88:CA89" ca="1">IF(ISNUMBER($A86),MMULT(TRANSPOSE($P86:$Q87),CA86:CA87),0)</f>
        <v>0</v>
      </c>
      <c r="CB88" s="1">
        <f t="array" aca="1" ref="CB88:CB89" ca="1">IF(ISNUMBER($A86),MMULT(TRANSPOSE($P86:$Q87),CB86:CB87),0)</f>
        <v>0</v>
      </c>
      <c r="CC88" s="1">
        <f t="array" aca="1" ref="CC88:CC89" ca="1">IF(ISNUMBER($A86),MMULT(TRANSPOSE($P86:$Q87),CC86:CC87),0)</f>
        <v>0</v>
      </c>
      <c r="CD88" s="1">
        <f t="array" aca="1" ref="CD88:CD89" ca="1">IF(ISNUMBER($A86),MMULT(TRANSPOSE($P86:$Q87),CD86:CD87),0)</f>
        <v>0</v>
      </c>
      <c r="CE88" s="1">
        <f t="array" aca="1" ref="CE88:CE89" ca="1">IF(ISNUMBER($A86),MMULT(TRANSPOSE($P86:$Q87),CE86:CE87),0)</f>
        <v>0</v>
      </c>
      <c r="CF88" s="1">
        <f t="array" aca="1" ref="CF88:CF89" ca="1">IF(ISNUMBER($A86),MMULT(TRANSPOSE($P86:$Q87),CF86:CF87),0)</f>
        <v>0</v>
      </c>
      <c r="CG88" s="1">
        <f t="array" aca="1" ref="CG88:CG89" ca="1">IF(ISNUMBER($A86),MMULT(TRANSPOSE($P86:$Q87),CG86:CG87),0)</f>
        <v>0</v>
      </c>
      <c r="CH88" s="8">
        <f t="array" aca="1" ref="CH88:CH89" ca="1">IF(ISNUMBER($A86),MMULT(TRANSPOSE($P86:$Q87),CH86:CH87),0)</f>
        <v>0</v>
      </c>
      <c r="CI88" s="345"/>
      <c r="CJ88" s="345"/>
      <c r="CK88" s="444">
        <f ca="1">MAX(MAX(BX88:CH89),ABS(MIN(BX88:CH89)))</f>
        <v>0</v>
      </c>
      <c r="CM88" s="291" t="s">
        <v>96</v>
      </c>
      <c r="CN88" s="7">
        <f t="array" aca="1" ref="CN88:CN89" ca="1">IF(ISNUMBER($A86),MMULT(TRANSPOSE($P86:$Q87),CN86:CN87),0)</f>
        <v>0</v>
      </c>
      <c r="CO88" s="1">
        <f t="array" aca="1" ref="CO88:CO89" ca="1">IF(ISNUMBER($A86),MMULT(TRANSPOSE($P86:$Q87),CO86:CO87),0)</f>
        <v>0</v>
      </c>
      <c r="CP88" s="1">
        <f t="array" aca="1" ref="CP88:CP89" ca="1">IF(ISNUMBER($A86),MMULT(TRANSPOSE($P86:$Q87),CP86:CP87),0)</f>
        <v>0</v>
      </c>
      <c r="CQ88" s="1">
        <f t="array" aca="1" ref="CQ88:CQ89" ca="1">IF(ISNUMBER($A86),MMULT(TRANSPOSE($P86:$Q87),CQ86:CQ87),0)</f>
        <v>0</v>
      </c>
      <c r="CR88" s="1">
        <f t="array" aca="1" ref="CR88:CR89" ca="1">IF(ISNUMBER($A86),MMULT(TRANSPOSE($P86:$Q87),CR86:CR87),0)</f>
        <v>0</v>
      </c>
      <c r="CS88" s="1">
        <f t="array" aca="1" ref="CS88:CS89" ca="1">IF(ISNUMBER($A86),MMULT(TRANSPOSE($P86:$Q87),CS86:CS87),0)</f>
        <v>0</v>
      </c>
      <c r="CT88" s="1">
        <f t="array" aca="1" ref="CT88:CT89" ca="1">IF(ISNUMBER($A86),MMULT(TRANSPOSE($P86:$Q87),CT86:CT87),0)</f>
        <v>0</v>
      </c>
      <c r="CU88" s="1">
        <f t="array" aca="1" ref="CU88:CU89" ca="1">IF(ISNUMBER($A86),MMULT(TRANSPOSE($P86:$Q87),CU86:CU87),0)</f>
        <v>0</v>
      </c>
      <c r="CV88" s="1">
        <f t="array" aca="1" ref="CV88:CV89" ca="1">IF(ISNUMBER($A86),MMULT(TRANSPOSE($P86:$Q87),CV86:CV87),0)</f>
        <v>0</v>
      </c>
      <c r="CW88" s="1">
        <f t="array" aca="1" ref="CW88:CW89" ca="1">IF(ISNUMBER($A86),MMULT(TRANSPOSE($P86:$Q87),CW86:CW87),0)</f>
        <v>0</v>
      </c>
      <c r="CX88" s="1">
        <f t="array" aca="1" ref="CX88:CX89" ca="1">IF(ISNUMBER($A86),MMULT(TRANSPOSE($P86:$Q87),CX86:CX87),0)</f>
        <v>0</v>
      </c>
      <c r="CY88" s="1"/>
      <c r="CZ88" s="1"/>
      <c r="DA88" s="26"/>
      <c r="DB88" s="309"/>
      <c r="DC88" s="310"/>
      <c r="DD88" s="345"/>
      <c r="DF88" s="291" t="s">
        <v>96</v>
      </c>
      <c r="DG88" s="7">
        <f t="array" aca="1" ref="DG88:DG89" ca="1">IF(ISNUMBER($A86),MMULT(TRANSPOSE($P86:$Q87),DG86:DG87),0)</f>
        <v>0</v>
      </c>
      <c r="DH88" s="1">
        <f t="array" aca="1" ref="DH88:DH89" ca="1">IF(ISNUMBER($A86),MMULT(TRANSPOSE($P86:$Q87),DH86:DH87),0)</f>
        <v>0</v>
      </c>
      <c r="DI88" s="1">
        <f t="array" aca="1" ref="DI88:DI89" ca="1">IF(ISNUMBER($A86),MMULT(TRANSPOSE($P86:$Q87),DI86:DI87),0)</f>
        <v>0</v>
      </c>
      <c r="DJ88" s="1">
        <f t="array" aca="1" ref="DJ88:DJ89" ca="1">IF(ISNUMBER($A86),MMULT(TRANSPOSE($P86:$Q87),DJ86:DJ87),0)</f>
        <v>0</v>
      </c>
      <c r="DK88" s="1">
        <f t="array" aca="1" ref="DK88:DK89" ca="1">IF(ISNUMBER($A86),MMULT(TRANSPOSE($P86:$Q87),DK86:DK87),0)</f>
        <v>0</v>
      </c>
      <c r="DL88" s="1">
        <f t="array" aca="1" ref="DL88:DL89" ca="1">IF(ISNUMBER($A86),MMULT(TRANSPOSE($P86:$Q87),DL86:DL87),0)</f>
        <v>0</v>
      </c>
      <c r="DM88" s="1">
        <f t="array" aca="1" ref="DM88:DM89" ca="1">IF(ISNUMBER($A86),MMULT(TRANSPOSE($P86:$Q87),DM86:DM87),0)</f>
        <v>0</v>
      </c>
      <c r="DN88" s="1">
        <f t="array" aca="1" ref="DN88:DN89" ca="1">IF(ISNUMBER($A86),MMULT(TRANSPOSE($P86:$Q87),DN86:DN87),0)</f>
        <v>0</v>
      </c>
      <c r="DO88" s="1">
        <f t="array" aca="1" ref="DO88:DO89" ca="1">IF(ISNUMBER($A86),MMULT(TRANSPOSE($P86:$Q87),DO86:DO87),0)</f>
        <v>0</v>
      </c>
      <c r="DP88" s="1">
        <f t="array" aca="1" ref="DP88:DP89" ca="1">IF(ISNUMBER($A86),MMULT(TRANSPOSE($P86:$Q87),DP86:DP87),0)</f>
        <v>0</v>
      </c>
      <c r="DQ88" s="1">
        <f t="array" aca="1" ref="DQ88:DQ89" ca="1">IF(ISNUMBER($A86),MMULT(TRANSPOSE($P86:$Q87),DQ86:DQ87),0)</f>
        <v>0</v>
      </c>
      <c r="DR88" s="1"/>
      <c r="DS88" s="1"/>
      <c r="DT88" s="8"/>
      <c r="DU88" s="12"/>
      <c r="DV88" s="310"/>
      <c r="DW88" s="345"/>
      <c r="DY88" s="291" t="s">
        <v>96</v>
      </c>
      <c r="DZ88" s="7">
        <f t="array" aca="1" ref="DZ88:DZ89" ca="1">IF(ISNUMBER($A86),MMULT(TRANSPOSE($P86:$Q87),DZ86:DZ87),0)</f>
        <v>0</v>
      </c>
      <c r="EA88" s="1">
        <f t="array" aca="1" ref="EA88:EA89" ca="1">IF(ISNUMBER($A86),MMULT(TRANSPOSE($P86:$Q87),EA86:EA87),0)</f>
        <v>0</v>
      </c>
      <c r="EB88" s="1">
        <f t="array" aca="1" ref="EB88:EB89" ca="1">IF(ISNUMBER($A86),MMULT(TRANSPOSE($P86:$Q87),EB86:EB87),0)</f>
        <v>0</v>
      </c>
      <c r="EC88" s="1">
        <f t="array" aca="1" ref="EC88:EC89" ca="1">IF(ISNUMBER($A86),MMULT(TRANSPOSE($P86:$Q87),EC86:EC87),0)</f>
        <v>0</v>
      </c>
      <c r="ED88" s="1">
        <f t="array" aca="1" ref="ED88:ED89" ca="1">IF(ISNUMBER($A86),MMULT(TRANSPOSE($P86:$Q87),ED86:ED87),0)</f>
        <v>0</v>
      </c>
      <c r="EE88" s="1">
        <f t="array" aca="1" ref="EE88:EE89" ca="1">IF(ISNUMBER($A86),MMULT(TRANSPOSE($P86:$Q87),EE86:EE87),0)</f>
        <v>0</v>
      </c>
      <c r="EF88" s="1">
        <f t="array" aca="1" ref="EF88:EF89" ca="1">IF(ISNUMBER($A86),MMULT(TRANSPOSE($P86:$Q87),EF86:EF87),0)</f>
        <v>0</v>
      </c>
      <c r="EG88" s="1">
        <f t="array" aca="1" ref="EG88:EG89" ca="1">IF(ISNUMBER($A86),MMULT(TRANSPOSE($P86:$Q87),EG86:EG87),0)</f>
        <v>0</v>
      </c>
      <c r="EH88" s="1">
        <f t="array" aca="1" ref="EH88:EH89" ca="1">IF(ISNUMBER($A86),MMULT(TRANSPOSE($P86:$Q87),EH86:EH87),0)</f>
        <v>0</v>
      </c>
      <c r="EI88" s="1">
        <f t="array" aca="1" ref="EI88:EI89" ca="1">IF(ISNUMBER($A86),MMULT(TRANSPOSE($P86:$Q87),EI86:EI87),0)</f>
        <v>0</v>
      </c>
      <c r="EJ88" s="1">
        <f t="array" aca="1" ref="EJ88:EJ89" ca="1">IF(ISNUMBER($A86),MMULT(TRANSPOSE($P86:$Q87),EJ86:EJ87),0)</f>
        <v>0</v>
      </c>
      <c r="EK88" s="1"/>
      <c r="EL88" s="1"/>
      <c r="EM88" s="8"/>
      <c r="EN88" s="309"/>
      <c r="EO88" s="310"/>
      <c r="EP88" s="345"/>
    </row>
    <row r="89" spans="1:146" x14ac:dyDescent="0.2">
      <c r="E89" s="12"/>
      <c r="F89" s="12"/>
      <c r="J89" s="4">
        <f ca="1">-J86</f>
        <v>0</v>
      </c>
      <c r="K89" s="5">
        <v>0</v>
      </c>
      <c r="L89" s="6">
        <v>0</v>
      </c>
      <c r="M89" s="179">
        <f ca="1">J86</f>
        <v>0</v>
      </c>
      <c r="N89" s="5">
        <v>0</v>
      </c>
      <c r="O89" s="6">
        <v>0</v>
      </c>
      <c r="P89" s="184">
        <v>0</v>
      </c>
      <c r="Q89" s="101">
        <v>0</v>
      </c>
      <c r="R89" s="101">
        <v>0</v>
      </c>
      <c r="S89" s="99">
        <f ca="1">I86</f>
        <v>0</v>
      </c>
      <c r="T89" s="99">
        <f ca="1">-H86</f>
        <v>0</v>
      </c>
      <c r="U89" s="100">
        <v>0</v>
      </c>
      <c r="V89" s="4">
        <f ca="1"/>
        <v>0</v>
      </c>
      <c r="W89" s="5">
        <f ca="1"/>
        <v>0</v>
      </c>
      <c r="X89" s="6">
        <f ca="1"/>
        <v>0</v>
      </c>
      <c r="Y89" s="179">
        <f ca="1"/>
        <v>0</v>
      </c>
      <c r="Z89" s="5">
        <f ca="1"/>
        <v>0</v>
      </c>
      <c r="AA89" s="6">
        <f ca="1"/>
        <v>0</v>
      </c>
      <c r="AB89" s="61">
        <f ca="1">IF(ISNUMBER($A86),INDIRECT("System!" &amp; ADDRESS(A86+1,COLUMN(System!V85))),0)</f>
        <v>0</v>
      </c>
      <c r="AC89" s="301">
        <f ca="1">IF(ISNUMBER(E86),E86*D86/2,0)</f>
        <v>0</v>
      </c>
      <c r="AD89" s="61">
        <f ca="1"/>
        <v>0</v>
      </c>
      <c r="AE89" s="7">
        <f t="shared" ref="AE89:BR89" ca="1" si="165">IF(ABS($E88)=AE$1,SIGN($E88),0)</f>
        <v>0</v>
      </c>
      <c r="AF89" s="1">
        <f t="shared" ca="1" si="165"/>
        <v>0</v>
      </c>
      <c r="AG89" s="1">
        <f t="shared" ca="1" si="165"/>
        <v>0</v>
      </c>
      <c r="AH89" s="1">
        <f t="shared" ca="1" si="165"/>
        <v>0</v>
      </c>
      <c r="AI89" s="1">
        <f t="shared" ca="1" si="165"/>
        <v>0</v>
      </c>
      <c r="AJ89" s="26">
        <f t="shared" ca="1" si="165"/>
        <v>0</v>
      </c>
      <c r="AK89" s="26">
        <f t="shared" ca="1" si="165"/>
        <v>0</v>
      </c>
      <c r="AL89" s="26">
        <f t="shared" ca="1" si="165"/>
        <v>0</v>
      </c>
      <c r="AM89" s="26">
        <f t="shared" ca="1" si="165"/>
        <v>0</v>
      </c>
      <c r="AN89" s="26">
        <f t="shared" ca="1" si="165"/>
        <v>0</v>
      </c>
      <c r="AO89" s="26">
        <f t="shared" ca="1" si="165"/>
        <v>0</v>
      </c>
      <c r="AP89" s="26">
        <f t="shared" ca="1" si="165"/>
        <v>0</v>
      </c>
      <c r="AQ89" s="26">
        <f t="shared" ca="1" si="165"/>
        <v>0</v>
      </c>
      <c r="AR89" s="26">
        <f t="shared" ca="1" si="165"/>
        <v>0</v>
      </c>
      <c r="AS89" s="26">
        <f t="shared" ca="1" si="165"/>
        <v>0</v>
      </c>
      <c r="AT89" s="26">
        <f t="shared" ca="1" si="165"/>
        <v>0</v>
      </c>
      <c r="AU89" s="26">
        <f t="shared" ca="1" si="165"/>
        <v>0</v>
      </c>
      <c r="AV89" s="26">
        <f t="shared" ca="1" si="165"/>
        <v>0</v>
      </c>
      <c r="AW89" s="26">
        <f t="shared" ca="1" si="165"/>
        <v>0</v>
      </c>
      <c r="AX89" s="26">
        <f t="shared" ca="1" si="165"/>
        <v>0</v>
      </c>
      <c r="AY89" s="26">
        <f t="shared" ca="1" si="165"/>
        <v>0</v>
      </c>
      <c r="AZ89" s="26">
        <f t="shared" ca="1" si="165"/>
        <v>0</v>
      </c>
      <c r="BA89" s="26">
        <f t="shared" ca="1" si="165"/>
        <v>0</v>
      </c>
      <c r="BB89" s="26">
        <f t="shared" ca="1" si="165"/>
        <v>0</v>
      </c>
      <c r="BC89" s="26">
        <f t="shared" ca="1" si="165"/>
        <v>0</v>
      </c>
      <c r="BD89" s="26">
        <f t="shared" ca="1" si="165"/>
        <v>0</v>
      </c>
      <c r="BE89" s="26">
        <f t="shared" ca="1" si="165"/>
        <v>0</v>
      </c>
      <c r="BF89" s="26">
        <f t="shared" ca="1" si="165"/>
        <v>0</v>
      </c>
      <c r="BG89" s="26">
        <f t="shared" ca="1" si="165"/>
        <v>0</v>
      </c>
      <c r="BH89" s="26">
        <f t="shared" ca="1" si="165"/>
        <v>0</v>
      </c>
      <c r="BI89" s="26">
        <f t="shared" ca="1" si="165"/>
        <v>0</v>
      </c>
      <c r="BJ89" s="26">
        <f t="shared" ca="1" si="165"/>
        <v>0</v>
      </c>
      <c r="BK89" s="26">
        <f t="shared" ca="1" si="165"/>
        <v>0</v>
      </c>
      <c r="BL89" s="26">
        <f t="shared" ca="1" si="165"/>
        <v>0</v>
      </c>
      <c r="BM89" s="26">
        <f t="shared" ca="1" si="165"/>
        <v>0</v>
      </c>
      <c r="BN89" s="26">
        <f t="shared" ca="1" si="165"/>
        <v>0</v>
      </c>
      <c r="BO89" s="26">
        <f t="shared" ca="1" si="165"/>
        <v>0</v>
      </c>
      <c r="BP89" s="26">
        <f t="shared" ca="1" si="165"/>
        <v>0</v>
      </c>
      <c r="BQ89" s="26">
        <f t="shared" ca="1" si="165"/>
        <v>0</v>
      </c>
      <c r="BR89" s="26">
        <f t="shared" ca="1" si="165"/>
        <v>0</v>
      </c>
      <c r="BS89" s="282">
        <f ca="1">IF(ISNUMBER($A86),IF(INDEX(B88:G88,4)&lt;&gt;0,SIGN(INDEX(B88:G88,4))*INDIRECT(ADDRESS(1+ABS(INDEX(B88:G88,4)),COLUMN(Ksys!$B$1),1,TRUE,"Ksys")),0)+AB89,0)</f>
        <v>0</v>
      </c>
      <c r="BT89" s="61">
        <f ca="1"/>
        <v>0</v>
      </c>
      <c r="BU89" s="61">
        <f ca="1"/>
        <v>0</v>
      </c>
      <c r="BV89" s="61">
        <f t="array" aca="1" ref="BV89:BV91" ca="1">MMULT(J89:O91,BT86:BT91)-AC89:AC91</f>
        <v>0</v>
      </c>
      <c r="BW89" s="288" t="s">
        <v>101</v>
      </c>
      <c r="BX89" s="7">
        <f ca="1"/>
        <v>0</v>
      </c>
      <c r="BY89" s="1">
        <f ca="1"/>
        <v>0</v>
      </c>
      <c r="BZ89" s="1">
        <f ca="1"/>
        <v>0</v>
      </c>
      <c r="CA89" s="1">
        <f ca="1"/>
        <v>0</v>
      </c>
      <c r="CB89" s="1">
        <f ca="1"/>
        <v>0</v>
      </c>
      <c r="CC89" s="1">
        <f ca="1"/>
        <v>0</v>
      </c>
      <c r="CD89" s="1">
        <f ca="1"/>
        <v>0</v>
      </c>
      <c r="CE89" s="1">
        <f ca="1"/>
        <v>0</v>
      </c>
      <c r="CF89" s="1">
        <f ca="1"/>
        <v>0</v>
      </c>
      <c r="CG89" s="1">
        <f ca="1"/>
        <v>0</v>
      </c>
      <c r="CH89" s="8">
        <f ca="1"/>
        <v>0</v>
      </c>
      <c r="CI89" s="344" t="s">
        <v>1</v>
      </c>
      <c r="CJ89" s="344" t="s">
        <v>111</v>
      </c>
      <c r="CK89" s="310"/>
      <c r="CM89" s="292" t="s">
        <v>101</v>
      </c>
      <c r="CN89" s="7">
        <f ca="1"/>
        <v>0</v>
      </c>
      <c r="CO89" s="1">
        <f ca="1"/>
        <v>0</v>
      </c>
      <c r="CP89" s="1">
        <f ca="1"/>
        <v>0</v>
      </c>
      <c r="CQ89" s="1">
        <f ca="1"/>
        <v>0</v>
      </c>
      <c r="CR89" s="1">
        <f ca="1"/>
        <v>0</v>
      </c>
      <c r="CS89" s="1">
        <f ca="1"/>
        <v>0</v>
      </c>
      <c r="CT89" s="1">
        <f ca="1"/>
        <v>0</v>
      </c>
      <c r="CU89" s="1">
        <f ca="1"/>
        <v>0</v>
      </c>
      <c r="CV89" s="1">
        <f ca="1"/>
        <v>0</v>
      </c>
      <c r="CW89" s="1">
        <f ca="1"/>
        <v>0</v>
      </c>
      <c r="CX89" s="1">
        <f ca="1"/>
        <v>0</v>
      </c>
      <c r="CY89" s="1"/>
      <c r="CZ89" s="1"/>
      <c r="DA89" s="26"/>
      <c r="DB89" s="311" t="s">
        <v>1</v>
      </c>
      <c r="DC89" s="312" t="s">
        <v>111</v>
      </c>
      <c r="DD89" s="61">
        <f ca="1">MAX(MAX(CN88:CX89),ABS(MIN(CN88:CX89)))</f>
        <v>0</v>
      </c>
      <c r="DF89" s="292" t="s">
        <v>101</v>
      </c>
      <c r="DG89" s="7">
        <f ca="1"/>
        <v>0</v>
      </c>
      <c r="DH89" s="1">
        <f ca="1"/>
        <v>0</v>
      </c>
      <c r="DI89" s="1">
        <f ca="1"/>
        <v>0</v>
      </c>
      <c r="DJ89" s="1">
        <f ca="1"/>
        <v>0</v>
      </c>
      <c r="DK89" s="1">
        <f ca="1"/>
        <v>0</v>
      </c>
      <c r="DL89" s="1">
        <f ca="1"/>
        <v>0</v>
      </c>
      <c r="DM89" s="1">
        <f ca="1"/>
        <v>0</v>
      </c>
      <c r="DN89" s="1">
        <f ca="1"/>
        <v>0</v>
      </c>
      <c r="DO89" s="1">
        <f ca="1"/>
        <v>0</v>
      </c>
      <c r="DP89" s="1">
        <f ca="1"/>
        <v>0</v>
      </c>
      <c r="DQ89" s="1">
        <f ca="1"/>
        <v>0</v>
      </c>
      <c r="DR89" s="1"/>
      <c r="DS89" s="1"/>
      <c r="DT89" s="8"/>
      <c r="DU89" s="314" t="s">
        <v>1</v>
      </c>
      <c r="DV89" s="312" t="s">
        <v>111</v>
      </c>
      <c r="DW89" s="349">
        <f ca="1">MAX(MAX(DG88:DQ89),ABS(MIN(DG88:DQ89)))</f>
        <v>0</v>
      </c>
      <c r="DY89" s="292" t="s">
        <v>101</v>
      </c>
      <c r="DZ89" s="7">
        <f ca="1"/>
        <v>0</v>
      </c>
      <c r="EA89" s="1">
        <f ca="1"/>
        <v>0</v>
      </c>
      <c r="EB89" s="1">
        <f ca="1"/>
        <v>0</v>
      </c>
      <c r="EC89" s="1">
        <f ca="1"/>
        <v>0</v>
      </c>
      <c r="ED89" s="1">
        <f ca="1"/>
        <v>0</v>
      </c>
      <c r="EE89" s="1">
        <f ca="1"/>
        <v>0</v>
      </c>
      <c r="EF89" s="1">
        <f ca="1"/>
        <v>0</v>
      </c>
      <c r="EG89" s="1">
        <f ca="1"/>
        <v>0</v>
      </c>
      <c r="EH89" s="1">
        <f ca="1"/>
        <v>0</v>
      </c>
      <c r="EI89" s="1">
        <f ca="1"/>
        <v>0</v>
      </c>
      <c r="EJ89" s="1">
        <f ca="1"/>
        <v>0</v>
      </c>
      <c r="EK89" s="1"/>
      <c r="EL89" s="1"/>
      <c r="EM89" s="8"/>
      <c r="EN89" s="311" t="s">
        <v>1</v>
      </c>
      <c r="EO89" s="312" t="s">
        <v>111</v>
      </c>
      <c r="EP89" s="61">
        <f ca="1">MAX(MAX(DZ88:EJ89),ABS(MIN(DZ88:EJ89)))</f>
        <v>0</v>
      </c>
    </row>
    <row r="90" spans="1:146" x14ac:dyDescent="0.2">
      <c r="E90" s="1" t="str">
        <f ca="1">IF(ISNUMBER(A86),"" &amp; ADDRESS(ROW(A86),COLUMN($AD$1)) &amp; ":" &amp; ADDRESS(ROW(A91),COLUMN($AD$1)) &amp; "","")</f>
        <v/>
      </c>
      <c r="F90" s="1" t="str">
        <f ca="1">IF(ISNUMBER(A86),"" &amp; ADDRESS(ROW(A86),COLUMN($V$1)) &amp; ":" &amp; ADDRESS(ROW(A91),COLUMN($AA$1)) &amp; "","")</f>
        <v/>
      </c>
      <c r="G90" s="1" t="str">
        <f ca="1">IF(ISNUMBER(A86),"" &amp; ADDRESS(ROW(A86),COLUMN($AE$1)) &amp; ":" &amp; ADDRESS(ROW(A91),COLUMN($AD$1)+$C$6) &amp; "","")</f>
        <v/>
      </c>
      <c r="J90" s="7">
        <v>0</v>
      </c>
      <c r="K90" s="1">
        <f ca="1">-K87</f>
        <v>0</v>
      </c>
      <c r="L90" s="8">
        <f ca="1">IF(G86=1,6*B86/D86^2,IF(G86="2a",0,IF(G86="2b",3*B86/D86^2,0)))</f>
        <v>0</v>
      </c>
      <c r="M90" s="7">
        <v>0</v>
      </c>
      <c r="N90" s="180">
        <f ca="1">K87</f>
        <v>0</v>
      </c>
      <c r="O90" s="8">
        <f ca="1">N91</f>
        <v>0</v>
      </c>
      <c r="P90" s="184">
        <v>0</v>
      </c>
      <c r="Q90" s="101">
        <v>0</v>
      </c>
      <c r="R90" s="101">
        <v>0</v>
      </c>
      <c r="S90" s="99">
        <f ca="1">H86</f>
        <v>0</v>
      </c>
      <c r="T90" s="99">
        <f ca="1">I86</f>
        <v>0</v>
      </c>
      <c r="U90" s="100">
        <v>0</v>
      </c>
      <c r="V90" s="7">
        <f ca="1"/>
        <v>0</v>
      </c>
      <c r="W90" s="1">
        <f ca="1"/>
        <v>0</v>
      </c>
      <c r="X90" s="8">
        <f ca="1"/>
        <v>0</v>
      </c>
      <c r="Y90" s="7">
        <f ca="1"/>
        <v>0</v>
      </c>
      <c r="Z90" s="180">
        <f ca="1"/>
        <v>0</v>
      </c>
      <c r="AA90" s="8">
        <f ca="1"/>
        <v>0</v>
      </c>
      <c r="AB90" s="61">
        <f ca="1">IF(ISNUMBER($A86),INDIRECT("System!" &amp; ADDRESS(A86+1,COLUMN(System!W85))),0)</f>
        <v>0</v>
      </c>
      <c r="AC90" s="301">
        <f ca="1">IF(G86=1,F86*D86/2,IF(G86="2a",F86*5/8*D86,IF(G86="2b",F86*3/8*D86,0)))</f>
        <v>0</v>
      </c>
      <c r="AD90" s="61">
        <f ca="1"/>
        <v>0</v>
      </c>
      <c r="AE90" s="7">
        <f t="shared" ref="AE90:BR90" ca="1" si="166">IF(ABS($F88)=AE$1,SIGN($F88),0)</f>
        <v>0</v>
      </c>
      <c r="AF90" s="1">
        <f t="shared" ca="1" si="166"/>
        <v>0</v>
      </c>
      <c r="AG90" s="1">
        <f t="shared" ca="1" si="166"/>
        <v>0</v>
      </c>
      <c r="AH90" s="1">
        <f t="shared" ca="1" si="166"/>
        <v>0</v>
      </c>
      <c r="AI90" s="1">
        <f t="shared" ca="1" si="166"/>
        <v>0</v>
      </c>
      <c r="AJ90" s="26">
        <f t="shared" ca="1" si="166"/>
        <v>0</v>
      </c>
      <c r="AK90" s="26">
        <f t="shared" ca="1" si="166"/>
        <v>0</v>
      </c>
      <c r="AL90" s="26">
        <f t="shared" ca="1" si="166"/>
        <v>0</v>
      </c>
      <c r="AM90" s="26">
        <f t="shared" ca="1" si="166"/>
        <v>0</v>
      </c>
      <c r="AN90" s="26">
        <f t="shared" ca="1" si="166"/>
        <v>0</v>
      </c>
      <c r="AO90" s="26">
        <f t="shared" ca="1" si="166"/>
        <v>0</v>
      </c>
      <c r="AP90" s="26">
        <f t="shared" ca="1" si="166"/>
        <v>0</v>
      </c>
      <c r="AQ90" s="26">
        <f t="shared" ca="1" si="166"/>
        <v>0</v>
      </c>
      <c r="AR90" s="26">
        <f t="shared" ca="1" si="166"/>
        <v>0</v>
      </c>
      <c r="AS90" s="26">
        <f t="shared" ca="1" si="166"/>
        <v>0</v>
      </c>
      <c r="AT90" s="26">
        <f t="shared" ca="1" si="166"/>
        <v>0</v>
      </c>
      <c r="AU90" s="26">
        <f t="shared" ca="1" si="166"/>
        <v>0</v>
      </c>
      <c r="AV90" s="26">
        <f t="shared" ca="1" si="166"/>
        <v>0</v>
      </c>
      <c r="AW90" s="26">
        <f t="shared" ca="1" si="166"/>
        <v>0</v>
      </c>
      <c r="AX90" s="26">
        <f t="shared" ca="1" si="166"/>
        <v>0</v>
      </c>
      <c r="AY90" s="26">
        <f t="shared" ca="1" si="166"/>
        <v>0</v>
      </c>
      <c r="AZ90" s="26">
        <f t="shared" ca="1" si="166"/>
        <v>0</v>
      </c>
      <c r="BA90" s="26">
        <f t="shared" ca="1" si="166"/>
        <v>0</v>
      </c>
      <c r="BB90" s="26">
        <f t="shared" ca="1" si="166"/>
        <v>0</v>
      </c>
      <c r="BC90" s="26">
        <f t="shared" ca="1" si="166"/>
        <v>0</v>
      </c>
      <c r="BD90" s="26">
        <f t="shared" ca="1" si="166"/>
        <v>0</v>
      </c>
      <c r="BE90" s="26">
        <f t="shared" ca="1" si="166"/>
        <v>0</v>
      </c>
      <c r="BF90" s="26">
        <f t="shared" ca="1" si="166"/>
        <v>0</v>
      </c>
      <c r="BG90" s="26">
        <f t="shared" ca="1" si="166"/>
        <v>0</v>
      </c>
      <c r="BH90" s="26">
        <f t="shared" ca="1" si="166"/>
        <v>0</v>
      </c>
      <c r="BI90" s="26">
        <f t="shared" ca="1" si="166"/>
        <v>0</v>
      </c>
      <c r="BJ90" s="26">
        <f t="shared" ca="1" si="166"/>
        <v>0</v>
      </c>
      <c r="BK90" s="26">
        <f t="shared" ca="1" si="166"/>
        <v>0</v>
      </c>
      <c r="BL90" s="26">
        <f t="shared" ca="1" si="166"/>
        <v>0</v>
      </c>
      <c r="BM90" s="26">
        <f t="shared" ca="1" si="166"/>
        <v>0</v>
      </c>
      <c r="BN90" s="26">
        <f t="shared" ca="1" si="166"/>
        <v>0</v>
      </c>
      <c r="BO90" s="26">
        <f t="shared" ca="1" si="166"/>
        <v>0</v>
      </c>
      <c r="BP90" s="26">
        <f t="shared" ca="1" si="166"/>
        <v>0</v>
      </c>
      <c r="BQ90" s="26">
        <f t="shared" ca="1" si="166"/>
        <v>0</v>
      </c>
      <c r="BR90" s="26">
        <f t="shared" ca="1" si="166"/>
        <v>0</v>
      </c>
      <c r="BS90" s="282">
        <f ca="1">IF(ISNUMBER($A86),IF(INDEX(B88:G88,5)&lt;&gt;0,SIGN(INDEX(B88:G88,5))*INDIRECT(ADDRESS(1+ABS(INDEX(B88:G88,5)),COLUMN(Ksys!$B$1),1,TRUE,"Ksys")),0)+AB90,0)</f>
        <v>0</v>
      </c>
      <c r="BT90" s="61">
        <f ca="1"/>
        <v>0</v>
      </c>
      <c r="BU90" s="61">
        <f ca="1"/>
        <v>0</v>
      </c>
      <c r="BV90" s="61">
        <f ca="1"/>
        <v>0</v>
      </c>
      <c r="BW90" s="296" t="s">
        <v>102</v>
      </c>
      <c r="BX90" s="216">
        <f ca="1">IF(ISNUMBER($A86),$B87*(1-BX$1) + $C87*BX$1 + Knoten!$S$5*BX88,KnotenData!$H$2)</f>
        <v>0.5</v>
      </c>
      <c r="BY90" s="206">
        <f ca="1">IF(ISNUMBER($A86),$B87*(1-BY$1) + $C87*BY$1 + Knoten!$S$5*BY88,KnotenData!$H$2)</f>
        <v>0.5</v>
      </c>
      <c r="BZ90" s="206">
        <f ca="1">IF(ISNUMBER($A86),$B87*(1-BZ$1) + $C87*BZ$1 + Knoten!$S$5*BZ88,KnotenData!$H$2)</f>
        <v>0.5</v>
      </c>
      <c r="CA90" s="206">
        <f ca="1">IF(ISNUMBER($A86),$B87*(1-CA$1) + $C87*CA$1 + Knoten!$S$5*CA88,KnotenData!$H$2)</f>
        <v>0.5</v>
      </c>
      <c r="CB90" s="206">
        <f ca="1">IF(ISNUMBER($A86),$B87*(1-CB$1) + $C87*CB$1 + Knoten!$S$5*CB88,KnotenData!$H$2)</f>
        <v>0.5</v>
      </c>
      <c r="CC90" s="206">
        <f ca="1">IF(ISNUMBER($A86),$B87*(1-CC$1) + $C87*CC$1 + Knoten!$S$5*CC88,KnotenData!$H$2)</f>
        <v>0.5</v>
      </c>
      <c r="CD90" s="206">
        <f ca="1">IF(ISNUMBER($A86),$B87*(1-CD$1) + $C87*CD$1 + Knoten!$S$5*CD88,KnotenData!$H$2)</f>
        <v>0.5</v>
      </c>
      <c r="CE90" s="206">
        <f ca="1">IF(ISNUMBER($A86),$B87*(1-CE$1) + $C87*CE$1 + Knoten!$S$5*CE88,KnotenData!$H$2)</f>
        <v>0.5</v>
      </c>
      <c r="CF90" s="206">
        <f ca="1">IF(ISNUMBER($A86),$B87*(1-CF$1) + $C87*CF$1 + Knoten!$S$5*CF88,KnotenData!$H$2)</f>
        <v>0.5</v>
      </c>
      <c r="CG90" s="206">
        <f ca="1">IF(ISNUMBER($A86),$B87*(1-CG$1) + $C87*CG$1 + Knoten!$S$5*CG88,KnotenData!$H$2)</f>
        <v>0.5</v>
      </c>
      <c r="CH90" s="217">
        <f ca="1">IF(ISNUMBER($A86),$B87*(1-CH$1) + $C87*CH$1 + Knoten!$S$5*CH88,KnotenData!$H$2)</f>
        <v>0.5</v>
      </c>
      <c r="CI90" s="447">
        <f ca="1">MIN(BX90:CH90)</f>
        <v>0.5</v>
      </c>
      <c r="CJ90" s="447">
        <f ca="1">MIN(BX91:CH91)</f>
        <v>0.47499999999999998</v>
      </c>
      <c r="CK90" s="445"/>
      <c r="CM90" s="293" t="s">
        <v>102</v>
      </c>
      <c r="CN90" s="216">
        <f ca="1">IF(ISNUMBER($A86),$B87*(1-CN$1) + $C87*CN$1 + Momente!$D$6*CN88,KnotenData!$H$2)</f>
        <v>0.5</v>
      </c>
      <c r="CO90" s="206">
        <f ca="1">IF(ISNUMBER($A86),$B87*(1-CO$1) + $C87*CO$1 + Momente!$D$6*CO88,KnotenData!$H$2)</f>
        <v>0.5</v>
      </c>
      <c r="CP90" s="206">
        <f ca="1">IF(ISNUMBER($A86),$B87*(1-CP$1) + $C87*CP$1 + Momente!$D$6*CP88,KnotenData!$H$2)</f>
        <v>0.5</v>
      </c>
      <c r="CQ90" s="206">
        <f ca="1">IF(ISNUMBER($A86),$B87*(1-CQ$1) + $C87*CQ$1 + Momente!$D$6*CQ88,KnotenData!$H$2)</f>
        <v>0.5</v>
      </c>
      <c r="CR90" s="206">
        <f ca="1">IF(ISNUMBER($A86),$B87*(1-CR$1) + $C87*CR$1 + Momente!$D$6*CR88,KnotenData!$H$2)</f>
        <v>0.5</v>
      </c>
      <c r="CS90" s="206">
        <f ca="1">IF(ISNUMBER($A86),$B87*(1-CS$1) + $C87*CS$1 + Momente!$D$6*CS88,KnotenData!$H$2)</f>
        <v>0.5</v>
      </c>
      <c r="CT90" s="206">
        <f ca="1">IF(ISNUMBER($A86),$B87*(1-CT$1) + $C87*CT$1 + Momente!$D$6*CT88,KnotenData!$H$2)</f>
        <v>0.5</v>
      </c>
      <c r="CU90" s="206">
        <f ca="1">IF(ISNUMBER($A86),$B87*(1-CU$1) + $C87*CU$1 + Momente!$D$6*CU88,KnotenData!$H$2)</f>
        <v>0.5</v>
      </c>
      <c r="CV90" s="206">
        <f ca="1">IF(ISNUMBER($A86),$B87*(1-CV$1) + $C87*CV$1 + Momente!$D$6*CV88,KnotenData!$H$2)</f>
        <v>0.5</v>
      </c>
      <c r="CW90" s="206">
        <f ca="1">IF(ISNUMBER($A86),$B87*(1-CW$1) + $C87*CW$1 + Momente!$D$6*CW88,KnotenData!$H$2)</f>
        <v>0.5</v>
      </c>
      <c r="CX90" s="206">
        <f ca="1">IF(ISNUMBER($A86),$B87*(1-CX$1) + $C87*CX$1 + Momente!$D$6*CX88,KnotenData!$H$2)</f>
        <v>0.5</v>
      </c>
      <c r="CY90" s="206">
        <f ca="1">IF(ISNUMBER($A86),$C87,KnotenData!$H$2)</f>
        <v>0.5</v>
      </c>
      <c r="CZ90" s="206">
        <f ca="1">IF(ISNUMBER($A86),$B87,KnotenData!$H$2)</f>
        <v>0.5</v>
      </c>
      <c r="DA90" s="305">
        <f ca="1">IF(ISNUMBER($A86),CN90,KnotenData!$H$2)</f>
        <v>0.5</v>
      </c>
      <c r="DB90" s="7">
        <f ca="1">MIN(CN90:DA90)</f>
        <v>0.5</v>
      </c>
      <c r="DC90" s="8">
        <f ca="1">MIN(CN91:DA91)</f>
        <v>0.47499999999999998</v>
      </c>
      <c r="DD90" s="345"/>
      <c r="DF90" s="293" t="s">
        <v>102</v>
      </c>
      <c r="DG90" s="216">
        <f ca="1">IF(ISNUMBER($A86),$B87*(1-DG$1) + $C87*DG$1 + Querkräfte!$D$6*DG88,KnotenData!$H$2)</f>
        <v>0.5</v>
      </c>
      <c r="DH90" s="206">
        <f ca="1">IF(ISNUMBER($A86),$B87*(1-DH$1) + $C87*DH$1 + Querkräfte!$D$6*DH88,KnotenData!$H$2)</f>
        <v>0.5</v>
      </c>
      <c r="DI90" s="206">
        <f ca="1">IF(ISNUMBER($A86),$B87*(1-DI$1) + $C87*DI$1 + Querkräfte!$D$6*DI88,KnotenData!$H$2)</f>
        <v>0.5</v>
      </c>
      <c r="DJ90" s="206">
        <f ca="1">IF(ISNUMBER($A86),$B87*(1-DJ$1) + $C87*DJ$1 + Querkräfte!$D$6*DJ88,KnotenData!$H$2)</f>
        <v>0.5</v>
      </c>
      <c r="DK90" s="206">
        <f ca="1">IF(ISNUMBER($A86),$B87*(1-DK$1) + $C87*DK$1 + Querkräfte!$D$6*DK88,KnotenData!$H$2)</f>
        <v>0.5</v>
      </c>
      <c r="DL90" s="206">
        <f ca="1">IF(ISNUMBER($A86),$B87*(1-DL$1) + $C87*DL$1 + Querkräfte!$D$6*DL88,KnotenData!$H$2)</f>
        <v>0.5</v>
      </c>
      <c r="DM90" s="206">
        <f ca="1">IF(ISNUMBER($A86),$B87*(1-DM$1) + $C87*DM$1 + Querkräfte!$D$6*DM88,KnotenData!$H$2)</f>
        <v>0.5</v>
      </c>
      <c r="DN90" s="206">
        <f ca="1">IF(ISNUMBER($A86),$B87*(1-DN$1) + $C87*DN$1 + Querkräfte!$D$6*DN88,KnotenData!$H$2)</f>
        <v>0.5</v>
      </c>
      <c r="DO90" s="206">
        <f ca="1">IF(ISNUMBER($A86),$B87*(1-DO$1) + $C87*DO$1 + Querkräfte!$D$6*DO88,KnotenData!$H$2)</f>
        <v>0.5</v>
      </c>
      <c r="DP90" s="206">
        <f ca="1">IF(ISNUMBER($A86),$B87*(1-DP$1) + $C87*DP$1 + Querkräfte!$D$6*DP88,KnotenData!$H$2)</f>
        <v>0.5</v>
      </c>
      <c r="DQ90" s="206">
        <f ca="1">IF(ISNUMBER($A86),$B87*(1-DQ$1) + $C87*DQ$1 + Querkräfte!$D$6*DQ88,KnotenData!$H$2)</f>
        <v>0.5</v>
      </c>
      <c r="DR90" s="206">
        <f ca="1">IF(ISNUMBER($A86),$C87,KnotenData!$H$2)</f>
        <v>0.5</v>
      </c>
      <c r="DS90" s="206">
        <f ca="1">IF(ISNUMBER($A86),$B87,KnotenData!$H$2)</f>
        <v>0.5</v>
      </c>
      <c r="DT90" s="217">
        <f ca="1">IF(ISNUMBER($A86),DG90,KnotenData!$H$2)</f>
        <v>0.5</v>
      </c>
      <c r="DU90" s="145">
        <f ca="1">MIN(DG90:DQ90)</f>
        <v>0.5</v>
      </c>
      <c r="DV90" s="8">
        <f ca="1">MIN(DG91:DQ91)</f>
        <v>0.47499999999999998</v>
      </c>
      <c r="DW90" s="345"/>
      <c r="DY90" s="293" t="s">
        <v>102</v>
      </c>
      <c r="DZ90" s="216">
        <f ca="1">IF(ISNUMBER($A86),$B87*(1-DZ$1) + $C87*DZ$1 + Normalkräfte!$D$6*DZ88,KnotenData!$H$2)</f>
        <v>0.5</v>
      </c>
      <c r="EA90" s="206">
        <f ca="1">IF(ISNUMBER($A86),$B87*(1-EA$1) + $C87*EA$1 + Normalkräfte!$D$6*EA88,KnotenData!$H$2)</f>
        <v>0.5</v>
      </c>
      <c r="EB90" s="206">
        <f ca="1">IF(ISNUMBER($A86),$B87*(1-EB$1) + $C87*EB$1 + Normalkräfte!$D$6*EB88,KnotenData!$H$2)</f>
        <v>0.5</v>
      </c>
      <c r="EC90" s="206">
        <f ca="1">IF(ISNUMBER($A86),$B87*(1-EC$1) + $C87*EC$1 + Normalkräfte!$D$6*EC88,KnotenData!$H$2)</f>
        <v>0.5</v>
      </c>
      <c r="ED90" s="206">
        <f ca="1">IF(ISNUMBER($A86),$B87*(1-ED$1) + $C87*ED$1 + Normalkräfte!$D$6*ED88,KnotenData!$H$2)</f>
        <v>0.5</v>
      </c>
      <c r="EE90" s="206">
        <f ca="1">IF(ISNUMBER($A86),$B87*(1-EE$1) + $C87*EE$1 + Normalkräfte!$D$6*EE88,KnotenData!$H$2)</f>
        <v>0.5</v>
      </c>
      <c r="EF90" s="206">
        <f ca="1">IF(ISNUMBER($A86),$B87*(1-EF$1) + $C87*EF$1 + Normalkräfte!$D$6*EF88,KnotenData!$H$2)</f>
        <v>0.5</v>
      </c>
      <c r="EG90" s="206">
        <f ca="1">IF(ISNUMBER($A86),$B87*(1-EG$1) + $C87*EG$1 + Normalkräfte!$D$6*EG88,KnotenData!$H$2)</f>
        <v>0.5</v>
      </c>
      <c r="EH90" s="206">
        <f ca="1">IF(ISNUMBER($A86),$B87*(1-EH$1) + $C87*EH$1 + Normalkräfte!$D$6*EH88,KnotenData!$H$2)</f>
        <v>0.5</v>
      </c>
      <c r="EI90" s="206">
        <f ca="1">IF(ISNUMBER($A86),$B87*(1-EI$1) + $C87*EI$1 + Normalkräfte!$D$6*EI88,KnotenData!$H$2)</f>
        <v>0.5</v>
      </c>
      <c r="EJ90" s="206">
        <f ca="1">IF(ISNUMBER($A86),$B87*(1-EJ$1) + $C87*EJ$1 + Normalkräfte!$D$6*EJ88,KnotenData!$H$2)</f>
        <v>0.5</v>
      </c>
      <c r="EK90" s="256">
        <f ca="1">IF(ISNUMBER($A86),$C87,KnotenData!$H$2)</f>
        <v>0.5</v>
      </c>
      <c r="EL90" s="206">
        <f ca="1">IF(ISNUMBER($A86),$B87,KnotenData!$H$2)</f>
        <v>0.5</v>
      </c>
      <c r="EM90" s="217">
        <f ca="1">IF(ISNUMBER($A86),DZ90,KnotenData!$H$2)</f>
        <v>0.5</v>
      </c>
      <c r="EN90" s="7">
        <f ca="1">MIN(DZ90:EJ90)</f>
        <v>0.5</v>
      </c>
      <c r="EO90" s="8">
        <f ca="1">MIN(DZ91:EJ91)</f>
        <v>0.47499999999999998</v>
      </c>
      <c r="EP90" s="345"/>
    </row>
    <row r="91" spans="1:146" ht="13.5" thickBot="1" x14ac:dyDescent="0.25">
      <c r="E91" s="12"/>
      <c r="F91" s="12"/>
      <c r="J91" s="9">
        <v>0</v>
      </c>
      <c r="K91" s="10">
        <f ca="1">IF(G86=1,-6*B86/D86^2,IF(G86="2a",-3*B86/D86^2,IF(G86="2b",0,0)))</f>
        <v>0</v>
      </c>
      <c r="L91" s="146">
        <f ca="1">IF(G86=1,2*B86/D86,IF(G86="2a",0,IF(G86="2b",0,0)))</f>
        <v>0</v>
      </c>
      <c r="M91" s="9">
        <v>0</v>
      </c>
      <c r="N91" s="10">
        <f ca="1">-K91</f>
        <v>0</v>
      </c>
      <c r="O91" s="181">
        <f ca="1">IF(G86=1,4*B86/D86,IF(G86="2a",3*B86/D86,IF(G86="2b",0,0)))</f>
        <v>0</v>
      </c>
      <c r="P91" s="185">
        <v>0</v>
      </c>
      <c r="Q91" s="103">
        <v>0</v>
      </c>
      <c r="R91" s="103">
        <v>0</v>
      </c>
      <c r="S91" s="111">
        <v>0</v>
      </c>
      <c r="T91" s="111">
        <v>0</v>
      </c>
      <c r="U91" s="112">
        <v>1</v>
      </c>
      <c r="V91" s="9">
        <f ca="1"/>
        <v>0</v>
      </c>
      <c r="W91" s="10">
        <f ca="1"/>
        <v>0</v>
      </c>
      <c r="X91" s="146">
        <f ca="1"/>
        <v>0</v>
      </c>
      <c r="Y91" s="9">
        <f ca="1"/>
        <v>0</v>
      </c>
      <c r="Z91" s="10">
        <f ca="1"/>
        <v>0</v>
      </c>
      <c r="AA91" s="181">
        <f ca="1"/>
        <v>0</v>
      </c>
      <c r="AB91" s="62">
        <f ca="1">IF(ISNUMBER($A86),INDIRECT("System!" &amp; ADDRESS(A86+1,COLUMN(System!X85))),0)</f>
        <v>0</v>
      </c>
      <c r="AC91" s="302">
        <f ca="1">IF(G86=1,F86*D86^2/12,IF(G86="2a",F86*D86^2/8,IF(G86="2b",0,0)))</f>
        <v>0</v>
      </c>
      <c r="AD91" s="62">
        <f ca="1"/>
        <v>0</v>
      </c>
      <c r="AE91" s="9">
        <f t="shared" ref="AE91:BR91" ca="1" si="167">IF(ABS($G88)=AE$1,SIGN($G88),0)</f>
        <v>0</v>
      </c>
      <c r="AF91" s="10">
        <f t="shared" ca="1" si="167"/>
        <v>0</v>
      </c>
      <c r="AG91" s="10">
        <f t="shared" ca="1" si="167"/>
        <v>0</v>
      </c>
      <c r="AH91" s="10">
        <f t="shared" ca="1" si="167"/>
        <v>0</v>
      </c>
      <c r="AI91" s="10">
        <f t="shared" ca="1" si="167"/>
        <v>0</v>
      </c>
      <c r="AJ91" s="188">
        <f t="shared" ca="1" si="167"/>
        <v>0</v>
      </c>
      <c r="AK91" s="188">
        <f t="shared" ca="1" si="167"/>
        <v>0</v>
      </c>
      <c r="AL91" s="188">
        <f t="shared" ca="1" si="167"/>
        <v>0</v>
      </c>
      <c r="AM91" s="188">
        <f t="shared" ca="1" si="167"/>
        <v>0</v>
      </c>
      <c r="AN91" s="188">
        <f t="shared" ca="1" si="167"/>
        <v>0</v>
      </c>
      <c r="AO91" s="188">
        <f t="shared" ca="1" si="167"/>
        <v>0</v>
      </c>
      <c r="AP91" s="188">
        <f t="shared" ca="1" si="167"/>
        <v>0</v>
      </c>
      <c r="AQ91" s="188">
        <f t="shared" ca="1" si="167"/>
        <v>0</v>
      </c>
      <c r="AR91" s="188">
        <f t="shared" ca="1" si="167"/>
        <v>0</v>
      </c>
      <c r="AS91" s="188">
        <f t="shared" ca="1" si="167"/>
        <v>0</v>
      </c>
      <c r="AT91" s="188">
        <f t="shared" ca="1" si="167"/>
        <v>0</v>
      </c>
      <c r="AU91" s="188">
        <f t="shared" ca="1" si="167"/>
        <v>0</v>
      </c>
      <c r="AV91" s="188">
        <f t="shared" ca="1" si="167"/>
        <v>0</v>
      </c>
      <c r="AW91" s="188">
        <f t="shared" ca="1" si="167"/>
        <v>0</v>
      </c>
      <c r="AX91" s="188">
        <f t="shared" ca="1" si="167"/>
        <v>0</v>
      </c>
      <c r="AY91" s="188">
        <f t="shared" ca="1" si="167"/>
        <v>0</v>
      </c>
      <c r="AZ91" s="188">
        <f t="shared" ca="1" si="167"/>
        <v>0</v>
      </c>
      <c r="BA91" s="188">
        <f t="shared" ca="1" si="167"/>
        <v>0</v>
      </c>
      <c r="BB91" s="188">
        <f t="shared" ca="1" si="167"/>
        <v>0</v>
      </c>
      <c r="BC91" s="188">
        <f t="shared" ca="1" si="167"/>
        <v>0</v>
      </c>
      <c r="BD91" s="188">
        <f t="shared" ca="1" si="167"/>
        <v>0</v>
      </c>
      <c r="BE91" s="188">
        <f t="shared" ca="1" si="167"/>
        <v>0</v>
      </c>
      <c r="BF91" s="188">
        <f t="shared" ca="1" si="167"/>
        <v>0</v>
      </c>
      <c r="BG91" s="188">
        <f t="shared" ca="1" si="167"/>
        <v>0</v>
      </c>
      <c r="BH91" s="188">
        <f t="shared" ca="1" si="167"/>
        <v>0</v>
      </c>
      <c r="BI91" s="188">
        <f t="shared" ca="1" si="167"/>
        <v>0</v>
      </c>
      <c r="BJ91" s="188">
        <f t="shared" ca="1" si="167"/>
        <v>0</v>
      </c>
      <c r="BK91" s="188">
        <f t="shared" ca="1" si="167"/>
        <v>0</v>
      </c>
      <c r="BL91" s="188">
        <f t="shared" ca="1" si="167"/>
        <v>0</v>
      </c>
      <c r="BM91" s="188">
        <f t="shared" ca="1" si="167"/>
        <v>0</v>
      </c>
      <c r="BN91" s="188">
        <f t="shared" ca="1" si="167"/>
        <v>0</v>
      </c>
      <c r="BO91" s="188">
        <f t="shared" ca="1" si="167"/>
        <v>0</v>
      </c>
      <c r="BP91" s="188">
        <f t="shared" ca="1" si="167"/>
        <v>0</v>
      </c>
      <c r="BQ91" s="188">
        <f t="shared" ca="1" si="167"/>
        <v>0</v>
      </c>
      <c r="BR91" s="188">
        <f t="shared" ca="1" si="167"/>
        <v>0</v>
      </c>
      <c r="BS91" s="283">
        <f ca="1">IF(ISNUMBER($A86),IF(INDEX(B88:G88,6)&lt;&gt;0,SIGN(INDEX(B88:G88,6))*INDIRECT(ADDRESS(1+ABS(INDEX(B88:G88,6)),COLUMN(Ksys!$B$1),1,TRUE,"Ksys")),0)+AB91,0)</f>
        <v>0</v>
      </c>
      <c r="BT91" s="62">
        <f ca="1"/>
        <v>0</v>
      </c>
      <c r="BU91" s="62">
        <f ca="1"/>
        <v>0</v>
      </c>
      <c r="BV91" s="62">
        <f ca="1"/>
        <v>0</v>
      </c>
      <c r="BW91" s="297" t="s">
        <v>103</v>
      </c>
      <c r="BX91" s="218">
        <f ca="1">IF(ISNUMBER($A86),$D87*(1-BX$1) + $E87*BX$1 + Knoten!$S$5*BX89,KnotenData!$H$3)</f>
        <v>0.47499999999999998</v>
      </c>
      <c r="BY91" s="295">
        <f ca="1">IF(ISNUMBER($A86),$D87*(1-BY$1) + $E87*BY$1 + Knoten!$S$5*BY89,KnotenData!$H$3)</f>
        <v>0.47499999999999998</v>
      </c>
      <c r="BZ91" s="295">
        <f ca="1">IF(ISNUMBER($A86),$D87*(1-BZ$1) + $E87*BZ$1 + Knoten!$S$5*BZ89,KnotenData!$H$3)</f>
        <v>0.47499999999999998</v>
      </c>
      <c r="CA91" s="295">
        <f ca="1">IF(ISNUMBER($A86),$D87*(1-CA$1) + $E87*CA$1 + Knoten!$S$5*CA89,KnotenData!$H$3)</f>
        <v>0.47499999999999998</v>
      </c>
      <c r="CB91" s="295">
        <f ca="1">IF(ISNUMBER($A86),$D87*(1-CB$1) + $E87*CB$1 + Knoten!$S$5*CB89,KnotenData!$H$3)</f>
        <v>0.47499999999999998</v>
      </c>
      <c r="CC91" s="295">
        <f ca="1">IF(ISNUMBER($A86),$D87*(1-CC$1) + $E87*CC$1 + Knoten!$S$5*CC89,KnotenData!$H$3)</f>
        <v>0.47499999999999998</v>
      </c>
      <c r="CD91" s="295">
        <f ca="1">IF(ISNUMBER($A86),$D87*(1-CD$1) + $E87*CD$1 + Knoten!$S$5*CD89,KnotenData!$H$3)</f>
        <v>0.47499999999999998</v>
      </c>
      <c r="CE91" s="295">
        <f ca="1">IF(ISNUMBER($A86),$D87*(1-CE$1) + $E87*CE$1 + Knoten!$S$5*CE89,KnotenData!$H$3)</f>
        <v>0.47499999999999998</v>
      </c>
      <c r="CF91" s="295">
        <f ca="1">IF(ISNUMBER($A86),$D87*(1-CF$1) + $E87*CF$1 + Knoten!$S$5*CF89,KnotenData!$H$3)</f>
        <v>0.47499999999999998</v>
      </c>
      <c r="CG91" s="295">
        <f ca="1">IF(ISNUMBER($A86),$D87*(1-CG$1) + $E87*CG$1 + Knoten!$S$5*CG89,KnotenData!$H$3)</f>
        <v>0.47499999999999998</v>
      </c>
      <c r="CH91" s="219">
        <f ca="1">IF(ISNUMBER($A86),$D87*(1-CH$1) + $E87*CH$1 + Knoten!$S$5*CH89,KnotenData!$H$3)</f>
        <v>0.47499999999999998</v>
      </c>
      <c r="CI91" s="449">
        <f ca="1">MAX(BX90:CH90)</f>
        <v>0.5</v>
      </c>
      <c r="CJ91" s="448">
        <f ca="1">MAX(BX91:CH91)</f>
        <v>0.47499999999999998</v>
      </c>
      <c r="CK91" s="446"/>
      <c r="CL91">
        <v>15</v>
      </c>
      <c r="CM91" s="294" t="s">
        <v>103</v>
      </c>
      <c r="CN91" s="218">
        <f ca="1">IF(ISNUMBER($A86),$D87*(1-CN$1) + $E87*CN$1 + Momente!$D$6*CN89,KnotenData!$H$3)</f>
        <v>0.47499999999999998</v>
      </c>
      <c r="CO91" s="295">
        <f ca="1">IF(ISNUMBER($A86),$D87*(1-CO$1) + $E87*CO$1 + Momente!$D$6*CO89,KnotenData!$H$3)</f>
        <v>0.47499999999999998</v>
      </c>
      <c r="CP91" s="295">
        <f ca="1">IF(ISNUMBER($A86),$D87*(1-CP$1) + $E87*CP$1 + Momente!$D$6*CP89,KnotenData!$H$3)</f>
        <v>0.47499999999999998</v>
      </c>
      <c r="CQ91" s="295">
        <f ca="1">IF(ISNUMBER($A86),$D87*(1-CQ$1) + $E87*CQ$1 + Momente!$D$6*CQ89,KnotenData!$H$3)</f>
        <v>0.47499999999999998</v>
      </c>
      <c r="CR91" s="295">
        <f ca="1">IF(ISNUMBER($A86),$D87*(1-CR$1) + $E87*CR$1 + Momente!$D$6*CR89,KnotenData!$H$3)</f>
        <v>0.47499999999999998</v>
      </c>
      <c r="CS91" s="295">
        <f ca="1">IF(ISNUMBER($A86),$D87*(1-CS$1) + $E87*CS$1 + Momente!$D$6*CS89,KnotenData!$H$3)</f>
        <v>0.47499999999999998</v>
      </c>
      <c r="CT91" s="295">
        <f ca="1">IF(ISNUMBER($A86),$D87*(1-CT$1) + $E87*CT$1 + Momente!$D$6*CT89,KnotenData!$H$3)</f>
        <v>0.47499999999999998</v>
      </c>
      <c r="CU91" s="295">
        <f ca="1">IF(ISNUMBER($A86),$D87*(1-CU$1) + $E87*CU$1 + Momente!$D$6*CU89,KnotenData!$H$3)</f>
        <v>0.47499999999999998</v>
      </c>
      <c r="CV91" s="295">
        <f ca="1">IF(ISNUMBER($A86),$D87*(1-CV$1) + $E87*CV$1 + Momente!$D$6*CV89,KnotenData!$H$3)</f>
        <v>0.47499999999999998</v>
      </c>
      <c r="CW91" s="295">
        <f ca="1">IF(ISNUMBER($A86),$D87*(1-CW$1) + $E87*CW$1 + Momente!$D$6*CW89,KnotenData!$H$3)</f>
        <v>0.47499999999999998</v>
      </c>
      <c r="CX91" s="295">
        <f ca="1">IF(ISNUMBER($A86),$D87*(1-CX$1) + $E87*CX$1 + Momente!$D$6*CX89,KnotenData!$H$3)</f>
        <v>0.47499999999999998</v>
      </c>
      <c r="CY91" s="295">
        <f ca="1">IF(ISNUMBER($A86),$E87,KnotenData!$H$3)</f>
        <v>0.47499999999999998</v>
      </c>
      <c r="CZ91" s="295">
        <f ca="1">IF(ISNUMBER($A86),$D87,KnotenData!$H$3)</f>
        <v>0.47499999999999998</v>
      </c>
      <c r="DA91" s="306">
        <f ca="1">IF(ISNUMBER($A86),CN91,KnotenData!$H$3)</f>
        <v>0.47499999999999998</v>
      </c>
      <c r="DB91" s="9">
        <f ca="1">MAX(CN90:DA90)</f>
        <v>0.5</v>
      </c>
      <c r="DC91" s="146">
        <f ca="1">MAX(CN91:DA91)</f>
        <v>0.47499999999999998</v>
      </c>
      <c r="DD91" s="346"/>
      <c r="DE91">
        <v>15</v>
      </c>
      <c r="DF91" s="294" t="s">
        <v>103</v>
      </c>
      <c r="DG91" s="218">
        <f ca="1">IF(ISNUMBER($A86),$D87*(1-DG$1) + $E87*DG$1 + Querkräfte!$D$6*DG89,KnotenData!$H$3)</f>
        <v>0.47499999999999998</v>
      </c>
      <c r="DH91" s="295">
        <f ca="1">IF(ISNUMBER($A86),$D87*(1-DH$1) + $E87*DH$1 + Querkräfte!$D$6*DH89,KnotenData!$H$3)</f>
        <v>0.47499999999999998</v>
      </c>
      <c r="DI91" s="295">
        <f ca="1">IF(ISNUMBER($A86),$D87*(1-DI$1) + $E87*DI$1 + Querkräfte!$D$6*DI89,KnotenData!$H$3)</f>
        <v>0.47499999999999998</v>
      </c>
      <c r="DJ91" s="295">
        <f ca="1">IF(ISNUMBER($A86),$D87*(1-DJ$1) + $E87*DJ$1 + Querkräfte!$D$6*DJ89,KnotenData!$H$3)</f>
        <v>0.47499999999999998</v>
      </c>
      <c r="DK91" s="295">
        <f ca="1">IF(ISNUMBER($A86),$D87*(1-DK$1) + $E87*DK$1 + Querkräfte!$D$6*DK89,KnotenData!$H$3)</f>
        <v>0.47499999999999998</v>
      </c>
      <c r="DL91" s="295">
        <f ca="1">IF(ISNUMBER($A86),$D87*(1-DL$1) + $E87*DL$1 + Querkräfte!$D$6*DL89,KnotenData!$H$3)</f>
        <v>0.47499999999999998</v>
      </c>
      <c r="DM91" s="295">
        <f ca="1">IF(ISNUMBER($A86),$D87*(1-DM$1) + $E87*DM$1 + Querkräfte!$D$6*DM89,KnotenData!$H$3)</f>
        <v>0.47499999999999998</v>
      </c>
      <c r="DN91" s="295">
        <f ca="1">IF(ISNUMBER($A86),$D87*(1-DN$1) + $E87*DN$1 + Querkräfte!$D$6*DN89,KnotenData!$H$3)</f>
        <v>0.47499999999999998</v>
      </c>
      <c r="DO91" s="295">
        <f ca="1">IF(ISNUMBER($A86),$D87*(1-DO$1) + $E87*DO$1 + Querkräfte!$D$6*DO89,KnotenData!$H$3)</f>
        <v>0.47499999999999998</v>
      </c>
      <c r="DP91" s="295">
        <f ca="1">IF(ISNUMBER($A86),$D87*(1-DP$1) + $E87*DP$1 + Querkräfte!$D$6*DP89,KnotenData!$H$3)</f>
        <v>0.47499999999999998</v>
      </c>
      <c r="DQ91" s="295">
        <f ca="1">IF(ISNUMBER($A86),$D87*(1-DQ$1) + $E87*DQ$1 + Querkräfte!$D$6*DQ89,KnotenData!$H$3)</f>
        <v>0.47499999999999998</v>
      </c>
      <c r="DR91" s="295">
        <f ca="1">IF(ISNUMBER($A86),$E87,KnotenData!$H$3)</f>
        <v>0.47499999999999998</v>
      </c>
      <c r="DS91" s="295">
        <f ca="1">IF(ISNUMBER($A86),$D87,KnotenData!$H$3)</f>
        <v>0.47499999999999998</v>
      </c>
      <c r="DT91" s="219">
        <f ca="1">IF(ISNUMBER($A86),DG91,KnotenData!$H$3)</f>
        <v>0.47499999999999998</v>
      </c>
      <c r="DU91" s="11">
        <f ca="1">MAX(DG90:DQ90)</f>
        <v>0.5</v>
      </c>
      <c r="DV91" s="146">
        <f ca="1">MAX(DG91:DQ91)</f>
        <v>0.47499999999999998</v>
      </c>
      <c r="DW91" s="346"/>
      <c r="DX91">
        <v>15</v>
      </c>
      <c r="DY91" s="294" t="s">
        <v>103</v>
      </c>
      <c r="DZ91" s="218">
        <f ca="1">IF(ISNUMBER($A86),$D87*(1-DZ$1) + $E87*DZ$1 + Normalkräfte!$D$6*DZ89,KnotenData!$H$3)</f>
        <v>0.47499999999999998</v>
      </c>
      <c r="EA91" s="295">
        <f ca="1">IF(ISNUMBER($A86),$D87*(1-EA$1) + $E87*EA$1 + Normalkräfte!$D$6*EA89,KnotenData!$H$3)</f>
        <v>0.47499999999999998</v>
      </c>
      <c r="EB91" s="295">
        <f ca="1">IF(ISNUMBER($A86),$D87*(1-EB$1) + $E87*EB$1 + Normalkräfte!$D$6*EB89,KnotenData!$H$3)</f>
        <v>0.47499999999999998</v>
      </c>
      <c r="EC91" s="295">
        <f ca="1">IF(ISNUMBER($A86),$D87*(1-EC$1) + $E87*EC$1 + Normalkräfte!$D$6*EC89,KnotenData!$H$3)</f>
        <v>0.47499999999999998</v>
      </c>
      <c r="ED91" s="295">
        <f ca="1">IF(ISNUMBER($A86),$D87*(1-ED$1) + $E87*ED$1 + Normalkräfte!$D$6*ED89,KnotenData!$H$3)</f>
        <v>0.47499999999999998</v>
      </c>
      <c r="EE91" s="295">
        <f ca="1">IF(ISNUMBER($A86),$D87*(1-EE$1) + $E87*EE$1 + Normalkräfte!$D$6*EE89,KnotenData!$H$3)</f>
        <v>0.47499999999999998</v>
      </c>
      <c r="EF91" s="295">
        <f ca="1">IF(ISNUMBER($A86),$D87*(1-EF$1) + $E87*EF$1 + Normalkräfte!$D$6*EF89,KnotenData!$H$3)</f>
        <v>0.47499999999999998</v>
      </c>
      <c r="EG91" s="295">
        <f ca="1">IF(ISNUMBER($A86),$D87*(1-EG$1) + $E87*EG$1 + Normalkräfte!$D$6*EG89,KnotenData!$H$3)</f>
        <v>0.47499999999999998</v>
      </c>
      <c r="EH91" s="295">
        <f ca="1">IF(ISNUMBER($A86),$D87*(1-EH$1) + $E87*EH$1 + Normalkräfte!$D$6*EH89,KnotenData!$H$3)</f>
        <v>0.47499999999999998</v>
      </c>
      <c r="EI91" s="295">
        <f ca="1">IF(ISNUMBER($A86),$D87*(1-EI$1) + $E87*EI$1 + Normalkräfte!$D$6*EI89,KnotenData!$H$3)</f>
        <v>0.47499999999999998</v>
      </c>
      <c r="EJ91" s="295">
        <f ca="1">IF(ISNUMBER($A86),$D87*(1-EJ$1) + $E87*EJ$1 + Normalkräfte!$D$6*EJ89,KnotenData!$H$3)</f>
        <v>0.47499999999999998</v>
      </c>
      <c r="EK91" s="295">
        <f ca="1">IF(ISNUMBER($A86),$E87,KnotenData!$H$3)</f>
        <v>0.47499999999999998</v>
      </c>
      <c r="EL91" s="295">
        <f ca="1">IF(ISNUMBER($A86),$D87,KnotenData!$H$3)</f>
        <v>0.47499999999999998</v>
      </c>
      <c r="EM91" s="219">
        <f ca="1">IF(ISNUMBER($A86),DZ91,KnotenData!$H$3)</f>
        <v>0.47499999999999998</v>
      </c>
      <c r="EN91" s="9">
        <f ca="1">MAX(DZ90:EJ90)</f>
        <v>0.5</v>
      </c>
      <c r="EO91" s="146">
        <f ca="1">MAX(DZ91:EJ91)</f>
        <v>0.47499999999999998</v>
      </c>
      <c r="EP91" s="346"/>
    </row>
    <row r="92" spans="1:146" x14ac:dyDescent="0.2">
      <c r="A92" s="205" t="str">
        <f ca="1">IF(ISNUMBER(INDIRECT("System!C" &amp;(ROW(A92)+4)/6+1)),INDIRECT("System!B"&amp;(ROW(A92)+4)/6+1),"")</f>
        <v/>
      </c>
      <c r="B92" s="206">
        <f ca="1">IF(ISNUMBER(A92),INDIRECT("System!" &amp; ADDRESS(A92 +1,COLUMN(System!E91))),0)</f>
        <v>0</v>
      </c>
      <c r="C92" s="206">
        <f ca="1">IF(ISNUMBER(A92),INDIRECT("System!" &amp; ADDRESS(A92 +1,COLUMN(System!F91))),0)</f>
        <v>0</v>
      </c>
      <c r="D92" s="209">
        <f ca="1">IF(ISNUMBER(A92),INDIRECT("System!" &amp; ADDRESS(A92 +1,COLUMN(System!O91))),0)</f>
        <v>0</v>
      </c>
      <c r="E92" s="208" t="str">
        <f ca="1">IF(ISNUMBER(A92),INDIRECT("System!" &amp; ADDRESS(A92 +1,COLUMN(System!G91))),"")</f>
        <v/>
      </c>
      <c r="F92" s="208" t="str">
        <f ca="1">IF(ISNUMBER(A92),INDIRECT("System!" &amp; ADDRESS(A92 +1,COLUMN(System!H91))),"")</f>
        <v/>
      </c>
      <c r="G92" s="261" t="str">
        <f ca="1">IF(ISNUMBER(A92),INDIRECT("System!" &amp; ADDRESS(A92 +1,COLUMN(System!I91))),"")</f>
        <v/>
      </c>
      <c r="H92" s="207">
        <f ca="1">IF(ISNUMBER($A92),INDIRECT("System!" &amp; ADDRESS($A92 +1,COLUMN(System!Q91))),0)</f>
        <v>0</v>
      </c>
      <c r="I92" s="207">
        <f ca="1">IF(ISNUMBER($A92),INDIRECT("System!" &amp; ADDRESS($A92 +1,COLUMN(System!R91))),0)</f>
        <v>0</v>
      </c>
      <c r="J92" s="179">
        <f ca="1">IF(ISNUMBER(A92),C92/D92,0)</f>
        <v>0</v>
      </c>
      <c r="K92" s="5">
        <v>0</v>
      </c>
      <c r="L92" s="6">
        <v>0</v>
      </c>
      <c r="M92" s="4">
        <f ca="1">-J92</f>
        <v>0</v>
      </c>
      <c r="N92" s="5">
        <v>0</v>
      </c>
      <c r="O92" s="6">
        <v>0</v>
      </c>
      <c r="P92" s="141">
        <f ca="1">I92</f>
        <v>0</v>
      </c>
      <c r="Q92" s="142">
        <f ca="1">-H92</f>
        <v>0</v>
      </c>
      <c r="R92" s="142">
        <v>0</v>
      </c>
      <c r="S92" s="182">
        <v>0</v>
      </c>
      <c r="T92" s="182">
        <v>0</v>
      </c>
      <c r="U92" s="183">
        <v>0</v>
      </c>
      <c r="V92" s="179">
        <f t="array" aca="1" ref="V92:AA97" ca="1">MMULT(TRANSPOSE(P92:U97),MMULT(J92:O97,P92:U97))</f>
        <v>0</v>
      </c>
      <c r="W92" s="5">
        <f ca="1"/>
        <v>0</v>
      </c>
      <c r="X92" s="6">
        <f ca="1"/>
        <v>0</v>
      </c>
      <c r="Y92" s="4">
        <f ca="1"/>
        <v>0</v>
      </c>
      <c r="Z92" s="5">
        <f ca="1"/>
        <v>0</v>
      </c>
      <c r="AA92" s="6">
        <f ca="1"/>
        <v>0</v>
      </c>
      <c r="AB92" s="60">
        <f ca="1">IF(ISNUMBER($A92),INDIRECT("System!" &amp; ADDRESS(A92+1,COLUMN(System!S91))),0)</f>
        <v>0</v>
      </c>
      <c r="AC92" s="299">
        <f ca="1">IF(ISNUMBER(E92),E92*D92/2,0)</f>
        <v>0</v>
      </c>
      <c r="AD92" s="60">
        <f t="array" aca="1" ref="AD92:AD97" ca="1">MMULT(TRANSPOSE(P92:U97),AC92:AC97) - MMULT(V92:AA97,AB92:AB97)</f>
        <v>0</v>
      </c>
      <c r="AE92" s="4">
        <f t="shared" ref="AE92:BR92" ca="1" si="168">IF(ABS($B94)=AE$1,SIGN($B94),0)</f>
        <v>0</v>
      </c>
      <c r="AF92" s="5">
        <f t="shared" ca="1" si="168"/>
        <v>0</v>
      </c>
      <c r="AG92" s="5">
        <f t="shared" ca="1" si="168"/>
        <v>0</v>
      </c>
      <c r="AH92" s="5">
        <f t="shared" ca="1" si="168"/>
        <v>0</v>
      </c>
      <c r="AI92" s="5">
        <f t="shared" ca="1" si="168"/>
        <v>0</v>
      </c>
      <c r="AJ92" s="189">
        <f t="shared" ca="1" si="168"/>
        <v>0</v>
      </c>
      <c r="AK92" s="189">
        <f t="shared" ca="1" si="168"/>
        <v>0</v>
      </c>
      <c r="AL92" s="189">
        <f t="shared" ca="1" si="168"/>
        <v>0</v>
      </c>
      <c r="AM92" s="189">
        <f t="shared" ca="1" si="168"/>
        <v>0</v>
      </c>
      <c r="AN92" s="189">
        <f t="shared" ca="1" si="168"/>
        <v>0</v>
      </c>
      <c r="AO92" s="189">
        <f t="shared" ca="1" si="168"/>
        <v>0</v>
      </c>
      <c r="AP92" s="189">
        <f t="shared" ca="1" si="168"/>
        <v>0</v>
      </c>
      <c r="AQ92" s="189">
        <f t="shared" ca="1" si="168"/>
        <v>0</v>
      </c>
      <c r="AR92" s="189">
        <f t="shared" ca="1" si="168"/>
        <v>0</v>
      </c>
      <c r="AS92" s="189">
        <f t="shared" ca="1" si="168"/>
        <v>0</v>
      </c>
      <c r="AT92" s="189">
        <f t="shared" ca="1" si="168"/>
        <v>0</v>
      </c>
      <c r="AU92" s="189">
        <f t="shared" ca="1" si="168"/>
        <v>0</v>
      </c>
      <c r="AV92" s="189">
        <f t="shared" ca="1" si="168"/>
        <v>0</v>
      </c>
      <c r="AW92" s="189">
        <f t="shared" ca="1" si="168"/>
        <v>0</v>
      </c>
      <c r="AX92" s="189">
        <f t="shared" ca="1" si="168"/>
        <v>0</v>
      </c>
      <c r="AY92" s="189">
        <f t="shared" ca="1" si="168"/>
        <v>0</v>
      </c>
      <c r="AZ92" s="189">
        <f t="shared" ca="1" si="168"/>
        <v>0</v>
      </c>
      <c r="BA92" s="189">
        <f t="shared" ca="1" si="168"/>
        <v>0</v>
      </c>
      <c r="BB92" s="189">
        <f t="shared" ca="1" si="168"/>
        <v>0</v>
      </c>
      <c r="BC92" s="189">
        <f t="shared" ca="1" si="168"/>
        <v>0</v>
      </c>
      <c r="BD92" s="189">
        <f t="shared" ca="1" si="168"/>
        <v>0</v>
      </c>
      <c r="BE92" s="189">
        <f t="shared" ca="1" si="168"/>
        <v>0</v>
      </c>
      <c r="BF92" s="189">
        <f t="shared" ca="1" si="168"/>
        <v>0</v>
      </c>
      <c r="BG92" s="189">
        <f t="shared" ca="1" si="168"/>
        <v>0</v>
      </c>
      <c r="BH92" s="189">
        <f t="shared" ca="1" si="168"/>
        <v>0</v>
      </c>
      <c r="BI92" s="189">
        <f t="shared" ca="1" si="168"/>
        <v>0</v>
      </c>
      <c r="BJ92" s="189">
        <f t="shared" ca="1" si="168"/>
        <v>0</v>
      </c>
      <c r="BK92" s="189">
        <f t="shared" ca="1" si="168"/>
        <v>0</v>
      </c>
      <c r="BL92" s="189">
        <f t="shared" ca="1" si="168"/>
        <v>0</v>
      </c>
      <c r="BM92" s="189">
        <f t="shared" ca="1" si="168"/>
        <v>0</v>
      </c>
      <c r="BN92" s="189">
        <f t="shared" ca="1" si="168"/>
        <v>0</v>
      </c>
      <c r="BO92" s="189">
        <f t="shared" ca="1" si="168"/>
        <v>0</v>
      </c>
      <c r="BP92" s="189">
        <f t="shared" ca="1" si="168"/>
        <v>0</v>
      </c>
      <c r="BQ92" s="189">
        <f t="shared" ca="1" si="168"/>
        <v>0</v>
      </c>
      <c r="BR92" s="189">
        <f t="shared" ca="1" si="168"/>
        <v>0</v>
      </c>
      <c r="BS92" s="281">
        <f ca="1">IF(ISNUMBER($A92),IF(INDEX(B94:G94,1)&lt;&gt;0,SIGN(INDEX(B94:G94,1))*INDIRECT(ADDRESS(1+ABS(INDEX(B94:G94,1)),COLUMN(Ksys!$B$1),1,TRUE,"Ksys")),0)+AB92,0)</f>
        <v>0</v>
      </c>
      <c r="BT92" s="27">
        <f t="array" aca="1" ref="BT92:BT97" ca="1">MMULT(P92:U97,BS92:BS97)</f>
        <v>0</v>
      </c>
      <c r="BU92" s="27">
        <f t="array" aca="1" ref="BU92:BU97" ca="1">MMULT(J92:O97,BT92:BT97)-AC92:AC97</f>
        <v>0</v>
      </c>
      <c r="BV92" s="27">
        <f t="array" aca="1" ref="BV92:BV94" ca="1">-(MMULT(J92:O94,BT92:BT97)-AC92:AC94)</f>
        <v>0</v>
      </c>
      <c r="BW92" s="286" t="s">
        <v>97</v>
      </c>
      <c r="BX92" s="4">
        <f t="shared" ref="BX92:CH92" ca="1" si="169">IF(ISNUMBER($A92),$BT92*(1-BX$1) + $BT95*BX$1,0)</f>
        <v>0</v>
      </c>
      <c r="BY92" s="5">
        <f t="shared" ca="1" si="169"/>
        <v>0</v>
      </c>
      <c r="BZ92" s="5">
        <f t="shared" ca="1" si="169"/>
        <v>0</v>
      </c>
      <c r="CA92" s="5">
        <f t="shared" ca="1" si="169"/>
        <v>0</v>
      </c>
      <c r="CB92" s="5">
        <f t="shared" ca="1" si="169"/>
        <v>0</v>
      </c>
      <c r="CC92" s="5">
        <f t="shared" ca="1" si="169"/>
        <v>0</v>
      </c>
      <c r="CD92" s="5">
        <f t="shared" ca="1" si="169"/>
        <v>0</v>
      </c>
      <c r="CE92" s="5">
        <f t="shared" ca="1" si="169"/>
        <v>0</v>
      </c>
      <c r="CF92" s="5">
        <f t="shared" ca="1" si="169"/>
        <v>0</v>
      </c>
      <c r="CG92" s="5">
        <f t="shared" ca="1" si="169"/>
        <v>0</v>
      </c>
      <c r="CH92" s="6">
        <f t="shared" ca="1" si="169"/>
        <v>0</v>
      </c>
      <c r="CI92" s="343"/>
      <c r="CJ92" s="343"/>
      <c r="CK92" s="308"/>
      <c r="CM92" s="290" t="s">
        <v>97</v>
      </c>
      <c r="CN92" s="4">
        <v>0</v>
      </c>
      <c r="CO92" s="5">
        <v>0</v>
      </c>
      <c r="CP92" s="5">
        <v>0</v>
      </c>
      <c r="CQ92" s="5">
        <v>0</v>
      </c>
      <c r="CR92" s="5">
        <v>0</v>
      </c>
      <c r="CS92" s="5">
        <v>0</v>
      </c>
      <c r="CT92" s="5">
        <v>0</v>
      </c>
      <c r="CU92" s="5">
        <v>0</v>
      </c>
      <c r="CV92" s="5">
        <v>0</v>
      </c>
      <c r="CW92" s="5">
        <v>0</v>
      </c>
      <c r="CX92" s="5">
        <v>0</v>
      </c>
      <c r="CY92" s="5"/>
      <c r="CZ92" s="5"/>
      <c r="DA92" s="189"/>
      <c r="DB92" s="307"/>
      <c r="DC92" s="308"/>
      <c r="DD92" s="343"/>
      <c r="DF92" s="290" t="s">
        <v>97</v>
      </c>
      <c r="DG92" s="4">
        <v>0</v>
      </c>
      <c r="DH92" s="5">
        <v>0</v>
      </c>
      <c r="DI92" s="5">
        <v>0</v>
      </c>
      <c r="DJ92" s="5">
        <v>0</v>
      </c>
      <c r="DK92" s="5">
        <v>0</v>
      </c>
      <c r="DL92" s="5">
        <v>0</v>
      </c>
      <c r="DM92" s="5">
        <v>0</v>
      </c>
      <c r="DN92" s="5">
        <v>0</v>
      </c>
      <c r="DO92" s="5">
        <v>0</v>
      </c>
      <c r="DP92" s="5">
        <v>0</v>
      </c>
      <c r="DQ92" s="5">
        <v>0</v>
      </c>
      <c r="DR92" s="5"/>
      <c r="DS92" s="5"/>
      <c r="DT92" s="6"/>
      <c r="DU92" s="325"/>
      <c r="DV92" s="308"/>
      <c r="DW92" s="343"/>
      <c r="DY92" s="290" t="s">
        <v>97</v>
      </c>
      <c r="DZ92" s="4">
        <v>0</v>
      </c>
      <c r="EA92" s="5">
        <v>0</v>
      </c>
      <c r="EB92" s="5">
        <v>0</v>
      </c>
      <c r="EC92" s="5">
        <v>0</v>
      </c>
      <c r="ED92" s="5">
        <v>0</v>
      </c>
      <c r="EE92" s="5">
        <v>0</v>
      </c>
      <c r="EF92" s="5">
        <v>0</v>
      </c>
      <c r="EG92" s="5">
        <v>0</v>
      </c>
      <c r="EH92" s="5">
        <v>0</v>
      </c>
      <c r="EI92" s="5">
        <v>0</v>
      </c>
      <c r="EJ92" s="5">
        <v>0</v>
      </c>
      <c r="EK92" s="5"/>
      <c r="EL92" s="5"/>
      <c r="EM92" s="6"/>
      <c r="EN92" s="307"/>
      <c r="EO92" s="308"/>
      <c r="EP92" s="343"/>
    </row>
    <row r="93" spans="1:146" x14ac:dyDescent="0.2">
      <c r="B93" s="1">
        <f ca="1">IF(ISNUMBER($A92),INDIRECT(ADDRESS($A92+1,COLUMN(System!K$2),1,TRUE,"System")),0)</f>
        <v>0</v>
      </c>
      <c r="C93" s="1">
        <f ca="1">IF(ISNUMBER($A92),INDIRECT(ADDRESS($A92+1,COLUMN(System!L$2),1,TRUE,"System")),0)</f>
        <v>0</v>
      </c>
      <c r="D93" s="1">
        <f ca="1">IF(ISNUMBER($A92),INDIRECT(ADDRESS($A92+1,COLUMN(System!M$2),1,TRUE,"System")),0)</f>
        <v>0</v>
      </c>
      <c r="E93" s="1">
        <f ca="1">IF(ISNUMBER($A92),INDIRECT(ADDRESS($A92+1,COLUMN(System!N$2),1,TRUE,"System")),0)</f>
        <v>0</v>
      </c>
      <c r="F93" s="12"/>
      <c r="J93" s="7">
        <v>0</v>
      </c>
      <c r="K93" s="180">
        <f ca="1">IF(G92=1,12*B92/D92^3,IF(G92="2a",3*B92/D92^3,IF(G92="2b",3*B92/D92^3,0)))</f>
        <v>0</v>
      </c>
      <c r="L93" s="8">
        <f ca="1">K94</f>
        <v>0</v>
      </c>
      <c r="M93" s="7">
        <v>0</v>
      </c>
      <c r="N93" s="1">
        <f ca="1">-K93</f>
        <v>0</v>
      </c>
      <c r="O93" s="8">
        <f ca="1">K97</f>
        <v>0</v>
      </c>
      <c r="P93" s="143">
        <f ca="1">H92</f>
        <v>0</v>
      </c>
      <c r="Q93" s="99">
        <f ca="1">I92</f>
        <v>0</v>
      </c>
      <c r="R93" s="99">
        <v>0</v>
      </c>
      <c r="S93" s="101">
        <v>0</v>
      </c>
      <c r="T93" s="101">
        <v>0</v>
      </c>
      <c r="U93" s="110">
        <v>0</v>
      </c>
      <c r="V93" s="7">
        <f ca="1"/>
        <v>0</v>
      </c>
      <c r="W93" s="180">
        <f ca="1"/>
        <v>0</v>
      </c>
      <c r="X93" s="8">
        <f ca="1"/>
        <v>0</v>
      </c>
      <c r="Y93" s="7">
        <f ca="1"/>
        <v>0</v>
      </c>
      <c r="Z93" s="1">
        <f ca="1"/>
        <v>0</v>
      </c>
      <c r="AA93" s="8">
        <f ca="1"/>
        <v>0</v>
      </c>
      <c r="AB93" s="61">
        <f ca="1">IF(ISNUMBER($A92),INDIRECT("System!" &amp; ADDRESS(A92+1,COLUMN(System!T91))),0)</f>
        <v>0</v>
      </c>
      <c r="AC93" s="301">
        <f ca="1">IF(G92=1,F92*D92/2,IF(G92="2a",F92*3/8*D92,IF(G92="2b",F92*5/8*D92,0)))</f>
        <v>0</v>
      </c>
      <c r="AD93" s="61">
        <f ca="1"/>
        <v>0</v>
      </c>
      <c r="AE93" s="7">
        <f t="shared" ref="AE93:BR93" ca="1" si="170">IF(ABS($C94)=AE$1,SIGN($C94),0)</f>
        <v>0</v>
      </c>
      <c r="AF93" s="1">
        <f t="shared" ca="1" si="170"/>
        <v>0</v>
      </c>
      <c r="AG93" s="1">
        <f t="shared" ca="1" si="170"/>
        <v>0</v>
      </c>
      <c r="AH93" s="1">
        <f t="shared" ca="1" si="170"/>
        <v>0</v>
      </c>
      <c r="AI93" s="1">
        <f t="shared" ca="1" si="170"/>
        <v>0</v>
      </c>
      <c r="AJ93" s="26">
        <f t="shared" ca="1" si="170"/>
        <v>0</v>
      </c>
      <c r="AK93" s="26">
        <f t="shared" ca="1" si="170"/>
        <v>0</v>
      </c>
      <c r="AL93" s="26">
        <f t="shared" ca="1" si="170"/>
        <v>0</v>
      </c>
      <c r="AM93" s="26">
        <f t="shared" ca="1" si="170"/>
        <v>0</v>
      </c>
      <c r="AN93" s="26">
        <f t="shared" ca="1" si="170"/>
        <v>0</v>
      </c>
      <c r="AO93" s="26">
        <f t="shared" ca="1" si="170"/>
        <v>0</v>
      </c>
      <c r="AP93" s="26">
        <f t="shared" ca="1" si="170"/>
        <v>0</v>
      </c>
      <c r="AQ93" s="26">
        <f t="shared" ca="1" si="170"/>
        <v>0</v>
      </c>
      <c r="AR93" s="26">
        <f t="shared" ca="1" si="170"/>
        <v>0</v>
      </c>
      <c r="AS93" s="26">
        <f t="shared" ca="1" si="170"/>
        <v>0</v>
      </c>
      <c r="AT93" s="26">
        <f t="shared" ca="1" si="170"/>
        <v>0</v>
      </c>
      <c r="AU93" s="26">
        <f t="shared" ca="1" si="170"/>
        <v>0</v>
      </c>
      <c r="AV93" s="26">
        <f t="shared" ca="1" si="170"/>
        <v>0</v>
      </c>
      <c r="AW93" s="26">
        <f t="shared" ca="1" si="170"/>
        <v>0</v>
      </c>
      <c r="AX93" s="26">
        <f t="shared" ca="1" si="170"/>
        <v>0</v>
      </c>
      <c r="AY93" s="26">
        <f t="shared" ca="1" si="170"/>
        <v>0</v>
      </c>
      <c r="AZ93" s="26">
        <f t="shared" ca="1" si="170"/>
        <v>0</v>
      </c>
      <c r="BA93" s="26">
        <f t="shared" ca="1" si="170"/>
        <v>0</v>
      </c>
      <c r="BB93" s="26">
        <f t="shared" ca="1" si="170"/>
        <v>0</v>
      </c>
      <c r="BC93" s="26">
        <f t="shared" ca="1" si="170"/>
        <v>0</v>
      </c>
      <c r="BD93" s="26">
        <f t="shared" ca="1" si="170"/>
        <v>0</v>
      </c>
      <c r="BE93" s="26">
        <f t="shared" ca="1" si="170"/>
        <v>0</v>
      </c>
      <c r="BF93" s="26">
        <f t="shared" ca="1" si="170"/>
        <v>0</v>
      </c>
      <c r="BG93" s="26">
        <f t="shared" ca="1" si="170"/>
        <v>0</v>
      </c>
      <c r="BH93" s="26">
        <f t="shared" ca="1" si="170"/>
        <v>0</v>
      </c>
      <c r="BI93" s="26">
        <f t="shared" ca="1" si="170"/>
        <v>0</v>
      </c>
      <c r="BJ93" s="26">
        <f t="shared" ca="1" si="170"/>
        <v>0</v>
      </c>
      <c r="BK93" s="26">
        <f t="shared" ca="1" si="170"/>
        <v>0</v>
      </c>
      <c r="BL93" s="26">
        <f t="shared" ca="1" si="170"/>
        <v>0</v>
      </c>
      <c r="BM93" s="26">
        <f t="shared" ca="1" si="170"/>
        <v>0</v>
      </c>
      <c r="BN93" s="26">
        <f t="shared" ca="1" si="170"/>
        <v>0</v>
      </c>
      <c r="BO93" s="26">
        <f t="shared" ca="1" si="170"/>
        <v>0</v>
      </c>
      <c r="BP93" s="26">
        <f t="shared" ca="1" si="170"/>
        <v>0</v>
      </c>
      <c r="BQ93" s="26">
        <f t="shared" ca="1" si="170"/>
        <v>0</v>
      </c>
      <c r="BR93" s="26">
        <f t="shared" ca="1" si="170"/>
        <v>0</v>
      </c>
      <c r="BS93" s="282">
        <f ca="1">IF(ISNUMBER($A92),IF(INDEX(B94:G94,2)&lt;&gt;0,SIGN(INDEX(B94:G94,2))*INDIRECT(ADDRESS(1+ABS(INDEX(B94:G94,2)),COLUMN(Ksys!$B$1),1,TRUE,"Ksys")),0)+AB93,0)</f>
        <v>0</v>
      </c>
      <c r="BT93" s="284">
        <f ca="1"/>
        <v>0</v>
      </c>
      <c r="BU93" s="284">
        <f ca="1"/>
        <v>0</v>
      </c>
      <c r="BV93" s="284">
        <f ca="1"/>
        <v>0</v>
      </c>
      <c r="BW93" s="287" t="s">
        <v>100</v>
      </c>
      <c r="BX93" s="272">
        <f t="shared" ref="BX93:CH93" ca="1" si="171" xml:space="preserve">  IF(ISNUMBER($A92),$BT93*(1-BX$1) + $BT96*BX$1 + ((1-BX$1)-(1-BX$1)^3)*$D92^2/6*$BV94/$B92 + (BX$1-(BX$1)^3)*$D92^2/6*$BV97/$B92 + (BX$1-2*(BX$1)^3+(BX$1)^4)*$D92^2/3*$F92*$D92^2/8/$B92,0)</f>
        <v>0</v>
      </c>
      <c r="BY93" s="173">
        <f t="shared" ca="1" si="171"/>
        <v>0</v>
      </c>
      <c r="BZ93" s="173">
        <f t="shared" ca="1" si="171"/>
        <v>0</v>
      </c>
      <c r="CA93" s="173">
        <f t="shared" ca="1" si="171"/>
        <v>0</v>
      </c>
      <c r="CB93" s="173">
        <f t="shared" ca="1" si="171"/>
        <v>0</v>
      </c>
      <c r="CC93" s="173">
        <f t="shared" ca="1" si="171"/>
        <v>0</v>
      </c>
      <c r="CD93" s="173">
        <f t="shared" ca="1" si="171"/>
        <v>0</v>
      </c>
      <c r="CE93" s="173">
        <f t="shared" ca="1" si="171"/>
        <v>0</v>
      </c>
      <c r="CF93" s="173">
        <f t="shared" ca="1" si="171"/>
        <v>0</v>
      </c>
      <c r="CG93" s="173">
        <f t="shared" ca="1" si="171"/>
        <v>0</v>
      </c>
      <c r="CH93" s="289">
        <f t="shared" ca="1" si="171"/>
        <v>0</v>
      </c>
      <c r="CI93" s="344"/>
      <c r="CJ93" s="344"/>
      <c r="CK93" s="312"/>
      <c r="CM93" s="291" t="s">
        <v>100</v>
      </c>
      <c r="CN93" s="7">
        <f t="shared" ref="CN93:CX93" ca="1" si="172" xml:space="preserve">  IF(ISNUMBER($A92),$BV94*(1-CN$1) + $BV97*CN$1  + CN$1*(1-CN$1)*$F92*$D92^2/2,0)</f>
        <v>0</v>
      </c>
      <c r="CO93" s="1">
        <f t="shared" ca="1" si="172"/>
        <v>0</v>
      </c>
      <c r="CP93" s="1">
        <f t="shared" ca="1" si="172"/>
        <v>0</v>
      </c>
      <c r="CQ93" s="1">
        <f t="shared" ca="1" si="172"/>
        <v>0</v>
      </c>
      <c r="CR93" s="1">
        <f t="shared" ca="1" si="172"/>
        <v>0</v>
      </c>
      <c r="CS93" s="1">
        <f t="shared" ca="1" si="172"/>
        <v>0</v>
      </c>
      <c r="CT93" s="1">
        <f t="shared" ca="1" si="172"/>
        <v>0</v>
      </c>
      <c r="CU93" s="1">
        <f t="shared" ca="1" si="172"/>
        <v>0</v>
      </c>
      <c r="CV93" s="1">
        <f t="shared" ca="1" si="172"/>
        <v>0</v>
      </c>
      <c r="CW93" s="1">
        <f t="shared" ca="1" si="172"/>
        <v>0</v>
      </c>
      <c r="CX93" s="1">
        <f t="shared" ca="1" si="172"/>
        <v>0</v>
      </c>
      <c r="CY93" s="1"/>
      <c r="CZ93" s="1"/>
      <c r="DA93" s="26"/>
      <c r="DB93" s="309"/>
      <c r="DC93" s="310"/>
      <c r="DD93" s="345"/>
      <c r="DF93" s="291" t="s">
        <v>100</v>
      </c>
      <c r="DG93" s="7">
        <f t="shared" ref="DG93:DQ93" ca="1" si="173" xml:space="preserve">  IF(ISNUMBER($A92),$BV93*(1-DG$1) + $BV96*DG$1,0)</f>
        <v>0</v>
      </c>
      <c r="DH93" s="1">
        <f t="shared" ca="1" si="173"/>
        <v>0</v>
      </c>
      <c r="DI93" s="1">
        <f t="shared" ca="1" si="173"/>
        <v>0</v>
      </c>
      <c r="DJ93" s="1">
        <f t="shared" ca="1" si="173"/>
        <v>0</v>
      </c>
      <c r="DK93" s="1">
        <f t="shared" ca="1" si="173"/>
        <v>0</v>
      </c>
      <c r="DL93" s="1">
        <f t="shared" ca="1" si="173"/>
        <v>0</v>
      </c>
      <c r="DM93" s="1">
        <f t="shared" ca="1" si="173"/>
        <v>0</v>
      </c>
      <c r="DN93" s="1">
        <f t="shared" ca="1" si="173"/>
        <v>0</v>
      </c>
      <c r="DO93" s="1">
        <f t="shared" ca="1" si="173"/>
        <v>0</v>
      </c>
      <c r="DP93" s="1">
        <f t="shared" ca="1" si="173"/>
        <v>0</v>
      </c>
      <c r="DQ93" s="1">
        <f t="shared" ca="1" si="173"/>
        <v>0</v>
      </c>
      <c r="DR93" s="1"/>
      <c r="DS93" s="1"/>
      <c r="DT93" s="8"/>
      <c r="DU93" s="12"/>
      <c r="DV93" s="310"/>
      <c r="DW93" s="345"/>
      <c r="DY93" s="291" t="s">
        <v>100</v>
      </c>
      <c r="DZ93" s="7">
        <f t="shared" ref="DZ93:EJ93" ca="1" si="174" xml:space="preserve">  IF(ISNUMBER($A92),$BV92*(1-DZ$1) + $BV95*DZ$1,0)</f>
        <v>0</v>
      </c>
      <c r="EA93" s="1">
        <f t="shared" ca="1" si="174"/>
        <v>0</v>
      </c>
      <c r="EB93" s="1">
        <f t="shared" ca="1" si="174"/>
        <v>0</v>
      </c>
      <c r="EC93" s="1">
        <f t="shared" ca="1" si="174"/>
        <v>0</v>
      </c>
      <c r="ED93" s="1">
        <f t="shared" ca="1" si="174"/>
        <v>0</v>
      </c>
      <c r="EE93" s="1">
        <f t="shared" ca="1" si="174"/>
        <v>0</v>
      </c>
      <c r="EF93" s="1">
        <f t="shared" ca="1" si="174"/>
        <v>0</v>
      </c>
      <c r="EG93" s="1">
        <f t="shared" ca="1" si="174"/>
        <v>0</v>
      </c>
      <c r="EH93" s="1">
        <f t="shared" ca="1" si="174"/>
        <v>0</v>
      </c>
      <c r="EI93" s="1">
        <f t="shared" ca="1" si="174"/>
        <v>0</v>
      </c>
      <c r="EJ93" s="1">
        <f t="shared" ca="1" si="174"/>
        <v>0</v>
      </c>
      <c r="EK93" s="1"/>
      <c r="EL93" s="1"/>
      <c r="EM93" s="8"/>
      <c r="EN93" s="309"/>
      <c r="EO93" s="310"/>
      <c r="EP93" s="345"/>
    </row>
    <row r="94" spans="1:146" ht="13.5" thickBot="1" x14ac:dyDescent="0.25">
      <c r="B94" s="1">
        <f ca="1">IF(ISNUMBER($A92),INDIRECT("System!" &amp; ADDRESS($A92 +1,COLUMN(System!Y91))),0)</f>
        <v>0</v>
      </c>
      <c r="C94" s="1">
        <f ca="1">IF(ISNUMBER($A92),INDIRECT("System!" &amp; ADDRESS($A92 +1,COLUMN(System!Z91))),0)</f>
        <v>0</v>
      </c>
      <c r="D94" s="1">
        <f ca="1">IF(ISNUMBER($A92),INDIRECT("System!" &amp; ADDRESS($A92 +1,COLUMN(System!AA91))),0)</f>
        <v>0</v>
      </c>
      <c r="E94" s="1">
        <f ca="1">IF(ISNUMBER($A92),INDIRECT("System!" &amp; ADDRESS($A92 +1,COLUMN(System!AB91))),0)</f>
        <v>0</v>
      </c>
      <c r="F94" s="1">
        <f ca="1">IF(ISNUMBER($A92),INDIRECT("System!" &amp; ADDRESS($A92 +1,COLUMN(System!AC91))),0)</f>
        <v>0</v>
      </c>
      <c r="G94" s="1">
        <f ca="1">IF(ISNUMBER($A92),INDIRECT("System!" &amp; ADDRESS($A92 +1,COLUMN(System!AD91))),0)</f>
        <v>0</v>
      </c>
      <c r="J94" s="9">
        <v>0</v>
      </c>
      <c r="K94" s="10">
        <f ca="1">IF(G92=1,-6*B92/D92^2,IF(G92="2a",0,IF(G92="2b",-3*B92/D92^2,0)))</f>
        <v>0</v>
      </c>
      <c r="L94" s="181">
        <f ca="1">IF(G92=1,4*B92/D92,IF(G92="2a",0,IF(G92="2b",3*B92/D92,0)))</f>
        <v>0</v>
      </c>
      <c r="M94" s="9">
        <v>0</v>
      </c>
      <c r="N94" s="10">
        <f ca="1">L96</f>
        <v>0</v>
      </c>
      <c r="O94" s="146">
        <f ca="1">L97</f>
        <v>0</v>
      </c>
      <c r="P94" s="143">
        <v>0</v>
      </c>
      <c r="Q94" s="99">
        <v>0</v>
      </c>
      <c r="R94" s="99">
        <v>1</v>
      </c>
      <c r="S94" s="101">
        <v>0</v>
      </c>
      <c r="T94" s="101">
        <v>0</v>
      </c>
      <c r="U94" s="110">
        <v>0</v>
      </c>
      <c r="V94" s="9">
        <f ca="1"/>
        <v>0</v>
      </c>
      <c r="W94" s="10">
        <f ca="1"/>
        <v>0</v>
      </c>
      <c r="X94" s="181">
        <f ca="1"/>
        <v>0</v>
      </c>
      <c r="Y94" s="9">
        <f ca="1"/>
        <v>0</v>
      </c>
      <c r="Z94" s="10">
        <f ca="1"/>
        <v>0</v>
      </c>
      <c r="AA94" s="146">
        <f ca="1"/>
        <v>0</v>
      </c>
      <c r="AB94" s="61">
        <f ca="1">IF(ISNUMBER($A92),INDIRECT("System!" &amp; ADDRESS(A92+1,COLUMN(System!U91))),0)</f>
        <v>0</v>
      </c>
      <c r="AC94" s="301">
        <f ca="1">IF(G92=1,-F92*D92^2/12,IF(G92="2a",0,IF(G92="2b",-F92*D92^2/8,0)))</f>
        <v>0</v>
      </c>
      <c r="AD94" s="61">
        <f ca="1"/>
        <v>0</v>
      </c>
      <c r="AE94" s="7">
        <f t="shared" ref="AE94:BR94" ca="1" si="175">IF(ABS($D94)=AE$1,SIGN($D94),0)</f>
        <v>0</v>
      </c>
      <c r="AF94" s="1">
        <f t="shared" ca="1" si="175"/>
        <v>0</v>
      </c>
      <c r="AG94" s="1">
        <f t="shared" ca="1" si="175"/>
        <v>0</v>
      </c>
      <c r="AH94" s="1">
        <f t="shared" ca="1" si="175"/>
        <v>0</v>
      </c>
      <c r="AI94" s="1">
        <f t="shared" ca="1" si="175"/>
        <v>0</v>
      </c>
      <c r="AJ94" s="26">
        <f t="shared" ca="1" si="175"/>
        <v>0</v>
      </c>
      <c r="AK94" s="26">
        <f t="shared" ca="1" si="175"/>
        <v>0</v>
      </c>
      <c r="AL94" s="26">
        <f t="shared" ca="1" si="175"/>
        <v>0</v>
      </c>
      <c r="AM94" s="26">
        <f t="shared" ca="1" si="175"/>
        <v>0</v>
      </c>
      <c r="AN94" s="26">
        <f t="shared" ca="1" si="175"/>
        <v>0</v>
      </c>
      <c r="AO94" s="26">
        <f t="shared" ca="1" si="175"/>
        <v>0</v>
      </c>
      <c r="AP94" s="26">
        <f t="shared" ca="1" si="175"/>
        <v>0</v>
      </c>
      <c r="AQ94" s="26">
        <f t="shared" ca="1" si="175"/>
        <v>0</v>
      </c>
      <c r="AR94" s="26">
        <f t="shared" ca="1" si="175"/>
        <v>0</v>
      </c>
      <c r="AS94" s="26">
        <f t="shared" ca="1" si="175"/>
        <v>0</v>
      </c>
      <c r="AT94" s="26">
        <f t="shared" ca="1" si="175"/>
        <v>0</v>
      </c>
      <c r="AU94" s="26">
        <f t="shared" ca="1" si="175"/>
        <v>0</v>
      </c>
      <c r="AV94" s="26">
        <f t="shared" ca="1" si="175"/>
        <v>0</v>
      </c>
      <c r="AW94" s="26">
        <f t="shared" ca="1" si="175"/>
        <v>0</v>
      </c>
      <c r="AX94" s="26">
        <f t="shared" ca="1" si="175"/>
        <v>0</v>
      </c>
      <c r="AY94" s="26">
        <f t="shared" ca="1" si="175"/>
        <v>0</v>
      </c>
      <c r="AZ94" s="26">
        <f t="shared" ca="1" si="175"/>
        <v>0</v>
      </c>
      <c r="BA94" s="26">
        <f t="shared" ca="1" si="175"/>
        <v>0</v>
      </c>
      <c r="BB94" s="26">
        <f t="shared" ca="1" si="175"/>
        <v>0</v>
      </c>
      <c r="BC94" s="26">
        <f t="shared" ca="1" si="175"/>
        <v>0</v>
      </c>
      <c r="BD94" s="26">
        <f t="shared" ca="1" si="175"/>
        <v>0</v>
      </c>
      <c r="BE94" s="26">
        <f t="shared" ca="1" si="175"/>
        <v>0</v>
      </c>
      <c r="BF94" s="26">
        <f t="shared" ca="1" si="175"/>
        <v>0</v>
      </c>
      <c r="BG94" s="26">
        <f t="shared" ca="1" si="175"/>
        <v>0</v>
      </c>
      <c r="BH94" s="26">
        <f t="shared" ca="1" si="175"/>
        <v>0</v>
      </c>
      <c r="BI94" s="26">
        <f t="shared" ca="1" si="175"/>
        <v>0</v>
      </c>
      <c r="BJ94" s="26">
        <f t="shared" ca="1" si="175"/>
        <v>0</v>
      </c>
      <c r="BK94" s="26">
        <f t="shared" ca="1" si="175"/>
        <v>0</v>
      </c>
      <c r="BL94" s="26">
        <f t="shared" ca="1" si="175"/>
        <v>0</v>
      </c>
      <c r="BM94" s="26">
        <f t="shared" ca="1" si="175"/>
        <v>0</v>
      </c>
      <c r="BN94" s="26">
        <f t="shared" ca="1" si="175"/>
        <v>0</v>
      </c>
      <c r="BO94" s="26">
        <f t="shared" ca="1" si="175"/>
        <v>0</v>
      </c>
      <c r="BP94" s="26">
        <f t="shared" ca="1" si="175"/>
        <v>0</v>
      </c>
      <c r="BQ94" s="26">
        <f t="shared" ca="1" si="175"/>
        <v>0</v>
      </c>
      <c r="BR94" s="26">
        <f t="shared" ca="1" si="175"/>
        <v>0</v>
      </c>
      <c r="BS94" s="282">
        <f ca="1">IF(ISNUMBER($A92),IF(INDEX(B94:G94,3)&lt;&gt;0,SIGN(INDEX(B94:G94,3))*INDIRECT(ADDRESS(1+ABS(INDEX(B94:G94,3)),COLUMN(Ksys!$B$1),1,TRUE,"Ksys")),0)+AB94,0)</f>
        <v>0</v>
      </c>
      <c r="BT94" s="284">
        <f ca="1"/>
        <v>0</v>
      </c>
      <c r="BU94" s="284">
        <f ca="1"/>
        <v>0</v>
      </c>
      <c r="BV94" s="284">
        <f ca="1"/>
        <v>0</v>
      </c>
      <c r="BW94" s="287" t="s">
        <v>96</v>
      </c>
      <c r="BX94" s="7">
        <f t="array" aca="1" ref="BX94:BX95" ca="1">IF(ISNUMBER($A92),MMULT(TRANSPOSE($P92:$Q93),BX92:BX93),0)</f>
        <v>0</v>
      </c>
      <c r="BY94" s="1">
        <f t="array" aca="1" ref="BY94:BY95" ca="1">IF(ISNUMBER($A92),MMULT(TRANSPOSE($P92:$Q93),BY92:BY93),0)</f>
        <v>0</v>
      </c>
      <c r="BZ94" s="1">
        <f t="array" aca="1" ref="BZ94:BZ95" ca="1">IF(ISNUMBER($A92),MMULT(TRANSPOSE($P92:$Q93),BZ92:BZ93),0)</f>
        <v>0</v>
      </c>
      <c r="CA94" s="1">
        <f t="array" aca="1" ref="CA94:CA95" ca="1">IF(ISNUMBER($A92),MMULT(TRANSPOSE($P92:$Q93),CA92:CA93),0)</f>
        <v>0</v>
      </c>
      <c r="CB94" s="1">
        <f t="array" aca="1" ref="CB94:CB95" ca="1">IF(ISNUMBER($A92),MMULT(TRANSPOSE($P92:$Q93),CB92:CB93),0)</f>
        <v>0</v>
      </c>
      <c r="CC94" s="1">
        <f t="array" aca="1" ref="CC94:CC95" ca="1">IF(ISNUMBER($A92),MMULT(TRANSPOSE($P92:$Q93),CC92:CC93),0)</f>
        <v>0</v>
      </c>
      <c r="CD94" s="1">
        <f t="array" aca="1" ref="CD94:CD95" ca="1">IF(ISNUMBER($A92),MMULT(TRANSPOSE($P92:$Q93),CD92:CD93),0)</f>
        <v>0</v>
      </c>
      <c r="CE94" s="1">
        <f t="array" aca="1" ref="CE94:CE95" ca="1">IF(ISNUMBER($A92),MMULT(TRANSPOSE($P92:$Q93),CE92:CE93),0)</f>
        <v>0</v>
      </c>
      <c r="CF94" s="1">
        <f t="array" aca="1" ref="CF94:CF95" ca="1">IF(ISNUMBER($A92),MMULT(TRANSPOSE($P92:$Q93),CF92:CF93),0)</f>
        <v>0</v>
      </c>
      <c r="CG94" s="1">
        <f t="array" aca="1" ref="CG94:CG95" ca="1">IF(ISNUMBER($A92),MMULT(TRANSPOSE($P92:$Q93),CG92:CG93),0)</f>
        <v>0</v>
      </c>
      <c r="CH94" s="8">
        <f t="array" aca="1" ref="CH94:CH95" ca="1">IF(ISNUMBER($A92),MMULT(TRANSPOSE($P92:$Q93),CH92:CH93),0)</f>
        <v>0</v>
      </c>
      <c r="CI94" s="345"/>
      <c r="CJ94" s="345"/>
      <c r="CK94" s="444">
        <f ca="1">MAX(MAX(BX94:CH95),ABS(MIN(BX94:CH95)))</f>
        <v>0</v>
      </c>
      <c r="CM94" s="291" t="s">
        <v>96</v>
      </c>
      <c r="CN94" s="7">
        <f t="array" aca="1" ref="CN94:CN95" ca="1">IF(ISNUMBER($A92),MMULT(TRANSPOSE($P92:$Q93),CN92:CN93),0)</f>
        <v>0</v>
      </c>
      <c r="CO94" s="1">
        <f t="array" aca="1" ref="CO94:CO95" ca="1">IF(ISNUMBER($A92),MMULT(TRANSPOSE($P92:$Q93),CO92:CO93),0)</f>
        <v>0</v>
      </c>
      <c r="CP94" s="1">
        <f t="array" aca="1" ref="CP94:CP95" ca="1">IF(ISNUMBER($A92),MMULT(TRANSPOSE($P92:$Q93),CP92:CP93),0)</f>
        <v>0</v>
      </c>
      <c r="CQ94" s="1">
        <f t="array" aca="1" ref="CQ94:CQ95" ca="1">IF(ISNUMBER($A92),MMULT(TRANSPOSE($P92:$Q93),CQ92:CQ93),0)</f>
        <v>0</v>
      </c>
      <c r="CR94" s="1">
        <f t="array" aca="1" ref="CR94:CR95" ca="1">IF(ISNUMBER($A92),MMULT(TRANSPOSE($P92:$Q93),CR92:CR93),0)</f>
        <v>0</v>
      </c>
      <c r="CS94" s="1">
        <f t="array" aca="1" ref="CS94:CS95" ca="1">IF(ISNUMBER($A92),MMULT(TRANSPOSE($P92:$Q93),CS92:CS93),0)</f>
        <v>0</v>
      </c>
      <c r="CT94" s="1">
        <f t="array" aca="1" ref="CT94:CT95" ca="1">IF(ISNUMBER($A92),MMULT(TRANSPOSE($P92:$Q93),CT92:CT93),0)</f>
        <v>0</v>
      </c>
      <c r="CU94" s="1">
        <f t="array" aca="1" ref="CU94:CU95" ca="1">IF(ISNUMBER($A92),MMULT(TRANSPOSE($P92:$Q93),CU92:CU93),0)</f>
        <v>0</v>
      </c>
      <c r="CV94" s="1">
        <f t="array" aca="1" ref="CV94:CV95" ca="1">IF(ISNUMBER($A92),MMULT(TRANSPOSE($P92:$Q93),CV92:CV93),0)</f>
        <v>0</v>
      </c>
      <c r="CW94" s="1">
        <f t="array" aca="1" ref="CW94:CW95" ca="1">IF(ISNUMBER($A92),MMULT(TRANSPOSE($P92:$Q93),CW92:CW93),0)</f>
        <v>0</v>
      </c>
      <c r="CX94" s="1">
        <f t="array" aca="1" ref="CX94:CX95" ca="1">IF(ISNUMBER($A92),MMULT(TRANSPOSE($P92:$Q93),CX92:CX93),0)</f>
        <v>0</v>
      </c>
      <c r="CY94" s="1"/>
      <c r="CZ94" s="1"/>
      <c r="DA94" s="26"/>
      <c r="DB94" s="309"/>
      <c r="DC94" s="310"/>
      <c r="DD94" s="345"/>
      <c r="DF94" s="291" t="s">
        <v>96</v>
      </c>
      <c r="DG94" s="7">
        <f t="array" aca="1" ref="DG94:DG95" ca="1">IF(ISNUMBER($A92),MMULT(TRANSPOSE($P92:$Q93),DG92:DG93),0)</f>
        <v>0</v>
      </c>
      <c r="DH94" s="1">
        <f t="array" aca="1" ref="DH94:DH95" ca="1">IF(ISNUMBER($A92),MMULT(TRANSPOSE($P92:$Q93),DH92:DH93),0)</f>
        <v>0</v>
      </c>
      <c r="DI94" s="1">
        <f t="array" aca="1" ref="DI94:DI95" ca="1">IF(ISNUMBER($A92),MMULT(TRANSPOSE($P92:$Q93),DI92:DI93),0)</f>
        <v>0</v>
      </c>
      <c r="DJ94" s="1">
        <f t="array" aca="1" ref="DJ94:DJ95" ca="1">IF(ISNUMBER($A92),MMULT(TRANSPOSE($P92:$Q93),DJ92:DJ93),0)</f>
        <v>0</v>
      </c>
      <c r="DK94" s="1">
        <f t="array" aca="1" ref="DK94:DK95" ca="1">IF(ISNUMBER($A92),MMULT(TRANSPOSE($P92:$Q93),DK92:DK93),0)</f>
        <v>0</v>
      </c>
      <c r="DL94" s="1">
        <f t="array" aca="1" ref="DL94:DL95" ca="1">IF(ISNUMBER($A92),MMULT(TRANSPOSE($P92:$Q93),DL92:DL93),0)</f>
        <v>0</v>
      </c>
      <c r="DM94" s="1">
        <f t="array" aca="1" ref="DM94:DM95" ca="1">IF(ISNUMBER($A92),MMULT(TRANSPOSE($P92:$Q93),DM92:DM93),0)</f>
        <v>0</v>
      </c>
      <c r="DN94" s="1">
        <f t="array" aca="1" ref="DN94:DN95" ca="1">IF(ISNUMBER($A92),MMULT(TRANSPOSE($P92:$Q93),DN92:DN93),0)</f>
        <v>0</v>
      </c>
      <c r="DO94" s="1">
        <f t="array" aca="1" ref="DO94:DO95" ca="1">IF(ISNUMBER($A92),MMULT(TRANSPOSE($P92:$Q93),DO92:DO93),0)</f>
        <v>0</v>
      </c>
      <c r="DP94" s="1">
        <f t="array" aca="1" ref="DP94:DP95" ca="1">IF(ISNUMBER($A92),MMULT(TRANSPOSE($P92:$Q93),DP92:DP93),0)</f>
        <v>0</v>
      </c>
      <c r="DQ94" s="1">
        <f t="array" aca="1" ref="DQ94:DQ95" ca="1">IF(ISNUMBER($A92),MMULT(TRANSPOSE($P92:$Q93),DQ92:DQ93),0)</f>
        <v>0</v>
      </c>
      <c r="DR94" s="1"/>
      <c r="DS94" s="1"/>
      <c r="DT94" s="8"/>
      <c r="DU94" s="12"/>
      <c r="DV94" s="310"/>
      <c r="DW94" s="345"/>
      <c r="DY94" s="291" t="s">
        <v>96</v>
      </c>
      <c r="DZ94" s="7">
        <f t="array" aca="1" ref="DZ94:DZ95" ca="1">IF(ISNUMBER($A92),MMULT(TRANSPOSE($P92:$Q93),DZ92:DZ93),0)</f>
        <v>0</v>
      </c>
      <c r="EA94" s="1">
        <f t="array" aca="1" ref="EA94:EA95" ca="1">IF(ISNUMBER($A92),MMULT(TRANSPOSE($P92:$Q93),EA92:EA93),0)</f>
        <v>0</v>
      </c>
      <c r="EB94" s="1">
        <f t="array" aca="1" ref="EB94:EB95" ca="1">IF(ISNUMBER($A92),MMULT(TRANSPOSE($P92:$Q93),EB92:EB93),0)</f>
        <v>0</v>
      </c>
      <c r="EC94" s="1">
        <f t="array" aca="1" ref="EC94:EC95" ca="1">IF(ISNUMBER($A92),MMULT(TRANSPOSE($P92:$Q93),EC92:EC93),0)</f>
        <v>0</v>
      </c>
      <c r="ED94" s="1">
        <f t="array" aca="1" ref="ED94:ED95" ca="1">IF(ISNUMBER($A92),MMULT(TRANSPOSE($P92:$Q93),ED92:ED93),0)</f>
        <v>0</v>
      </c>
      <c r="EE94" s="1">
        <f t="array" aca="1" ref="EE94:EE95" ca="1">IF(ISNUMBER($A92),MMULT(TRANSPOSE($P92:$Q93),EE92:EE93),0)</f>
        <v>0</v>
      </c>
      <c r="EF94" s="1">
        <f t="array" aca="1" ref="EF94:EF95" ca="1">IF(ISNUMBER($A92),MMULT(TRANSPOSE($P92:$Q93),EF92:EF93),0)</f>
        <v>0</v>
      </c>
      <c r="EG94" s="1">
        <f t="array" aca="1" ref="EG94:EG95" ca="1">IF(ISNUMBER($A92),MMULT(TRANSPOSE($P92:$Q93),EG92:EG93),0)</f>
        <v>0</v>
      </c>
      <c r="EH94" s="1">
        <f t="array" aca="1" ref="EH94:EH95" ca="1">IF(ISNUMBER($A92),MMULT(TRANSPOSE($P92:$Q93),EH92:EH93),0)</f>
        <v>0</v>
      </c>
      <c r="EI94" s="1">
        <f t="array" aca="1" ref="EI94:EI95" ca="1">IF(ISNUMBER($A92),MMULT(TRANSPOSE($P92:$Q93),EI92:EI93),0)</f>
        <v>0</v>
      </c>
      <c r="EJ94" s="1">
        <f t="array" aca="1" ref="EJ94:EJ95" ca="1">IF(ISNUMBER($A92),MMULT(TRANSPOSE($P92:$Q93),EJ92:EJ93),0)</f>
        <v>0</v>
      </c>
      <c r="EK94" s="1"/>
      <c r="EL94" s="1"/>
      <c r="EM94" s="8"/>
      <c r="EN94" s="309"/>
      <c r="EO94" s="310"/>
      <c r="EP94" s="345"/>
    </row>
    <row r="95" spans="1:146" x14ac:dyDescent="0.2">
      <c r="E95" s="12"/>
      <c r="F95" s="12"/>
      <c r="J95" s="4">
        <f ca="1">-J92</f>
        <v>0</v>
      </c>
      <c r="K95" s="5">
        <v>0</v>
      </c>
      <c r="L95" s="6">
        <v>0</v>
      </c>
      <c r="M95" s="179">
        <f ca="1">J92</f>
        <v>0</v>
      </c>
      <c r="N95" s="5">
        <v>0</v>
      </c>
      <c r="O95" s="6">
        <v>0</v>
      </c>
      <c r="P95" s="184">
        <v>0</v>
      </c>
      <c r="Q95" s="101">
        <v>0</v>
      </c>
      <c r="R95" s="101">
        <v>0</v>
      </c>
      <c r="S95" s="99">
        <f ca="1">I92</f>
        <v>0</v>
      </c>
      <c r="T95" s="99">
        <f ca="1">-H92</f>
        <v>0</v>
      </c>
      <c r="U95" s="100">
        <v>0</v>
      </c>
      <c r="V95" s="4">
        <f ca="1"/>
        <v>0</v>
      </c>
      <c r="W95" s="5">
        <f ca="1"/>
        <v>0</v>
      </c>
      <c r="X95" s="6">
        <f ca="1"/>
        <v>0</v>
      </c>
      <c r="Y95" s="179">
        <f ca="1"/>
        <v>0</v>
      </c>
      <c r="Z95" s="5">
        <f ca="1"/>
        <v>0</v>
      </c>
      <c r="AA95" s="6">
        <f ca="1"/>
        <v>0</v>
      </c>
      <c r="AB95" s="61">
        <f ca="1">IF(ISNUMBER($A92),INDIRECT("System!" &amp; ADDRESS(A92+1,COLUMN(System!V91))),0)</f>
        <v>0</v>
      </c>
      <c r="AC95" s="301">
        <f ca="1">IF(ISNUMBER(E92),E92*D92/2,0)</f>
        <v>0</v>
      </c>
      <c r="AD95" s="61">
        <f ca="1"/>
        <v>0</v>
      </c>
      <c r="AE95" s="7">
        <f t="shared" ref="AE95:BR95" ca="1" si="176">IF(ABS($E94)=AE$1,SIGN($E94),0)</f>
        <v>0</v>
      </c>
      <c r="AF95" s="1">
        <f t="shared" ca="1" si="176"/>
        <v>0</v>
      </c>
      <c r="AG95" s="1">
        <f t="shared" ca="1" si="176"/>
        <v>0</v>
      </c>
      <c r="AH95" s="1">
        <f t="shared" ca="1" si="176"/>
        <v>0</v>
      </c>
      <c r="AI95" s="1">
        <f t="shared" ca="1" si="176"/>
        <v>0</v>
      </c>
      <c r="AJ95" s="26">
        <f t="shared" ca="1" si="176"/>
        <v>0</v>
      </c>
      <c r="AK95" s="26">
        <f t="shared" ca="1" si="176"/>
        <v>0</v>
      </c>
      <c r="AL95" s="26">
        <f t="shared" ca="1" si="176"/>
        <v>0</v>
      </c>
      <c r="AM95" s="26">
        <f t="shared" ca="1" si="176"/>
        <v>0</v>
      </c>
      <c r="AN95" s="26">
        <f t="shared" ca="1" si="176"/>
        <v>0</v>
      </c>
      <c r="AO95" s="26">
        <f t="shared" ca="1" si="176"/>
        <v>0</v>
      </c>
      <c r="AP95" s="26">
        <f t="shared" ca="1" si="176"/>
        <v>0</v>
      </c>
      <c r="AQ95" s="26">
        <f t="shared" ca="1" si="176"/>
        <v>0</v>
      </c>
      <c r="AR95" s="26">
        <f t="shared" ca="1" si="176"/>
        <v>0</v>
      </c>
      <c r="AS95" s="26">
        <f t="shared" ca="1" si="176"/>
        <v>0</v>
      </c>
      <c r="AT95" s="26">
        <f t="shared" ca="1" si="176"/>
        <v>0</v>
      </c>
      <c r="AU95" s="26">
        <f t="shared" ca="1" si="176"/>
        <v>0</v>
      </c>
      <c r="AV95" s="26">
        <f t="shared" ca="1" si="176"/>
        <v>0</v>
      </c>
      <c r="AW95" s="26">
        <f t="shared" ca="1" si="176"/>
        <v>0</v>
      </c>
      <c r="AX95" s="26">
        <f t="shared" ca="1" si="176"/>
        <v>0</v>
      </c>
      <c r="AY95" s="26">
        <f t="shared" ca="1" si="176"/>
        <v>0</v>
      </c>
      <c r="AZ95" s="26">
        <f t="shared" ca="1" si="176"/>
        <v>0</v>
      </c>
      <c r="BA95" s="26">
        <f t="shared" ca="1" si="176"/>
        <v>0</v>
      </c>
      <c r="BB95" s="26">
        <f t="shared" ca="1" si="176"/>
        <v>0</v>
      </c>
      <c r="BC95" s="26">
        <f t="shared" ca="1" si="176"/>
        <v>0</v>
      </c>
      <c r="BD95" s="26">
        <f t="shared" ca="1" si="176"/>
        <v>0</v>
      </c>
      <c r="BE95" s="26">
        <f t="shared" ca="1" si="176"/>
        <v>0</v>
      </c>
      <c r="BF95" s="26">
        <f t="shared" ca="1" si="176"/>
        <v>0</v>
      </c>
      <c r="BG95" s="26">
        <f t="shared" ca="1" si="176"/>
        <v>0</v>
      </c>
      <c r="BH95" s="26">
        <f t="shared" ca="1" si="176"/>
        <v>0</v>
      </c>
      <c r="BI95" s="26">
        <f t="shared" ca="1" si="176"/>
        <v>0</v>
      </c>
      <c r="BJ95" s="26">
        <f t="shared" ca="1" si="176"/>
        <v>0</v>
      </c>
      <c r="BK95" s="26">
        <f t="shared" ca="1" si="176"/>
        <v>0</v>
      </c>
      <c r="BL95" s="26">
        <f t="shared" ca="1" si="176"/>
        <v>0</v>
      </c>
      <c r="BM95" s="26">
        <f t="shared" ca="1" si="176"/>
        <v>0</v>
      </c>
      <c r="BN95" s="26">
        <f t="shared" ca="1" si="176"/>
        <v>0</v>
      </c>
      <c r="BO95" s="26">
        <f t="shared" ca="1" si="176"/>
        <v>0</v>
      </c>
      <c r="BP95" s="26">
        <f t="shared" ca="1" si="176"/>
        <v>0</v>
      </c>
      <c r="BQ95" s="26">
        <f t="shared" ca="1" si="176"/>
        <v>0</v>
      </c>
      <c r="BR95" s="26">
        <f t="shared" ca="1" si="176"/>
        <v>0</v>
      </c>
      <c r="BS95" s="282">
        <f ca="1">IF(ISNUMBER($A92),IF(INDEX(B94:G94,4)&lt;&gt;0,SIGN(INDEX(B94:G94,4))*INDIRECT(ADDRESS(1+ABS(INDEX(B94:G94,4)),COLUMN(Ksys!$B$1),1,TRUE,"Ksys")),0)+AB95,0)</f>
        <v>0</v>
      </c>
      <c r="BT95" s="284">
        <f ca="1"/>
        <v>0</v>
      </c>
      <c r="BU95" s="284">
        <f ca="1"/>
        <v>0</v>
      </c>
      <c r="BV95" s="284">
        <f t="array" aca="1" ref="BV95:BV97" ca="1">MMULT(J95:O97,BT92:BT97)-AC95:AC97</f>
        <v>0</v>
      </c>
      <c r="BW95" s="288" t="s">
        <v>101</v>
      </c>
      <c r="BX95" s="7">
        <f ca="1"/>
        <v>0</v>
      </c>
      <c r="BY95" s="1">
        <f ca="1"/>
        <v>0</v>
      </c>
      <c r="BZ95" s="1">
        <f ca="1"/>
        <v>0</v>
      </c>
      <c r="CA95" s="1">
        <f ca="1"/>
        <v>0</v>
      </c>
      <c r="CB95" s="1">
        <f ca="1"/>
        <v>0</v>
      </c>
      <c r="CC95" s="1">
        <f ca="1"/>
        <v>0</v>
      </c>
      <c r="CD95" s="1">
        <f ca="1"/>
        <v>0</v>
      </c>
      <c r="CE95" s="1">
        <f ca="1"/>
        <v>0</v>
      </c>
      <c r="CF95" s="1">
        <f ca="1"/>
        <v>0</v>
      </c>
      <c r="CG95" s="1">
        <f ca="1"/>
        <v>0</v>
      </c>
      <c r="CH95" s="8">
        <f ca="1"/>
        <v>0</v>
      </c>
      <c r="CI95" s="344" t="s">
        <v>1</v>
      </c>
      <c r="CJ95" s="344" t="s">
        <v>111</v>
      </c>
      <c r="CK95" s="310"/>
      <c r="CM95" s="292" t="s">
        <v>101</v>
      </c>
      <c r="CN95" s="7">
        <f ca="1"/>
        <v>0</v>
      </c>
      <c r="CO95" s="1">
        <f ca="1"/>
        <v>0</v>
      </c>
      <c r="CP95" s="1">
        <f ca="1"/>
        <v>0</v>
      </c>
      <c r="CQ95" s="1">
        <f ca="1"/>
        <v>0</v>
      </c>
      <c r="CR95" s="1">
        <f ca="1"/>
        <v>0</v>
      </c>
      <c r="CS95" s="1">
        <f ca="1"/>
        <v>0</v>
      </c>
      <c r="CT95" s="1">
        <f ca="1"/>
        <v>0</v>
      </c>
      <c r="CU95" s="1">
        <f ca="1"/>
        <v>0</v>
      </c>
      <c r="CV95" s="1">
        <f ca="1"/>
        <v>0</v>
      </c>
      <c r="CW95" s="1">
        <f ca="1"/>
        <v>0</v>
      </c>
      <c r="CX95" s="1">
        <f ca="1"/>
        <v>0</v>
      </c>
      <c r="CY95" s="1"/>
      <c r="CZ95" s="1"/>
      <c r="DA95" s="26"/>
      <c r="DB95" s="311" t="s">
        <v>1</v>
      </c>
      <c r="DC95" s="312" t="s">
        <v>111</v>
      </c>
      <c r="DD95" s="61">
        <f ca="1">MAX(MAX(CN94:CX95),ABS(MIN(CN94:CX95)))</f>
        <v>0</v>
      </c>
      <c r="DF95" s="292" t="s">
        <v>101</v>
      </c>
      <c r="DG95" s="7">
        <f ca="1"/>
        <v>0</v>
      </c>
      <c r="DH95" s="1">
        <f ca="1"/>
        <v>0</v>
      </c>
      <c r="DI95" s="1">
        <f ca="1"/>
        <v>0</v>
      </c>
      <c r="DJ95" s="1">
        <f ca="1"/>
        <v>0</v>
      </c>
      <c r="DK95" s="1">
        <f ca="1"/>
        <v>0</v>
      </c>
      <c r="DL95" s="1">
        <f ca="1"/>
        <v>0</v>
      </c>
      <c r="DM95" s="1">
        <f ca="1"/>
        <v>0</v>
      </c>
      <c r="DN95" s="1">
        <f ca="1"/>
        <v>0</v>
      </c>
      <c r="DO95" s="1">
        <f ca="1"/>
        <v>0</v>
      </c>
      <c r="DP95" s="1">
        <f ca="1"/>
        <v>0</v>
      </c>
      <c r="DQ95" s="1">
        <f ca="1"/>
        <v>0</v>
      </c>
      <c r="DR95" s="1"/>
      <c r="DS95" s="1"/>
      <c r="DT95" s="8"/>
      <c r="DU95" s="314" t="s">
        <v>1</v>
      </c>
      <c r="DV95" s="312" t="s">
        <v>111</v>
      </c>
      <c r="DW95" s="349">
        <f ca="1">MAX(MAX(DG94:DQ95),ABS(MIN(DG94:DQ95)))</f>
        <v>0</v>
      </c>
      <c r="DY95" s="292" t="s">
        <v>101</v>
      </c>
      <c r="DZ95" s="7">
        <f ca="1"/>
        <v>0</v>
      </c>
      <c r="EA95" s="1">
        <f ca="1"/>
        <v>0</v>
      </c>
      <c r="EB95" s="1">
        <f ca="1"/>
        <v>0</v>
      </c>
      <c r="EC95" s="1">
        <f ca="1"/>
        <v>0</v>
      </c>
      <c r="ED95" s="1">
        <f ca="1"/>
        <v>0</v>
      </c>
      <c r="EE95" s="1">
        <f ca="1"/>
        <v>0</v>
      </c>
      <c r="EF95" s="1">
        <f ca="1"/>
        <v>0</v>
      </c>
      <c r="EG95" s="1">
        <f ca="1"/>
        <v>0</v>
      </c>
      <c r="EH95" s="1">
        <f ca="1"/>
        <v>0</v>
      </c>
      <c r="EI95" s="1">
        <f ca="1"/>
        <v>0</v>
      </c>
      <c r="EJ95" s="1">
        <f ca="1"/>
        <v>0</v>
      </c>
      <c r="EK95" s="1"/>
      <c r="EL95" s="1"/>
      <c r="EM95" s="8"/>
      <c r="EN95" s="311" t="s">
        <v>1</v>
      </c>
      <c r="EO95" s="312" t="s">
        <v>111</v>
      </c>
      <c r="EP95" s="61">
        <f ca="1">MAX(MAX(DZ94:EJ95),ABS(MIN(DZ94:EJ95)))</f>
        <v>0</v>
      </c>
    </row>
    <row r="96" spans="1:146" x14ac:dyDescent="0.2">
      <c r="E96" s="1" t="str">
        <f ca="1">IF(ISNUMBER(A92),"" &amp; ADDRESS(ROW(A92),COLUMN($AD$1)) &amp; ":" &amp; ADDRESS(ROW(A97),COLUMN($AD$1)) &amp; "","")</f>
        <v/>
      </c>
      <c r="F96" s="1" t="str">
        <f ca="1">IF(ISNUMBER(A92),"" &amp; ADDRESS(ROW(A92),COLUMN($V$1)) &amp; ":" &amp; ADDRESS(ROW(A97),COLUMN($AA$1)) &amp; "","")</f>
        <v/>
      </c>
      <c r="G96" s="1" t="str">
        <f ca="1">IF(ISNUMBER(A92),"" &amp; ADDRESS(ROW(A92),COLUMN($AE$1)) &amp; ":" &amp; ADDRESS(ROW(A97),COLUMN($AD$1)+$C$6) &amp; "","")</f>
        <v/>
      </c>
      <c r="J96" s="7">
        <v>0</v>
      </c>
      <c r="K96" s="1">
        <f ca="1">-K93</f>
        <v>0</v>
      </c>
      <c r="L96" s="8">
        <f ca="1">IF(G92=1,6*B92/D92^2,IF(G92="2a",0,IF(G92="2b",3*B92/D92^2,0)))</f>
        <v>0</v>
      </c>
      <c r="M96" s="7">
        <v>0</v>
      </c>
      <c r="N96" s="180">
        <f ca="1">K93</f>
        <v>0</v>
      </c>
      <c r="O96" s="8">
        <f ca="1">N97</f>
        <v>0</v>
      </c>
      <c r="P96" s="184">
        <v>0</v>
      </c>
      <c r="Q96" s="101">
        <v>0</v>
      </c>
      <c r="R96" s="101">
        <v>0</v>
      </c>
      <c r="S96" s="99">
        <f ca="1">H92</f>
        <v>0</v>
      </c>
      <c r="T96" s="99">
        <f ca="1">I92</f>
        <v>0</v>
      </c>
      <c r="U96" s="100">
        <v>0</v>
      </c>
      <c r="V96" s="7">
        <f ca="1"/>
        <v>0</v>
      </c>
      <c r="W96" s="1">
        <f ca="1"/>
        <v>0</v>
      </c>
      <c r="X96" s="8">
        <f ca="1"/>
        <v>0</v>
      </c>
      <c r="Y96" s="7">
        <f ca="1"/>
        <v>0</v>
      </c>
      <c r="Z96" s="180">
        <f ca="1"/>
        <v>0</v>
      </c>
      <c r="AA96" s="8">
        <f ca="1"/>
        <v>0</v>
      </c>
      <c r="AB96" s="61">
        <f ca="1">IF(ISNUMBER($A92),INDIRECT("System!" &amp; ADDRESS(A92+1,COLUMN(System!W91))),0)</f>
        <v>0</v>
      </c>
      <c r="AC96" s="301">
        <f ca="1">IF(G92=1,F92*D92/2,IF(G92="2a",F92*5/8*D92,IF(G92="2b",F92*3/8*D92,0)))</f>
        <v>0</v>
      </c>
      <c r="AD96" s="61">
        <f ca="1"/>
        <v>0</v>
      </c>
      <c r="AE96" s="7">
        <f t="shared" ref="AE96:BR96" ca="1" si="177">IF(ABS($F94)=AE$1,SIGN($F94),0)</f>
        <v>0</v>
      </c>
      <c r="AF96" s="1">
        <f t="shared" ca="1" si="177"/>
        <v>0</v>
      </c>
      <c r="AG96" s="1">
        <f t="shared" ca="1" si="177"/>
        <v>0</v>
      </c>
      <c r="AH96" s="1">
        <f t="shared" ca="1" si="177"/>
        <v>0</v>
      </c>
      <c r="AI96" s="1">
        <f t="shared" ca="1" si="177"/>
        <v>0</v>
      </c>
      <c r="AJ96" s="26">
        <f t="shared" ca="1" si="177"/>
        <v>0</v>
      </c>
      <c r="AK96" s="26">
        <f t="shared" ca="1" si="177"/>
        <v>0</v>
      </c>
      <c r="AL96" s="26">
        <f t="shared" ca="1" si="177"/>
        <v>0</v>
      </c>
      <c r="AM96" s="26">
        <f t="shared" ca="1" si="177"/>
        <v>0</v>
      </c>
      <c r="AN96" s="26">
        <f t="shared" ca="1" si="177"/>
        <v>0</v>
      </c>
      <c r="AO96" s="26">
        <f t="shared" ca="1" si="177"/>
        <v>0</v>
      </c>
      <c r="AP96" s="26">
        <f t="shared" ca="1" si="177"/>
        <v>0</v>
      </c>
      <c r="AQ96" s="26">
        <f t="shared" ca="1" si="177"/>
        <v>0</v>
      </c>
      <c r="AR96" s="26">
        <f t="shared" ca="1" si="177"/>
        <v>0</v>
      </c>
      <c r="AS96" s="26">
        <f t="shared" ca="1" si="177"/>
        <v>0</v>
      </c>
      <c r="AT96" s="26">
        <f t="shared" ca="1" si="177"/>
        <v>0</v>
      </c>
      <c r="AU96" s="26">
        <f t="shared" ca="1" si="177"/>
        <v>0</v>
      </c>
      <c r="AV96" s="26">
        <f t="shared" ca="1" si="177"/>
        <v>0</v>
      </c>
      <c r="AW96" s="26">
        <f t="shared" ca="1" si="177"/>
        <v>0</v>
      </c>
      <c r="AX96" s="26">
        <f t="shared" ca="1" si="177"/>
        <v>0</v>
      </c>
      <c r="AY96" s="26">
        <f t="shared" ca="1" si="177"/>
        <v>0</v>
      </c>
      <c r="AZ96" s="26">
        <f t="shared" ca="1" si="177"/>
        <v>0</v>
      </c>
      <c r="BA96" s="26">
        <f t="shared" ca="1" si="177"/>
        <v>0</v>
      </c>
      <c r="BB96" s="26">
        <f t="shared" ca="1" si="177"/>
        <v>0</v>
      </c>
      <c r="BC96" s="26">
        <f t="shared" ca="1" si="177"/>
        <v>0</v>
      </c>
      <c r="BD96" s="26">
        <f t="shared" ca="1" si="177"/>
        <v>0</v>
      </c>
      <c r="BE96" s="26">
        <f t="shared" ca="1" si="177"/>
        <v>0</v>
      </c>
      <c r="BF96" s="26">
        <f t="shared" ca="1" si="177"/>
        <v>0</v>
      </c>
      <c r="BG96" s="26">
        <f t="shared" ca="1" si="177"/>
        <v>0</v>
      </c>
      <c r="BH96" s="26">
        <f t="shared" ca="1" si="177"/>
        <v>0</v>
      </c>
      <c r="BI96" s="26">
        <f t="shared" ca="1" si="177"/>
        <v>0</v>
      </c>
      <c r="BJ96" s="26">
        <f t="shared" ca="1" si="177"/>
        <v>0</v>
      </c>
      <c r="BK96" s="26">
        <f t="shared" ca="1" si="177"/>
        <v>0</v>
      </c>
      <c r="BL96" s="26">
        <f t="shared" ca="1" si="177"/>
        <v>0</v>
      </c>
      <c r="BM96" s="26">
        <f t="shared" ca="1" si="177"/>
        <v>0</v>
      </c>
      <c r="BN96" s="26">
        <f t="shared" ca="1" si="177"/>
        <v>0</v>
      </c>
      <c r="BO96" s="26">
        <f t="shared" ca="1" si="177"/>
        <v>0</v>
      </c>
      <c r="BP96" s="26">
        <f t="shared" ca="1" si="177"/>
        <v>0</v>
      </c>
      <c r="BQ96" s="26">
        <f t="shared" ca="1" si="177"/>
        <v>0</v>
      </c>
      <c r="BR96" s="26">
        <f t="shared" ca="1" si="177"/>
        <v>0</v>
      </c>
      <c r="BS96" s="282">
        <f ca="1">IF(ISNUMBER($A92),IF(INDEX(B94:G94,5)&lt;&gt;0,SIGN(INDEX(B94:G94,5))*INDIRECT(ADDRESS(1+ABS(INDEX(B94:G94,5)),COLUMN(Ksys!$B$1),1,TRUE,"Ksys")),0)+AB96,0)</f>
        <v>0</v>
      </c>
      <c r="BT96" s="284">
        <f ca="1"/>
        <v>0</v>
      </c>
      <c r="BU96" s="284">
        <f ca="1"/>
        <v>0</v>
      </c>
      <c r="BV96" s="284">
        <f ca="1"/>
        <v>0</v>
      </c>
      <c r="BW96" s="296" t="s">
        <v>102</v>
      </c>
      <c r="BX96" s="216">
        <f ca="1">IF(ISNUMBER($A92),$B93*(1-BX$1) + $C93*BX$1 + Knoten!$S$5*BX94,KnotenData!$H$2)</f>
        <v>0.5</v>
      </c>
      <c r="BY96" s="206">
        <f ca="1">IF(ISNUMBER($A92),$B93*(1-BY$1) + $C93*BY$1 + Knoten!$S$5*BY94,KnotenData!$H$2)</f>
        <v>0.5</v>
      </c>
      <c r="BZ96" s="206">
        <f ca="1">IF(ISNUMBER($A92),$B93*(1-BZ$1) + $C93*BZ$1 + Knoten!$S$5*BZ94,KnotenData!$H$2)</f>
        <v>0.5</v>
      </c>
      <c r="CA96" s="206">
        <f ca="1">IF(ISNUMBER($A92),$B93*(1-CA$1) + $C93*CA$1 + Knoten!$S$5*CA94,KnotenData!$H$2)</f>
        <v>0.5</v>
      </c>
      <c r="CB96" s="206">
        <f ca="1">IF(ISNUMBER($A92),$B93*(1-CB$1) + $C93*CB$1 + Knoten!$S$5*CB94,KnotenData!$H$2)</f>
        <v>0.5</v>
      </c>
      <c r="CC96" s="206">
        <f ca="1">IF(ISNUMBER($A92),$B93*(1-CC$1) + $C93*CC$1 + Knoten!$S$5*CC94,KnotenData!$H$2)</f>
        <v>0.5</v>
      </c>
      <c r="CD96" s="206">
        <f ca="1">IF(ISNUMBER($A92),$B93*(1-CD$1) + $C93*CD$1 + Knoten!$S$5*CD94,KnotenData!$H$2)</f>
        <v>0.5</v>
      </c>
      <c r="CE96" s="206">
        <f ca="1">IF(ISNUMBER($A92),$B93*(1-CE$1) + $C93*CE$1 + Knoten!$S$5*CE94,KnotenData!$H$2)</f>
        <v>0.5</v>
      </c>
      <c r="CF96" s="206">
        <f ca="1">IF(ISNUMBER($A92),$B93*(1-CF$1) + $C93*CF$1 + Knoten!$S$5*CF94,KnotenData!$H$2)</f>
        <v>0.5</v>
      </c>
      <c r="CG96" s="206">
        <f ca="1">IF(ISNUMBER($A92),$B93*(1-CG$1) + $C93*CG$1 + Knoten!$S$5*CG94,KnotenData!$H$2)</f>
        <v>0.5</v>
      </c>
      <c r="CH96" s="217">
        <f ca="1">IF(ISNUMBER($A92),$B93*(1-CH$1) + $C93*CH$1 + Knoten!$S$5*CH94,KnotenData!$H$2)</f>
        <v>0.5</v>
      </c>
      <c r="CI96" s="447">
        <f ca="1">MIN(BX96:CH96)</f>
        <v>0.5</v>
      </c>
      <c r="CJ96" s="447">
        <f ca="1">MIN(BX97:CH97)</f>
        <v>0.47499999999999998</v>
      </c>
      <c r="CK96" s="445"/>
      <c r="CM96" s="293" t="s">
        <v>102</v>
      </c>
      <c r="CN96" s="216">
        <f ca="1">IF(ISNUMBER($A92),$B93*(1-CN$1) + $C93*CN$1 + Momente!$D$6*CN94,KnotenData!$H$2)</f>
        <v>0.5</v>
      </c>
      <c r="CO96" s="206">
        <f ca="1">IF(ISNUMBER($A92),$B93*(1-CO$1) + $C93*CO$1 + Momente!$D$6*CO94,KnotenData!$H$2)</f>
        <v>0.5</v>
      </c>
      <c r="CP96" s="206">
        <f ca="1">IF(ISNUMBER($A92),$B93*(1-CP$1) + $C93*CP$1 + Momente!$D$6*CP94,KnotenData!$H$2)</f>
        <v>0.5</v>
      </c>
      <c r="CQ96" s="206">
        <f ca="1">IF(ISNUMBER($A92),$B93*(1-CQ$1) + $C93*CQ$1 + Momente!$D$6*CQ94,KnotenData!$H$2)</f>
        <v>0.5</v>
      </c>
      <c r="CR96" s="206">
        <f ca="1">IF(ISNUMBER($A92),$B93*(1-CR$1) + $C93*CR$1 + Momente!$D$6*CR94,KnotenData!$H$2)</f>
        <v>0.5</v>
      </c>
      <c r="CS96" s="206">
        <f ca="1">IF(ISNUMBER($A92),$B93*(1-CS$1) + $C93*CS$1 + Momente!$D$6*CS94,KnotenData!$H$2)</f>
        <v>0.5</v>
      </c>
      <c r="CT96" s="206">
        <f ca="1">IF(ISNUMBER($A92),$B93*(1-CT$1) + $C93*CT$1 + Momente!$D$6*CT94,KnotenData!$H$2)</f>
        <v>0.5</v>
      </c>
      <c r="CU96" s="206">
        <f ca="1">IF(ISNUMBER($A92),$B93*(1-CU$1) + $C93*CU$1 + Momente!$D$6*CU94,KnotenData!$H$2)</f>
        <v>0.5</v>
      </c>
      <c r="CV96" s="206">
        <f ca="1">IF(ISNUMBER($A92),$B93*(1-CV$1) + $C93*CV$1 + Momente!$D$6*CV94,KnotenData!$H$2)</f>
        <v>0.5</v>
      </c>
      <c r="CW96" s="206">
        <f ca="1">IF(ISNUMBER($A92),$B93*(1-CW$1) + $C93*CW$1 + Momente!$D$6*CW94,KnotenData!$H$2)</f>
        <v>0.5</v>
      </c>
      <c r="CX96" s="206">
        <f ca="1">IF(ISNUMBER($A92),$B93*(1-CX$1) + $C93*CX$1 + Momente!$D$6*CX94,KnotenData!$H$2)</f>
        <v>0.5</v>
      </c>
      <c r="CY96" s="206">
        <f ca="1">IF(ISNUMBER($A92),$C93,KnotenData!$H$2)</f>
        <v>0.5</v>
      </c>
      <c r="CZ96" s="206">
        <f ca="1">IF(ISNUMBER($A92),$B93,KnotenData!$H$2)</f>
        <v>0.5</v>
      </c>
      <c r="DA96" s="305">
        <f ca="1">IF(ISNUMBER($A92),CN96,KnotenData!$H$2)</f>
        <v>0.5</v>
      </c>
      <c r="DB96" s="7">
        <f ca="1">MIN(CN96:DA96)</f>
        <v>0.5</v>
      </c>
      <c r="DC96" s="8">
        <f ca="1">MIN(CN97:DA97)</f>
        <v>0.47499999999999998</v>
      </c>
      <c r="DD96" s="345"/>
      <c r="DF96" s="293" t="s">
        <v>102</v>
      </c>
      <c r="DG96" s="216">
        <f ca="1">IF(ISNUMBER($A92),$B93*(1-DG$1) + $C93*DG$1 + Querkräfte!$D$6*DG94,KnotenData!$H$2)</f>
        <v>0.5</v>
      </c>
      <c r="DH96" s="206">
        <f ca="1">IF(ISNUMBER($A92),$B93*(1-DH$1) + $C93*DH$1 + Querkräfte!$D$6*DH94,KnotenData!$H$2)</f>
        <v>0.5</v>
      </c>
      <c r="DI96" s="206">
        <f ca="1">IF(ISNUMBER($A92),$B93*(1-DI$1) + $C93*DI$1 + Querkräfte!$D$6*DI94,KnotenData!$H$2)</f>
        <v>0.5</v>
      </c>
      <c r="DJ96" s="206">
        <f ca="1">IF(ISNUMBER($A92),$B93*(1-DJ$1) + $C93*DJ$1 + Querkräfte!$D$6*DJ94,KnotenData!$H$2)</f>
        <v>0.5</v>
      </c>
      <c r="DK96" s="206">
        <f ca="1">IF(ISNUMBER($A92),$B93*(1-DK$1) + $C93*DK$1 + Querkräfte!$D$6*DK94,KnotenData!$H$2)</f>
        <v>0.5</v>
      </c>
      <c r="DL96" s="206">
        <f ca="1">IF(ISNUMBER($A92),$B93*(1-DL$1) + $C93*DL$1 + Querkräfte!$D$6*DL94,KnotenData!$H$2)</f>
        <v>0.5</v>
      </c>
      <c r="DM96" s="206">
        <f ca="1">IF(ISNUMBER($A92),$B93*(1-DM$1) + $C93*DM$1 + Querkräfte!$D$6*DM94,KnotenData!$H$2)</f>
        <v>0.5</v>
      </c>
      <c r="DN96" s="206">
        <f ca="1">IF(ISNUMBER($A92),$B93*(1-DN$1) + $C93*DN$1 + Querkräfte!$D$6*DN94,KnotenData!$H$2)</f>
        <v>0.5</v>
      </c>
      <c r="DO96" s="206">
        <f ca="1">IF(ISNUMBER($A92),$B93*(1-DO$1) + $C93*DO$1 + Querkräfte!$D$6*DO94,KnotenData!$H$2)</f>
        <v>0.5</v>
      </c>
      <c r="DP96" s="206">
        <f ca="1">IF(ISNUMBER($A92),$B93*(1-DP$1) + $C93*DP$1 + Querkräfte!$D$6*DP94,KnotenData!$H$2)</f>
        <v>0.5</v>
      </c>
      <c r="DQ96" s="206">
        <f ca="1">IF(ISNUMBER($A92),$B93*(1-DQ$1) + $C93*DQ$1 + Querkräfte!$D$6*DQ94,KnotenData!$H$2)</f>
        <v>0.5</v>
      </c>
      <c r="DR96" s="206">
        <f ca="1">IF(ISNUMBER($A92),$C93,KnotenData!$H$2)</f>
        <v>0.5</v>
      </c>
      <c r="DS96" s="206">
        <f ca="1">IF(ISNUMBER($A92),$B93,KnotenData!$H$2)</f>
        <v>0.5</v>
      </c>
      <c r="DT96" s="217">
        <f ca="1">IF(ISNUMBER($A92),DG96,KnotenData!$H$2)</f>
        <v>0.5</v>
      </c>
      <c r="DU96" s="145">
        <f ca="1">MIN(DG96:DQ96)</f>
        <v>0.5</v>
      </c>
      <c r="DV96" s="8">
        <f ca="1">MIN(DG97:DQ97)</f>
        <v>0.47499999999999998</v>
      </c>
      <c r="DW96" s="345"/>
      <c r="DY96" s="293" t="s">
        <v>102</v>
      </c>
      <c r="DZ96" s="216">
        <f ca="1">IF(ISNUMBER($A92),$B93*(1-DZ$1) + $C93*DZ$1 + Normalkräfte!$D$6*DZ94,KnotenData!$H$2)</f>
        <v>0.5</v>
      </c>
      <c r="EA96" s="206">
        <f ca="1">IF(ISNUMBER($A92),$B93*(1-EA$1) + $C93*EA$1 + Normalkräfte!$D$6*EA94,KnotenData!$H$2)</f>
        <v>0.5</v>
      </c>
      <c r="EB96" s="206">
        <f ca="1">IF(ISNUMBER($A92),$B93*(1-EB$1) + $C93*EB$1 + Normalkräfte!$D$6*EB94,KnotenData!$H$2)</f>
        <v>0.5</v>
      </c>
      <c r="EC96" s="206">
        <f ca="1">IF(ISNUMBER($A92),$B93*(1-EC$1) + $C93*EC$1 + Normalkräfte!$D$6*EC94,KnotenData!$H$2)</f>
        <v>0.5</v>
      </c>
      <c r="ED96" s="206">
        <f ca="1">IF(ISNUMBER($A92),$B93*(1-ED$1) + $C93*ED$1 + Normalkräfte!$D$6*ED94,KnotenData!$H$2)</f>
        <v>0.5</v>
      </c>
      <c r="EE96" s="206">
        <f ca="1">IF(ISNUMBER($A92),$B93*(1-EE$1) + $C93*EE$1 + Normalkräfte!$D$6*EE94,KnotenData!$H$2)</f>
        <v>0.5</v>
      </c>
      <c r="EF96" s="206">
        <f ca="1">IF(ISNUMBER($A92),$B93*(1-EF$1) + $C93*EF$1 + Normalkräfte!$D$6*EF94,KnotenData!$H$2)</f>
        <v>0.5</v>
      </c>
      <c r="EG96" s="206">
        <f ca="1">IF(ISNUMBER($A92),$B93*(1-EG$1) + $C93*EG$1 + Normalkräfte!$D$6*EG94,KnotenData!$H$2)</f>
        <v>0.5</v>
      </c>
      <c r="EH96" s="206">
        <f ca="1">IF(ISNUMBER($A92),$B93*(1-EH$1) + $C93*EH$1 + Normalkräfte!$D$6*EH94,KnotenData!$H$2)</f>
        <v>0.5</v>
      </c>
      <c r="EI96" s="206">
        <f ca="1">IF(ISNUMBER($A92),$B93*(1-EI$1) + $C93*EI$1 + Normalkräfte!$D$6*EI94,KnotenData!$H$2)</f>
        <v>0.5</v>
      </c>
      <c r="EJ96" s="206">
        <f ca="1">IF(ISNUMBER($A92),$B93*(1-EJ$1) + $C93*EJ$1 + Normalkräfte!$D$6*EJ94,KnotenData!$H$2)</f>
        <v>0.5</v>
      </c>
      <c r="EK96" s="256">
        <f ca="1">IF(ISNUMBER($A92),$C93,KnotenData!$H$2)</f>
        <v>0.5</v>
      </c>
      <c r="EL96" s="206">
        <f ca="1">IF(ISNUMBER($A92),$B93,KnotenData!$H$2)</f>
        <v>0.5</v>
      </c>
      <c r="EM96" s="217">
        <f ca="1">IF(ISNUMBER($A92),DZ96,KnotenData!$H$2)</f>
        <v>0.5</v>
      </c>
      <c r="EN96" s="7">
        <f ca="1">MIN(DZ96:EJ96)</f>
        <v>0.5</v>
      </c>
      <c r="EO96" s="8">
        <f ca="1">MIN(DZ97:EJ97)</f>
        <v>0.47499999999999998</v>
      </c>
      <c r="EP96" s="345"/>
    </row>
    <row r="97" spans="1:146" ht="13.5" thickBot="1" x14ac:dyDescent="0.25">
      <c r="E97" s="12"/>
      <c r="F97" s="12"/>
      <c r="J97" s="9">
        <v>0</v>
      </c>
      <c r="K97" s="10">
        <f ca="1">IF(G92=1,-6*B92/D92^2,IF(G92="2a",-3*B92/D92^2,IF(G92="2b",0,0)))</f>
        <v>0</v>
      </c>
      <c r="L97" s="146">
        <f ca="1">IF(G92=1,2*B92/D92,IF(G92="2a",0,IF(G92="2b",0,0)))</f>
        <v>0</v>
      </c>
      <c r="M97" s="9">
        <v>0</v>
      </c>
      <c r="N97" s="10">
        <f ca="1">-K97</f>
        <v>0</v>
      </c>
      <c r="O97" s="181">
        <f ca="1">IF(G92=1,4*B92/D92,IF(G92="2a",3*B92/D92,IF(G92="2b",0,0)))</f>
        <v>0</v>
      </c>
      <c r="P97" s="185">
        <v>0</v>
      </c>
      <c r="Q97" s="103">
        <v>0</v>
      </c>
      <c r="R97" s="103">
        <v>0</v>
      </c>
      <c r="S97" s="111">
        <v>0</v>
      </c>
      <c r="T97" s="111">
        <v>0</v>
      </c>
      <c r="U97" s="112">
        <v>1</v>
      </c>
      <c r="V97" s="9">
        <f ca="1"/>
        <v>0</v>
      </c>
      <c r="W97" s="10">
        <f ca="1"/>
        <v>0</v>
      </c>
      <c r="X97" s="146">
        <f ca="1"/>
        <v>0</v>
      </c>
      <c r="Y97" s="9">
        <f ca="1"/>
        <v>0</v>
      </c>
      <c r="Z97" s="10">
        <f ca="1"/>
        <v>0</v>
      </c>
      <c r="AA97" s="181">
        <f ca="1"/>
        <v>0</v>
      </c>
      <c r="AB97" s="62">
        <f ca="1">IF(ISNUMBER($A92),INDIRECT("System!" &amp; ADDRESS(A92+1,COLUMN(System!X91))),0)</f>
        <v>0</v>
      </c>
      <c r="AC97" s="302">
        <f ca="1">IF(G92=1,F92*D92^2/12,IF(G92="2a",F92*D92^2/8,IF(G92="2b",0,0)))</f>
        <v>0</v>
      </c>
      <c r="AD97" s="62">
        <f ca="1"/>
        <v>0</v>
      </c>
      <c r="AE97" s="9">
        <f t="shared" ref="AE97:BR97" ca="1" si="178">IF(ABS($G94)=AE$1,SIGN($G94),0)</f>
        <v>0</v>
      </c>
      <c r="AF97" s="10">
        <f t="shared" ca="1" si="178"/>
        <v>0</v>
      </c>
      <c r="AG97" s="10">
        <f t="shared" ca="1" si="178"/>
        <v>0</v>
      </c>
      <c r="AH97" s="10">
        <f t="shared" ca="1" si="178"/>
        <v>0</v>
      </c>
      <c r="AI97" s="10">
        <f t="shared" ca="1" si="178"/>
        <v>0</v>
      </c>
      <c r="AJ97" s="188">
        <f t="shared" ca="1" si="178"/>
        <v>0</v>
      </c>
      <c r="AK97" s="188">
        <f t="shared" ca="1" si="178"/>
        <v>0</v>
      </c>
      <c r="AL97" s="188">
        <f t="shared" ca="1" si="178"/>
        <v>0</v>
      </c>
      <c r="AM97" s="188">
        <f t="shared" ca="1" si="178"/>
        <v>0</v>
      </c>
      <c r="AN97" s="188">
        <f t="shared" ca="1" si="178"/>
        <v>0</v>
      </c>
      <c r="AO97" s="188">
        <f t="shared" ca="1" si="178"/>
        <v>0</v>
      </c>
      <c r="AP97" s="188">
        <f t="shared" ca="1" si="178"/>
        <v>0</v>
      </c>
      <c r="AQ97" s="188">
        <f t="shared" ca="1" si="178"/>
        <v>0</v>
      </c>
      <c r="AR97" s="188">
        <f t="shared" ca="1" si="178"/>
        <v>0</v>
      </c>
      <c r="AS97" s="188">
        <f t="shared" ca="1" si="178"/>
        <v>0</v>
      </c>
      <c r="AT97" s="188">
        <f t="shared" ca="1" si="178"/>
        <v>0</v>
      </c>
      <c r="AU97" s="188">
        <f t="shared" ca="1" si="178"/>
        <v>0</v>
      </c>
      <c r="AV97" s="188">
        <f t="shared" ca="1" si="178"/>
        <v>0</v>
      </c>
      <c r="AW97" s="188">
        <f t="shared" ca="1" si="178"/>
        <v>0</v>
      </c>
      <c r="AX97" s="188">
        <f t="shared" ca="1" si="178"/>
        <v>0</v>
      </c>
      <c r="AY97" s="188">
        <f t="shared" ca="1" si="178"/>
        <v>0</v>
      </c>
      <c r="AZ97" s="188">
        <f t="shared" ca="1" si="178"/>
        <v>0</v>
      </c>
      <c r="BA97" s="188">
        <f t="shared" ca="1" si="178"/>
        <v>0</v>
      </c>
      <c r="BB97" s="188">
        <f t="shared" ca="1" si="178"/>
        <v>0</v>
      </c>
      <c r="BC97" s="188">
        <f t="shared" ca="1" si="178"/>
        <v>0</v>
      </c>
      <c r="BD97" s="188">
        <f t="shared" ca="1" si="178"/>
        <v>0</v>
      </c>
      <c r="BE97" s="188">
        <f t="shared" ca="1" si="178"/>
        <v>0</v>
      </c>
      <c r="BF97" s="188">
        <f t="shared" ca="1" si="178"/>
        <v>0</v>
      </c>
      <c r="BG97" s="188">
        <f t="shared" ca="1" si="178"/>
        <v>0</v>
      </c>
      <c r="BH97" s="188">
        <f t="shared" ca="1" si="178"/>
        <v>0</v>
      </c>
      <c r="BI97" s="188">
        <f t="shared" ca="1" si="178"/>
        <v>0</v>
      </c>
      <c r="BJ97" s="188">
        <f t="shared" ca="1" si="178"/>
        <v>0</v>
      </c>
      <c r="BK97" s="188">
        <f t="shared" ca="1" si="178"/>
        <v>0</v>
      </c>
      <c r="BL97" s="188">
        <f t="shared" ca="1" si="178"/>
        <v>0</v>
      </c>
      <c r="BM97" s="188">
        <f t="shared" ca="1" si="178"/>
        <v>0</v>
      </c>
      <c r="BN97" s="188">
        <f t="shared" ca="1" si="178"/>
        <v>0</v>
      </c>
      <c r="BO97" s="188">
        <f t="shared" ca="1" si="178"/>
        <v>0</v>
      </c>
      <c r="BP97" s="188">
        <f t="shared" ca="1" si="178"/>
        <v>0</v>
      </c>
      <c r="BQ97" s="188">
        <f t="shared" ca="1" si="178"/>
        <v>0</v>
      </c>
      <c r="BR97" s="188">
        <f t="shared" ca="1" si="178"/>
        <v>0</v>
      </c>
      <c r="BS97" s="283">
        <f ca="1">IF(ISNUMBER($A92),IF(INDEX(B94:G94,6)&lt;&gt;0,SIGN(INDEX(B94:G94,6))*INDIRECT(ADDRESS(1+ABS(INDEX(B94:G94,6)),COLUMN(Ksys!$B$1),1,TRUE,"Ksys")),0)+AB97,0)</f>
        <v>0</v>
      </c>
      <c r="BT97" s="178">
        <f ca="1"/>
        <v>0</v>
      </c>
      <c r="BU97" s="178">
        <f ca="1"/>
        <v>0</v>
      </c>
      <c r="BV97" s="178">
        <f ca="1"/>
        <v>0</v>
      </c>
      <c r="BW97" s="297" t="s">
        <v>103</v>
      </c>
      <c r="BX97" s="218">
        <f ca="1">IF(ISNUMBER($A92),$D93*(1-BX$1) + $E93*BX$1 + Knoten!$S$5*BX95,KnotenData!$H$3)</f>
        <v>0.47499999999999998</v>
      </c>
      <c r="BY97" s="295">
        <f ca="1">IF(ISNUMBER($A92),$D93*(1-BY$1) + $E93*BY$1 + Knoten!$S$5*BY95,KnotenData!$H$3)</f>
        <v>0.47499999999999998</v>
      </c>
      <c r="BZ97" s="295">
        <f ca="1">IF(ISNUMBER($A92),$D93*(1-BZ$1) + $E93*BZ$1 + Knoten!$S$5*BZ95,KnotenData!$H$3)</f>
        <v>0.47499999999999998</v>
      </c>
      <c r="CA97" s="295">
        <f ca="1">IF(ISNUMBER($A92),$D93*(1-CA$1) + $E93*CA$1 + Knoten!$S$5*CA95,KnotenData!$H$3)</f>
        <v>0.47499999999999998</v>
      </c>
      <c r="CB97" s="295">
        <f ca="1">IF(ISNUMBER($A92),$D93*(1-CB$1) + $E93*CB$1 + Knoten!$S$5*CB95,KnotenData!$H$3)</f>
        <v>0.47499999999999998</v>
      </c>
      <c r="CC97" s="295">
        <f ca="1">IF(ISNUMBER($A92),$D93*(1-CC$1) + $E93*CC$1 + Knoten!$S$5*CC95,KnotenData!$H$3)</f>
        <v>0.47499999999999998</v>
      </c>
      <c r="CD97" s="295">
        <f ca="1">IF(ISNUMBER($A92),$D93*(1-CD$1) + $E93*CD$1 + Knoten!$S$5*CD95,KnotenData!$H$3)</f>
        <v>0.47499999999999998</v>
      </c>
      <c r="CE97" s="295">
        <f ca="1">IF(ISNUMBER($A92),$D93*(1-CE$1) + $E93*CE$1 + Knoten!$S$5*CE95,KnotenData!$H$3)</f>
        <v>0.47499999999999998</v>
      </c>
      <c r="CF97" s="295">
        <f ca="1">IF(ISNUMBER($A92),$D93*(1-CF$1) + $E93*CF$1 + Knoten!$S$5*CF95,KnotenData!$H$3)</f>
        <v>0.47499999999999998</v>
      </c>
      <c r="CG97" s="295">
        <f ca="1">IF(ISNUMBER($A92),$D93*(1-CG$1) + $E93*CG$1 + Knoten!$S$5*CG95,KnotenData!$H$3)</f>
        <v>0.47499999999999998</v>
      </c>
      <c r="CH97" s="219">
        <f ca="1">IF(ISNUMBER($A92),$D93*(1-CH$1) + $E93*CH$1 + Knoten!$S$5*CH95,KnotenData!$H$3)</f>
        <v>0.47499999999999998</v>
      </c>
      <c r="CI97" s="449">
        <f ca="1">MAX(BX96:CH96)</f>
        <v>0.5</v>
      </c>
      <c r="CJ97" s="448">
        <f ca="1">MAX(BX97:CH97)</f>
        <v>0.47499999999999998</v>
      </c>
      <c r="CK97" s="446"/>
      <c r="CL97">
        <v>16</v>
      </c>
      <c r="CM97" s="294" t="s">
        <v>103</v>
      </c>
      <c r="CN97" s="218">
        <f ca="1">IF(ISNUMBER($A92),$D93*(1-CN$1) + $E93*CN$1 + Momente!$D$6*CN95,KnotenData!$H$3)</f>
        <v>0.47499999999999998</v>
      </c>
      <c r="CO97" s="295">
        <f ca="1">IF(ISNUMBER($A92),$D93*(1-CO$1) + $E93*CO$1 + Momente!$D$6*CO95,KnotenData!$H$3)</f>
        <v>0.47499999999999998</v>
      </c>
      <c r="CP97" s="295">
        <f ca="1">IF(ISNUMBER($A92),$D93*(1-CP$1) + $E93*CP$1 + Momente!$D$6*CP95,KnotenData!$H$3)</f>
        <v>0.47499999999999998</v>
      </c>
      <c r="CQ97" s="295">
        <f ca="1">IF(ISNUMBER($A92),$D93*(1-CQ$1) + $E93*CQ$1 + Momente!$D$6*CQ95,KnotenData!$H$3)</f>
        <v>0.47499999999999998</v>
      </c>
      <c r="CR97" s="295">
        <f ca="1">IF(ISNUMBER($A92),$D93*(1-CR$1) + $E93*CR$1 + Momente!$D$6*CR95,KnotenData!$H$3)</f>
        <v>0.47499999999999998</v>
      </c>
      <c r="CS97" s="295">
        <f ca="1">IF(ISNUMBER($A92),$D93*(1-CS$1) + $E93*CS$1 + Momente!$D$6*CS95,KnotenData!$H$3)</f>
        <v>0.47499999999999998</v>
      </c>
      <c r="CT97" s="295">
        <f ca="1">IF(ISNUMBER($A92),$D93*(1-CT$1) + $E93*CT$1 + Momente!$D$6*CT95,KnotenData!$H$3)</f>
        <v>0.47499999999999998</v>
      </c>
      <c r="CU97" s="295">
        <f ca="1">IF(ISNUMBER($A92),$D93*(1-CU$1) + $E93*CU$1 + Momente!$D$6*CU95,KnotenData!$H$3)</f>
        <v>0.47499999999999998</v>
      </c>
      <c r="CV97" s="295">
        <f ca="1">IF(ISNUMBER($A92),$D93*(1-CV$1) + $E93*CV$1 + Momente!$D$6*CV95,KnotenData!$H$3)</f>
        <v>0.47499999999999998</v>
      </c>
      <c r="CW97" s="295">
        <f ca="1">IF(ISNUMBER($A92),$D93*(1-CW$1) + $E93*CW$1 + Momente!$D$6*CW95,KnotenData!$H$3)</f>
        <v>0.47499999999999998</v>
      </c>
      <c r="CX97" s="295">
        <f ca="1">IF(ISNUMBER($A92),$D93*(1-CX$1) + $E93*CX$1 + Momente!$D$6*CX95,KnotenData!$H$3)</f>
        <v>0.47499999999999998</v>
      </c>
      <c r="CY97" s="295">
        <f ca="1">IF(ISNUMBER($A92),$E93,KnotenData!$H$3)</f>
        <v>0.47499999999999998</v>
      </c>
      <c r="CZ97" s="295">
        <f ca="1">IF(ISNUMBER($A92),$D93,KnotenData!$H$3)</f>
        <v>0.47499999999999998</v>
      </c>
      <c r="DA97" s="306">
        <f ca="1">IF(ISNUMBER($A92),CN97,KnotenData!$H$3)</f>
        <v>0.47499999999999998</v>
      </c>
      <c r="DB97" s="9">
        <f ca="1">MAX(CN96:DA96)</f>
        <v>0.5</v>
      </c>
      <c r="DC97" s="146">
        <f ca="1">MAX(CN97:DA97)</f>
        <v>0.47499999999999998</v>
      </c>
      <c r="DD97" s="346"/>
      <c r="DE97">
        <v>16</v>
      </c>
      <c r="DF97" s="294" t="s">
        <v>103</v>
      </c>
      <c r="DG97" s="218">
        <f ca="1">IF(ISNUMBER($A92),$D93*(1-DG$1) + $E93*DG$1 + Querkräfte!$D$6*DG95,KnotenData!$H$3)</f>
        <v>0.47499999999999998</v>
      </c>
      <c r="DH97" s="295">
        <f ca="1">IF(ISNUMBER($A92),$D93*(1-DH$1) + $E93*DH$1 + Querkräfte!$D$6*DH95,KnotenData!$H$3)</f>
        <v>0.47499999999999998</v>
      </c>
      <c r="DI97" s="295">
        <f ca="1">IF(ISNUMBER($A92),$D93*(1-DI$1) + $E93*DI$1 + Querkräfte!$D$6*DI95,KnotenData!$H$3)</f>
        <v>0.47499999999999998</v>
      </c>
      <c r="DJ97" s="295">
        <f ca="1">IF(ISNUMBER($A92),$D93*(1-DJ$1) + $E93*DJ$1 + Querkräfte!$D$6*DJ95,KnotenData!$H$3)</f>
        <v>0.47499999999999998</v>
      </c>
      <c r="DK97" s="295">
        <f ca="1">IF(ISNUMBER($A92),$D93*(1-DK$1) + $E93*DK$1 + Querkräfte!$D$6*DK95,KnotenData!$H$3)</f>
        <v>0.47499999999999998</v>
      </c>
      <c r="DL97" s="295">
        <f ca="1">IF(ISNUMBER($A92),$D93*(1-DL$1) + $E93*DL$1 + Querkräfte!$D$6*DL95,KnotenData!$H$3)</f>
        <v>0.47499999999999998</v>
      </c>
      <c r="DM97" s="295">
        <f ca="1">IF(ISNUMBER($A92),$D93*(1-DM$1) + $E93*DM$1 + Querkräfte!$D$6*DM95,KnotenData!$H$3)</f>
        <v>0.47499999999999998</v>
      </c>
      <c r="DN97" s="295">
        <f ca="1">IF(ISNUMBER($A92),$D93*(1-DN$1) + $E93*DN$1 + Querkräfte!$D$6*DN95,KnotenData!$H$3)</f>
        <v>0.47499999999999998</v>
      </c>
      <c r="DO97" s="295">
        <f ca="1">IF(ISNUMBER($A92),$D93*(1-DO$1) + $E93*DO$1 + Querkräfte!$D$6*DO95,KnotenData!$H$3)</f>
        <v>0.47499999999999998</v>
      </c>
      <c r="DP97" s="295">
        <f ca="1">IF(ISNUMBER($A92),$D93*(1-DP$1) + $E93*DP$1 + Querkräfte!$D$6*DP95,KnotenData!$H$3)</f>
        <v>0.47499999999999998</v>
      </c>
      <c r="DQ97" s="295">
        <f ca="1">IF(ISNUMBER($A92),$D93*(1-DQ$1) + $E93*DQ$1 + Querkräfte!$D$6*DQ95,KnotenData!$H$3)</f>
        <v>0.47499999999999998</v>
      </c>
      <c r="DR97" s="295">
        <f ca="1">IF(ISNUMBER($A92),$E93,KnotenData!$H$3)</f>
        <v>0.47499999999999998</v>
      </c>
      <c r="DS97" s="295">
        <f ca="1">IF(ISNUMBER($A92),$D93,KnotenData!$H$3)</f>
        <v>0.47499999999999998</v>
      </c>
      <c r="DT97" s="219">
        <f ca="1">IF(ISNUMBER($A92),DG97,KnotenData!$H$3)</f>
        <v>0.47499999999999998</v>
      </c>
      <c r="DU97" s="11">
        <f ca="1">MAX(DG96:DQ96)</f>
        <v>0.5</v>
      </c>
      <c r="DV97" s="146">
        <f ca="1">MAX(DG97:DQ97)</f>
        <v>0.47499999999999998</v>
      </c>
      <c r="DW97" s="346"/>
      <c r="DX97">
        <v>16</v>
      </c>
      <c r="DY97" s="294" t="s">
        <v>103</v>
      </c>
      <c r="DZ97" s="218">
        <f ca="1">IF(ISNUMBER($A92),$D93*(1-DZ$1) + $E93*DZ$1 + Normalkräfte!$D$6*DZ95,KnotenData!$H$3)</f>
        <v>0.47499999999999998</v>
      </c>
      <c r="EA97" s="295">
        <f ca="1">IF(ISNUMBER($A92),$D93*(1-EA$1) + $E93*EA$1 + Normalkräfte!$D$6*EA95,KnotenData!$H$3)</f>
        <v>0.47499999999999998</v>
      </c>
      <c r="EB97" s="295">
        <f ca="1">IF(ISNUMBER($A92),$D93*(1-EB$1) + $E93*EB$1 + Normalkräfte!$D$6*EB95,KnotenData!$H$3)</f>
        <v>0.47499999999999998</v>
      </c>
      <c r="EC97" s="295">
        <f ca="1">IF(ISNUMBER($A92),$D93*(1-EC$1) + $E93*EC$1 + Normalkräfte!$D$6*EC95,KnotenData!$H$3)</f>
        <v>0.47499999999999998</v>
      </c>
      <c r="ED97" s="295">
        <f ca="1">IF(ISNUMBER($A92),$D93*(1-ED$1) + $E93*ED$1 + Normalkräfte!$D$6*ED95,KnotenData!$H$3)</f>
        <v>0.47499999999999998</v>
      </c>
      <c r="EE97" s="295">
        <f ca="1">IF(ISNUMBER($A92),$D93*(1-EE$1) + $E93*EE$1 + Normalkräfte!$D$6*EE95,KnotenData!$H$3)</f>
        <v>0.47499999999999998</v>
      </c>
      <c r="EF97" s="295">
        <f ca="1">IF(ISNUMBER($A92),$D93*(1-EF$1) + $E93*EF$1 + Normalkräfte!$D$6*EF95,KnotenData!$H$3)</f>
        <v>0.47499999999999998</v>
      </c>
      <c r="EG97" s="295">
        <f ca="1">IF(ISNUMBER($A92),$D93*(1-EG$1) + $E93*EG$1 + Normalkräfte!$D$6*EG95,KnotenData!$H$3)</f>
        <v>0.47499999999999998</v>
      </c>
      <c r="EH97" s="295">
        <f ca="1">IF(ISNUMBER($A92),$D93*(1-EH$1) + $E93*EH$1 + Normalkräfte!$D$6*EH95,KnotenData!$H$3)</f>
        <v>0.47499999999999998</v>
      </c>
      <c r="EI97" s="295">
        <f ca="1">IF(ISNUMBER($A92),$D93*(1-EI$1) + $E93*EI$1 + Normalkräfte!$D$6*EI95,KnotenData!$H$3)</f>
        <v>0.47499999999999998</v>
      </c>
      <c r="EJ97" s="295">
        <f ca="1">IF(ISNUMBER($A92),$D93*(1-EJ$1) + $E93*EJ$1 + Normalkräfte!$D$6*EJ95,KnotenData!$H$3)</f>
        <v>0.47499999999999998</v>
      </c>
      <c r="EK97" s="295">
        <f ca="1">IF(ISNUMBER($A92),$E93,KnotenData!$H$3)</f>
        <v>0.47499999999999998</v>
      </c>
      <c r="EL97" s="295">
        <f ca="1">IF(ISNUMBER($A92),$D93,KnotenData!$H$3)</f>
        <v>0.47499999999999998</v>
      </c>
      <c r="EM97" s="219">
        <f ca="1">IF(ISNUMBER($A92),DZ97,KnotenData!$H$3)</f>
        <v>0.47499999999999998</v>
      </c>
      <c r="EN97" s="9">
        <f ca="1">MAX(DZ96:EJ96)</f>
        <v>0.5</v>
      </c>
      <c r="EO97" s="146">
        <f ca="1">MAX(DZ97:EJ97)</f>
        <v>0.47499999999999998</v>
      </c>
      <c r="EP97" s="346"/>
    </row>
    <row r="98" spans="1:146" x14ac:dyDescent="0.2">
      <c r="A98" s="205" t="str">
        <f ca="1">IF(ISNUMBER(INDIRECT("System!C" &amp;(ROW(A98)+4)/6+1)),INDIRECT("System!B"&amp;(ROW(A98)+4)/6+1),"")</f>
        <v/>
      </c>
      <c r="B98" s="206">
        <f ca="1">IF(ISNUMBER(A98),INDIRECT("System!" &amp; ADDRESS(A98 +1,COLUMN(System!E97))),0)</f>
        <v>0</v>
      </c>
      <c r="C98" s="206">
        <f ca="1">IF(ISNUMBER(A98),INDIRECT("System!" &amp; ADDRESS(A98 +1,COLUMN(System!F97))),0)</f>
        <v>0</v>
      </c>
      <c r="D98" s="209">
        <f ca="1">IF(ISNUMBER(A98),INDIRECT("System!" &amp; ADDRESS(A98 +1,COLUMN(System!O97))),0)</f>
        <v>0</v>
      </c>
      <c r="E98" s="208" t="str">
        <f ca="1">IF(ISNUMBER(A98),INDIRECT("System!" &amp; ADDRESS(A98 +1,COLUMN(System!G97))),"")</f>
        <v/>
      </c>
      <c r="F98" s="208" t="str">
        <f ca="1">IF(ISNUMBER(A98),INDIRECT("System!" &amp; ADDRESS(A98 +1,COLUMN(System!H97))),"")</f>
        <v/>
      </c>
      <c r="G98" s="261" t="str">
        <f ca="1">IF(ISNUMBER(A98),INDIRECT("System!" &amp; ADDRESS(A98 +1,COLUMN(System!I97))),"")</f>
        <v/>
      </c>
      <c r="H98" s="207">
        <f ca="1">IF(ISNUMBER($A98),INDIRECT("System!" &amp; ADDRESS($A98 +1,COLUMN(System!Q97))),0)</f>
        <v>0</v>
      </c>
      <c r="I98" s="209">
        <f ca="1">IF(ISNUMBER($A98),INDIRECT("System!" &amp; ADDRESS($A98 +1,COLUMN(System!R97))),0)</f>
        <v>0</v>
      </c>
      <c r="J98" s="179">
        <f ca="1">IF(ISNUMBER(A98),C98/D98,0)</f>
        <v>0</v>
      </c>
      <c r="K98" s="5">
        <v>0</v>
      </c>
      <c r="L98" s="6">
        <v>0</v>
      </c>
      <c r="M98" s="4">
        <f ca="1">-J98</f>
        <v>0</v>
      </c>
      <c r="N98" s="5">
        <v>0</v>
      </c>
      <c r="O98" s="6">
        <v>0</v>
      </c>
      <c r="P98" s="141">
        <f ca="1">I98</f>
        <v>0</v>
      </c>
      <c r="Q98" s="142">
        <f ca="1">-H98</f>
        <v>0</v>
      </c>
      <c r="R98" s="142">
        <v>0</v>
      </c>
      <c r="S98" s="182">
        <v>0</v>
      </c>
      <c r="T98" s="182">
        <v>0</v>
      </c>
      <c r="U98" s="183">
        <v>0</v>
      </c>
      <c r="V98" s="179">
        <f t="array" aca="1" ref="V98:AA103" ca="1">MMULT(TRANSPOSE(P98:U103),MMULT(J98:O103,P98:U103))</f>
        <v>0</v>
      </c>
      <c r="W98" s="5">
        <f ca="1"/>
        <v>0</v>
      </c>
      <c r="X98" s="6">
        <f ca="1"/>
        <v>0</v>
      </c>
      <c r="Y98" s="4">
        <f ca="1"/>
        <v>0</v>
      </c>
      <c r="Z98" s="5">
        <f ca="1"/>
        <v>0</v>
      </c>
      <c r="AA98" s="6">
        <f ca="1"/>
        <v>0</v>
      </c>
      <c r="AB98" s="60">
        <f ca="1">IF(ISNUMBER($A98),INDIRECT("System!" &amp; ADDRESS(A98+1,COLUMN(System!S97))),0)</f>
        <v>0</v>
      </c>
      <c r="AC98" s="299">
        <f ca="1">IF(ISNUMBER(E98),E98*D98/2,0)</f>
        <v>0</v>
      </c>
      <c r="AD98" s="60">
        <f t="array" aca="1" ref="AD98:AD103" ca="1">MMULT(TRANSPOSE(P98:U103),AC98:AC103) - MMULT(V98:AA103,AB98:AB103)</f>
        <v>0</v>
      </c>
      <c r="AE98" s="4">
        <f t="shared" ref="AE98:BR98" ca="1" si="179">IF(ABS($B100)=AE$1,SIGN($B100),0)</f>
        <v>0</v>
      </c>
      <c r="AF98" s="5">
        <f t="shared" ca="1" si="179"/>
        <v>0</v>
      </c>
      <c r="AG98" s="5">
        <f t="shared" ca="1" si="179"/>
        <v>0</v>
      </c>
      <c r="AH98" s="5">
        <f t="shared" ca="1" si="179"/>
        <v>0</v>
      </c>
      <c r="AI98" s="5">
        <f t="shared" ca="1" si="179"/>
        <v>0</v>
      </c>
      <c r="AJ98" s="189">
        <f t="shared" ca="1" si="179"/>
        <v>0</v>
      </c>
      <c r="AK98" s="189">
        <f t="shared" ca="1" si="179"/>
        <v>0</v>
      </c>
      <c r="AL98" s="189">
        <f t="shared" ca="1" si="179"/>
        <v>0</v>
      </c>
      <c r="AM98" s="189">
        <f t="shared" ca="1" si="179"/>
        <v>0</v>
      </c>
      <c r="AN98" s="189">
        <f t="shared" ca="1" si="179"/>
        <v>0</v>
      </c>
      <c r="AO98" s="189">
        <f t="shared" ca="1" si="179"/>
        <v>0</v>
      </c>
      <c r="AP98" s="189">
        <f t="shared" ca="1" si="179"/>
        <v>0</v>
      </c>
      <c r="AQ98" s="189">
        <f t="shared" ca="1" si="179"/>
        <v>0</v>
      </c>
      <c r="AR98" s="189">
        <f t="shared" ca="1" si="179"/>
        <v>0</v>
      </c>
      <c r="AS98" s="189">
        <f t="shared" ca="1" si="179"/>
        <v>0</v>
      </c>
      <c r="AT98" s="189">
        <f t="shared" ca="1" si="179"/>
        <v>0</v>
      </c>
      <c r="AU98" s="189">
        <f t="shared" ca="1" si="179"/>
        <v>0</v>
      </c>
      <c r="AV98" s="189">
        <f t="shared" ca="1" si="179"/>
        <v>0</v>
      </c>
      <c r="AW98" s="189">
        <f t="shared" ca="1" si="179"/>
        <v>0</v>
      </c>
      <c r="AX98" s="189">
        <f t="shared" ca="1" si="179"/>
        <v>0</v>
      </c>
      <c r="AY98" s="189">
        <f t="shared" ca="1" si="179"/>
        <v>0</v>
      </c>
      <c r="AZ98" s="189">
        <f t="shared" ca="1" si="179"/>
        <v>0</v>
      </c>
      <c r="BA98" s="189">
        <f t="shared" ca="1" si="179"/>
        <v>0</v>
      </c>
      <c r="BB98" s="189">
        <f t="shared" ca="1" si="179"/>
        <v>0</v>
      </c>
      <c r="BC98" s="189">
        <f t="shared" ca="1" si="179"/>
        <v>0</v>
      </c>
      <c r="BD98" s="189">
        <f t="shared" ca="1" si="179"/>
        <v>0</v>
      </c>
      <c r="BE98" s="189">
        <f t="shared" ca="1" si="179"/>
        <v>0</v>
      </c>
      <c r="BF98" s="189">
        <f t="shared" ca="1" si="179"/>
        <v>0</v>
      </c>
      <c r="BG98" s="189">
        <f t="shared" ca="1" si="179"/>
        <v>0</v>
      </c>
      <c r="BH98" s="189">
        <f t="shared" ca="1" si="179"/>
        <v>0</v>
      </c>
      <c r="BI98" s="189">
        <f t="shared" ca="1" si="179"/>
        <v>0</v>
      </c>
      <c r="BJ98" s="189">
        <f t="shared" ca="1" si="179"/>
        <v>0</v>
      </c>
      <c r="BK98" s="189">
        <f t="shared" ca="1" si="179"/>
        <v>0</v>
      </c>
      <c r="BL98" s="189">
        <f t="shared" ca="1" si="179"/>
        <v>0</v>
      </c>
      <c r="BM98" s="189">
        <f t="shared" ca="1" si="179"/>
        <v>0</v>
      </c>
      <c r="BN98" s="189">
        <f t="shared" ca="1" si="179"/>
        <v>0</v>
      </c>
      <c r="BO98" s="189">
        <f t="shared" ca="1" si="179"/>
        <v>0</v>
      </c>
      <c r="BP98" s="189">
        <f t="shared" ca="1" si="179"/>
        <v>0</v>
      </c>
      <c r="BQ98" s="189">
        <f t="shared" ca="1" si="179"/>
        <v>0</v>
      </c>
      <c r="BR98" s="189">
        <f t="shared" ca="1" si="179"/>
        <v>0</v>
      </c>
      <c r="BS98" s="281">
        <f ca="1">IF(ISNUMBER($A98),IF(INDEX(B100:G100,1)&lt;&gt;0,SIGN(INDEX(B100:G100,1))*INDIRECT(ADDRESS(1+ABS(INDEX(B100:G100,1)),COLUMN(Ksys!$B$1),1,TRUE,"Ksys")),0)+AB98,0)</f>
        <v>0</v>
      </c>
      <c r="BT98" s="60">
        <f t="array" aca="1" ref="BT98:BT103" ca="1">MMULT(P98:U103,BS98:BS103)</f>
        <v>0</v>
      </c>
      <c r="BU98" s="60">
        <f t="array" aca="1" ref="BU98:BU103" ca="1">MMULT(J98:O103,BT98:BT103)-AC98:AC103</f>
        <v>0</v>
      </c>
      <c r="BV98" s="60">
        <f t="array" aca="1" ref="BV98:BV100" ca="1">-(MMULT(J98:O100,BT98:BT103)-AC98:AC100)</f>
        <v>0</v>
      </c>
      <c r="BW98" s="286" t="s">
        <v>97</v>
      </c>
      <c r="BX98" s="4">
        <f t="shared" ref="BX98:CH98" ca="1" si="180">IF(ISNUMBER($A98),$BT98*(1-BX$1) + $BT101*BX$1,0)</f>
        <v>0</v>
      </c>
      <c r="BY98" s="5">
        <f t="shared" ca="1" si="180"/>
        <v>0</v>
      </c>
      <c r="BZ98" s="5">
        <f t="shared" ca="1" si="180"/>
        <v>0</v>
      </c>
      <c r="CA98" s="5">
        <f t="shared" ca="1" si="180"/>
        <v>0</v>
      </c>
      <c r="CB98" s="5">
        <f t="shared" ca="1" si="180"/>
        <v>0</v>
      </c>
      <c r="CC98" s="5">
        <f t="shared" ca="1" si="180"/>
        <v>0</v>
      </c>
      <c r="CD98" s="5">
        <f t="shared" ca="1" si="180"/>
        <v>0</v>
      </c>
      <c r="CE98" s="5">
        <f t="shared" ca="1" si="180"/>
        <v>0</v>
      </c>
      <c r="CF98" s="5">
        <f t="shared" ca="1" si="180"/>
        <v>0</v>
      </c>
      <c r="CG98" s="5">
        <f t="shared" ca="1" si="180"/>
        <v>0</v>
      </c>
      <c r="CH98" s="6">
        <f t="shared" ca="1" si="180"/>
        <v>0</v>
      </c>
      <c r="CI98" s="343"/>
      <c r="CJ98" s="343"/>
      <c r="CK98" s="308"/>
      <c r="CM98" s="290" t="s">
        <v>97</v>
      </c>
      <c r="CN98" s="4">
        <v>0</v>
      </c>
      <c r="CO98" s="5">
        <v>0</v>
      </c>
      <c r="CP98" s="5">
        <v>0</v>
      </c>
      <c r="CQ98" s="5">
        <v>0</v>
      </c>
      <c r="CR98" s="5">
        <v>0</v>
      </c>
      <c r="CS98" s="5">
        <v>0</v>
      </c>
      <c r="CT98" s="5">
        <v>0</v>
      </c>
      <c r="CU98" s="5">
        <v>0</v>
      </c>
      <c r="CV98" s="5">
        <v>0</v>
      </c>
      <c r="CW98" s="5">
        <v>0</v>
      </c>
      <c r="CX98" s="5">
        <v>0</v>
      </c>
      <c r="CY98" s="5"/>
      <c r="CZ98" s="5"/>
      <c r="DA98" s="189"/>
      <c r="DB98" s="307"/>
      <c r="DC98" s="308"/>
      <c r="DD98" s="343"/>
      <c r="DF98" s="290" t="s">
        <v>97</v>
      </c>
      <c r="DG98" s="4">
        <v>0</v>
      </c>
      <c r="DH98" s="5">
        <v>0</v>
      </c>
      <c r="DI98" s="5">
        <v>0</v>
      </c>
      <c r="DJ98" s="5">
        <v>0</v>
      </c>
      <c r="DK98" s="5">
        <v>0</v>
      </c>
      <c r="DL98" s="5">
        <v>0</v>
      </c>
      <c r="DM98" s="5">
        <v>0</v>
      </c>
      <c r="DN98" s="5">
        <v>0</v>
      </c>
      <c r="DO98" s="5">
        <v>0</v>
      </c>
      <c r="DP98" s="5">
        <v>0</v>
      </c>
      <c r="DQ98" s="5">
        <v>0</v>
      </c>
      <c r="DR98" s="5"/>
      <c r="DS98" s="5"/>
      <c r="DT98" s="6"/>
      <c r="DU98" s="325"/>
      <c r="DV98" s="308"/>
      <c r="DW98" s="343"/>
      <c r="DY98" s="290" t="s">
        <v>97</v>
      </c>
      <c r="DZ98" s="4">
        <v>0</v>
      </c>
      <c r="EA98" s="5">
        <v>0</v>
      </c>
      <c r="EB98" s="5">
        <v>0</v>
      </c>
      <c r="EC98" s="5">
        <v>0</v>
      </c>
      <c r="ED98" s="5">
        <v>0</v>
      </c>
      <c r="EE98" s="5">
        <v>0</v>
      </c>
      <c r="EF98" s="5">
        <v>0</v>
      </c>
      <c r="EG98" s="5">
        <v>0</v>
      </c>
      <c r="EH98" s="5">
        <v>0</v>
      </c>
      <c r="EI98" s="5">
        <v>0</v>
      </c>
      <c r="EJ98" s="5">
        <v>0</v>
      </c>
      <c r="EK98" s="5"/>
      <c r="EL98" s="5"/>
      <c r="EM98" s="6"/>
      <c r="EN98" s="307"/>
      <c r="EO98" s="308"/>
      <c r="EP98" s="343"/>
    </row>
    <row r="99" spans="1:146" x14ac:dyDescent="0.2">
      <c r="B99" s="1">
        <f ca="1">IF(ISNUMBER($A98),INDIRECT(ADDRESS($A98+1,COLUMN(System!K$2),1,TRUE,"System")),0)</f>
        <v>0</v>
      </c>
      <c r="C99" s="1">
        <f ca="1">IF(ISNUMBER($A98),INDIRECT(ADDRESS($A98+1,COLUMN(System!L$2),1,TRUE,"System")),0)</f>
        <v>0</v>
      </c>
      <c r="D99" s="1">
        <f ca="1">IF(ISNUMBER($A98),INDIRECT(ADDRESS($A98+1,COLUMN(System!M$2),1,TRUE,"System")),0)</f>
        <v>0</v>
      </c>
      <c r="E99" s="1">
        <f ca="1">IF(ISNUMBER($A98),INDIRECT(ADDRESS($A98+1,COLUMN(System!N$2),1,TRUE,"System")),0)</f>
        <v>0</v>
      </c>
      <c r="F99" s="12"/>
      <c r="J99" s="7">
        <v>0</v>
      </c>
      <c r="K99" s="180">
        <f ca="1">IF(G98=1,12*B98/D98^3,IF(G98="2a",3*B98/D98^3,IF(G98="2b",3*B98/D98^3,0)))</f>
        <v>0</v>
      </c>
      <c r="L99" s="8">
        <f ca="1">K100</f>
        <v>0</v>
      </c>
      <c r="M99" s="7">
        <v>0</v>
      </c>
      <c r="N99" s="1">
        <f ca="1">-K99</f>
        <v>0</v>
      </c>
      <c r="O99" s="8">
        <f ca="1">K103</f>
        <v>0</v>
      </c>
      <c r="P99" s="143">
        <f ca="1">H98</f>
        <v>0</v>
      </c>
      <c r="Q99" s="99">
        <f ca="1">I98</f>
        <v>0</v>
      </c>
      <c r="R99" s="99">
        <v>0</v>
      </c>
      <c r="S99" s="101">
        <v>0</v>
      </c>
      <c r="T99" s="101">
        <v>0</v>
      </c>
      <c r="U99" s="110">
        <v>0</v>
      </c>
      <c r="V99" s="7">
        <f ca="1"/>
        <v>0</v>
      </c>
      <c r="W99" s="180">
        <f ca="1"/>
        <v>0</v>
      </c>
      <c r="X99" s="8">
        <f ca="1"/>
        <v>0</v>
      </c>
      <c r="Y99" s="7">
        <f ca="1"/>
        <v>0</v>
      </c>
      <c r="Z99" s="1">
        <f ca="1"/>
        <v>0</v>
      </c>
      <c r="AA99" s="8">
        <f ca="1"/>
        <v>0</v>
      </c>
      <c r="AB99" s="61">
        <f ca="1">IF(ISNUMBER($A98),INDIRECT("System!" &amp; ADDRESS(A98+1,COLUMN(System!T97))),0)</f>
        <v>0</v>
      </c>
      <c r="AC99" s="301">
        <f ca="1">IF(G98=1,F98*D98/2,IF(G98="2a",F98*3/8*D98,IF(G98="2b",F98*5/8*D98,0)))</f>
        <v>0</v>
      </c>
      <c r="AD99" s="61">
        <f ca="1"/>
        <v>0</v>
      </c>
      <c r="AE99" s="7">
        <f t="shared" ref="AE99:BR99" ca="1" si="181">IF(ABS($C100)=AE$1,SIGN($C100),0)</f>
        <v>0</v>
      </c>
      <c r="AF99" s="1">
        <f t="shared" ca="1" si="181"/>
        <v>0</v>
      </c>
      <c r="AG99" s="1">
        <f t="shared" ca="1" si="181"/>
        <v>0</v>
      </c>
      <c r="AH99" s="1">
        <f t="shared" ca="1" si="181"/>
        <v>0</v>
      </c>
      <c r="AI99" s="1">
        <f t="shared" ca="1" si="181"/>
        <v>0</v>
      </c>
      <c r="AJ99" s="26">
        <f t="shared" ca="1" si="181"/>
        <v>0</v>
      </c>
      <c r="AK99" s="26">
        <f t="shared" ca="1" si="181"/>
        <v>0</v>
      </c>
      <c r="AL99" s="26">
        <f t="shared" ca="1" si="181"/>
        <v>0</v>
      </c>
      <c r="AM99" s="26">
        <f t="shared" ca="1" si="181"/>
        <v>0</v>
      </c>
      <c r="AN99" s="26">
        <f t="shared" ca="1" si="181"/>
        <v>0</v>
      </c>
      <c r="AO99" s="26">
        <f t="shared" ca="1" si="181"/>
        <v>0</v>
      </c>
      <c r="AP99" s="26">
        <f t="shared" ca="1" si="181"/>
        <v>0</v>
      </c>
      <c r="AQ99" s="26">
        <f t="shared" ca="1" si="181"/>
        <v>0</v>
      </c>
      <c r="AR99" s="26">
        <f t="shared" ca="1" si="181"/>
        <v>0</v>
      </c>
      <c r="AS99" s="26">
        <f t="shared" ca="1" si="181"/>
        <v>0</v>
      </c>
      <c r="AT99" s="26">
        <f t="shared" ca="1" si="181"/>
        <v>0</v>
      </c>
      <c r="AU99" s="26">
        <f t="shared" ca="1" si="181"/>
        <v>0</v>
      </c>
      <c r="AV99" s="26">
        <f t="shared" ca="1" si="181"/>
        <v>0</v>
      </c>
      <c r="AW99" s="26">
        <f t="shared" ca="1" si="181"/>
        <v>0</v>
      </c>
      <c r="AX99" s="26">
        <f t="shared" ca="1" si="181"/>
        <v>0</v>
      </c>
      <c r="AY99" s="26">
        <f t="shared" ca="1" si="181"/>
        <v>0</v>
      </c>
      <c r="AZ99" s="26">
        <f t="shared" ca="1" si="181"/>
        <v>0</v>
      </c>
      <c r="BA99" s="26">
        <f t="shared" ca="1" si="181"/>
        <v>0</v>
      </c>
      <c r="BB99" s="26">
        <f t="shared" ca="1" si="181"/>
        <v>0</v>
      </c>
      <c r="BC99" s="26">
        <f t="shared" ca="1" si="181"/>
        <v>0</v>
      </c>
      <c r="BD99" s="26">
        <f t="shared" ca="1" si="181"/>
        <v>0</v>
      </c>
      <c r="BE99" s="26">
        <f t="shared" ca="1" si="181"/>
        <v>0</v>
      </c>
      <c r="BF99" s="26">
        <f t="shared" ca="1" si="181"/>
        <v>0</v>
      </c>
      <c r="BG99" s="26">
        <f t="shared" ca="1" si="181"/>
        <v>0</v>
      </c>
      <c r="BH99" s="26">
        <f t="shared" ca="1" si="181"/>
        <v>0</v>
      </c>
      <c r="BI99" s="26">
        <f t="shared" ca="1" si="181"/>
        <v>0</v>
      </c>
      <c r="BJ99" s="26">
        <f t="shared" ca="1" si="181"/>
        <v>0</v>
      </c>
      <c r="BK99" s="26">
        <f t="shared" ca="1" si="181"/>
        <v>0</v>
      </c>
      <c r="BL99" s="26">
        <f t="shared" ca="1" si="181"/>
        <v>0</v>
      </c>
      <c r="BM99" s="26">
        <f t="shared" ca="1" si="181"/>
        <v>0</v>
      </c>
      <c r="BN99" s="26">
        <f t="shared" ca="1" si="181"/>
        <v>0</v>
      </c>
      <c r="BO99" s="26">
        <f t="shared" ca="1" si="181"/>
        <v>0</v>
      </c>
      <c r="BP99" s="26">
        <f t="shared" ca="1" si="181"/>
        <v>0</v>
      </c>
      <c r="BQ99" s="26">
        <f t="shared" ca="1" si="181"/>
        <v>0</v>
      </c>
      <c r="BR99" s="26">
        <f t="shared" ca="1" si="181"/>
        <v>0</v>
      </c>
      <c r="BS99" s="282">
        <f ca="1">IF(ISNUMBER($A98),IF(INDEX(B100:G100,2)&lt;&gt;0,SIGN(INDEX(B100:G100,2))*INDIRECT(ADDRESS(1+ABS(INDEX(B100:G100,2)),COLUMN(Ksys!$B$1),1,TRUE,"Ksys")),0)+AB99,0)</f>
        <v>0</v>
      </c>
      <c r="BT99" s="61">
        <f ca="1"/>
        <v>0</v>
      </c>
      <c r="BU99" s="61">
        <f ca="1"/>
        <v>0</v>
      </c>
      <c r="BV99" s="61">
        <f ca="1"/>
        <v>0</v>
      </c>
      <c r="BW99" s="287" t="s">
        <v>100</v>
      </c>
      <c r="BX99" s="272">
        <f t="shared" ref="BX99:CH99" ca="1" si="182" xml:space="preserve">  IF(ISNUMBER($A98),$BT99*(1-BX$1) + $BT102*BX$1 + ((1-BX$1)-(1-BX$1)^3)*$D98^2/6*$BV100/$B98 + (BX$1-(BX$1)^3)*$D98^2/6*$BV103/$B98 + (BX$1-2*(BX$1)^3+(BX$1)^4)*$D98^2/3*$F98*$D98^2/8/$B98,0)</f>
        <v>0</v>
      </c>
      <c r="BY99" s="173">
        <f t="shared" ca="1" si="182"/>
        <v>0</v>
      </c>
      <c r="BZ99" s="173">
        <f t="shared" ca="1" si="182"/>
        <v>0</v>
      </c>
      <c r="CA99" s="173">
        <f t="shared" ca="1" si="182"/>
        <v>0</v>
      </c>
      <c r="CB99" s="173">
        <f t="shared" ca="1" si="182"/>
        <v>0</v>
      </c>
      <c r="CC99" s="173">
        <f t="shared" ca="1" si="182"/>
        <v>0</v>
      </c>
      <c r="CD99" s="173">
        <f t="shared" ca="1" si="182"/>
        <v>0</v>
      </c>
      <c r="CE99" s="173">
        <f t="shared" ca="1" si="182"/>
        <v>0</v>
      </c>
      <c r="CF99" s="173">
        <f t="shared" ca="1" si="182"/>
        <v>0</v>
      </c>
      <c r="CG99" s="173">
        <f t="shared" ca="1" si="182"/>
        <v>0</v>
      </c>
      <c r="CH99" s="289">
        <f t="shared" ca="1" si="182"/>
        <v>0</v>
      </c>
      <c r="CI99" s="344"/>
      <c r="CJ99" s="344"/>
      <c r="CK99" s="312"/>
      <c r="CM99" s="291" t="s">
        <v>100</v>
      </c>
      <c r="CN99" s="7">
        <f t="shared" ref="CN99:CX99" ca="1" si="183" xml:space="preserve">  IF(ISNUMBER($A98),$BV100*(1-CN$1) + $BV103*CN$1  + CN$1*(1-CN$1)*$F98*$D98^2/2,0)</f>
        <v>0</v>
      </c>
      <c r="CO99" s="1">
        <f t="shared" ca="1" si="183"/>
        <v>0</v>
      </c>
      <c r="CP99" s="1">
        <f t="shared" ca="1" si="183"/>
        <v>0</v>
      </c>
      <c r="CQ99" s="1">
        <f t="shared" ca="1" si="183"/>
        <v>0</v>
      </c>
      <c r="CR99" s="1">
        <f t="shared" ca="1" si="183"/>
        <v>0</v>
      </c>
      <c r="CS99" s="1">
        <f t="shared" ca="1" si="183"/>
        <v>0</v>
      </c>
      <c r="CT99" s="1">
        <f t="shared" ca="1" si="183"/>
        <v>0</v>
      </c>
      <c r="CU99" s="1">
        <f t="shared" ca="1" si="183"/>
        <v>0</v>
      </c>
      <c r="CV99" s="1">
        <f t="shared" ca="1" si="183"/>
        <v>0</v>
      </c>
      <c r="CW99" s="1">
        <f t="shared" ca="1" si="183"/>
        <v>0</v>
      </c>
      <c r="CX99" s="1">
        <f t="shared" ca="1" si="183"/>
        <v>0</v>
      </c>
      <c r="CY99" s="1"/>
      <c r="CZ99" s="1"/>
      <c r="DA99" s="26"/>
      <c r="DB99" s="309"/>
      <c r="DC99" s="310"/>
      <c r="DD99" s="345"/>
      <c r="DF99" s="291" t="s">
        <v>100</v>
      </c>
      <c r="DG99" s="7">
        <f t="shared" ref="DG99:DQ99" ca="1" si="184" xml:space="preserve">  IF(ISNUMBER($A98),$BV99*(1-DG$1) + $BV102*DG$1,0)</f>
        <v>0</v>
      </c>
      <c r="DH99" s="1">
        <f t="shared" ca="1" si="184"/>
        <v>0</v>
      </c>
      <c r="DI99" s="1">
        <f t="shared" ca="1" si="184"/>
        <v>0</v>
      </c>
      <c r="DJ99" s="1">
        <f t="shared" ca="1" si="184"/>
        <v>0</v>
      </c>
      <c r="DK99" s="1">
        <f t="shared" ca="1" si="184"/>
        <v>0</v>
      </c>
      <c r="DL99" s="1">
        <f t="shared" ca="1" si="184"/>
        <v>0</v>
      </c>
      <c r="DM99" s="1">
        <f t="shared" ca="1" si="184"/>
        <v>0</v>
      </c>
      <c r="DN99" s="1">
        <f t="shared" ca="1" si="184"/>
        <v>0</v>
      </c>
      <c r="DO99" s="1">
        <f t="shared" ca="1" si="184"/>
        <v>0</v>
      </c>
      <c r="DP99" s="1">
        <f t="shared" ca="1" si="184"/>
        <v>0</v>
      </c>
      <c r="DQ99" s="1">
        <f t="shared" ca="1" si="184"/>
        <v>0</v>
      </c>
      <c r="DR99" s="1"/>
      <c r="DS99" s="1"/>
      <c r="DT99" s="8"/>
      <c r="DU99" s="12"/>
      <c r="DV99" s="310"/>
      <c r="DW99" s="345"/>
      <c r="DY99" s="291" t="s">
        <v>100</v>
      </c>
      <c r="DZ99" s="7">
        <f t="shared" ref="DZ99:EJ99" ca="1" si="185" xml:space="preserve">  IF(ISNUMBER($A98),$BV98*(1-DZ$1) + $BV101*DZ$1,0)</f>
        <v>0</v>
      </c>
      <c r="EA99" s="1">
        <f t="shared" ca="1" si="185"/>
        <v>0</v>
      </c>
      <c r="EB99" s="1">
        <f t="shared" ca="1" si="185"/>
        <v>0</v>
      </c>
      <c r="EC99" s="1">
        <f t="shared" ca="1" si="185"/>
        <v>0</v>
      </c>
      <c r="ED99" s="1">
        <f t="shared" ca="1" si="185"/>
        <v>0</v>
      </c>
      <c r="EE99" s="1">
        <f t="shared" ca="1" si="185"/>
        <v>0</v>
      </c>
      <c r="EF99" s="1">
        <f t="shared" ca="1" si="185"/>
        <v>0</v>
      </c>
      <c r="EG99" s="1">
        <f t="shared" ca="1" si="185"/>
        <v>0</v>
      </c>
      <c r="EH99" s="1">
        <f t="shared" ca="1" si="185"/>
        <v>0</v>
      </c>
      <c r="EI99" s="1">
        <f t="shared" ca="1" si="185"/>
        <v>0</v>
      </c>
      <c r="EJ99" s="1">
        <f t="shared" ca="1" si="185"/>
        <v>0</v>
      </c>
      <c r="EK99" s="1"/>
      <c r="EL99" s="1"/>
      <c r="EM99" s="8"/>
      <c r="EN99" s="309"/>
      <c r="EO99" s="310"/>
      <c r="EP99" s="345"/>
    </row>
    <row r="100" spans="1:146" ht="13.5" thickBot="1" x14ac:dyDescent="0.25">
      <c r="B100" s="1">
        <f ca="1">IF(ISNUMBER($A98),INDIRECT("System!" &amp; ADDRESS($A98 +1,COLUMN(System!Y97))),0)</f>
        <v>0</v>
      </c>
      <c r="C100" s="1">
        <f ca="1">IF(ISNUMBER($A98),INDIRECT("System!" &amp; ADDRESS($A98 +1,COLUMN(System!Z97))),0)</f>
        <v>0</v>
      </c>
      <c r="D100" s="1">
        <f ca="1">IF(ISNUMBER($A98),INDIRECT("System!" &amp; ADDRESS($A98 +1,COLUMN(System!AA97))),0)</f>
        <v>0</v>
      </c>
      <c r="E100" s="1">
        <f ca="1">IF(ISNUMBER($A98),INDIRECT("System!" &amp; ADDRESS($A98 +1,COLUMN(System!AB97))),0)</f>
        <v>0</v>
      </c>
      <c r="F100" s="1">
        <f ca="1">IF(ISNUMBER($A98),INDIRECT("System!" &amp; ADDRESS($A98 +1,COLUMN(System!AC97))),0)</f>
        <v>0</v>
      </c>
      <c r="G100" s="1">
        <f ca="1">IF(ISNUMBER($A98),INDIRECT("System!" &amp; ADDRESS($A98 +1,COLUMN(System!AD97))),0)</f>
        <v>0</v>
      </c>
      <c r="J100" s="9">
        <v>0</v>
      </c>
      <c r="K100" s="10">
        <f ca="1">IF(G98=1,-6*B98/D98^2,IF(G98="2a",0,IF(G98="2b",-3*B98/D98^2,0)))</f>
        <v>0</v>
      </c>
      <c r="L100" s="181">
        <f ca="1">IF(G98=1,4*B98/D98,IF(G98="2a",0,IF(G98="2b",3*B98/D98,0)))</f>
        <v>0</v>
      </c>
      <c r="M100" s="9">
        <v>0</v>
      </c>
      <c r="N100" s="10">
        <f ca="1">L102</f>
        <v>0</v>
      </c>
      <c r="O100" s="146">
        <f ca="1">L103</f>
        <v>0</v>
      </c>
      <c r="P100" s="143">
        <v>0</v>
      </c>
      <c r="Q100" s="99">
        <v>0</v>
      </c>
      <c r="R100" s="99">
        <v>1</v>
      </c>
      <c r="S100" s="101">
        <v>0</v>
      </c>
      <c r="T100" s="101">
        <v>0</v>
      </c>
      <c r="U100" s="110">
        <v>0</v>
      </c>
      <c r="V100" s="9">
        <f ca="1"/>
        <v>0</v>
      </c>
      <c r="W100" s="10">
        <f ca="1"/>
        <v>0</v>
      </c>
      <c r="X100" s="181">
        <f ca="1"/>
        <v>0</v>
      </c>
      <c r="Y100" s="9">
        <f ca="1"/>
        <v>0</v>
      </c>
      <c r="Z100" s="10">
        <f ca="1"/>
        <v>0</v>
      </c>
      <c r="AA100" s="146">
        <f ca="1"/>
        <v>0</v>
      </c>
      <c r="AB100" s="61">
        <f ca="1">IF(ISNUMBER($A98),INDIRECT("System!" &amp; ADDRESS(A98+1,COLUMN(System!U97))),0)</f>
        <v>0</v>
      </c>
      <c r="AC100" s="301">
        <f ca="1">IF(G98=1,-F98*D98^2/12,IF(G98="2a",0,IF(G98="2b",-F98*D98^2/8,0)))</f>
        <v>0</v>
      </c>
      <c r="AD100" s="61">
        <f ca="1"/>
        <v>0</v>
      </c>
      <c r="AE100" s="7">
        <f t="shared" ref="AE100:BR100" ca="1" si="186">IF(ABS($D100)=AE$1,SIGN($D100),0)</f>
        <v>0</v>
      </c>
      <c r="AF100" s="1">
        <f t="shared" ca="1" si="186"/>
        <v>0</v>
      </c>
      <c r="AG100" s="1">
        <f t="shared" ca="1" si="186"/>
        <v>0</v>
      </c>
      <c r="AH100" s="1">
        <f t="shared" ca="1" si="186"/>
        <v>0</v>
      </c>
      <c r="AI100" s="1">
        <f t="shared" ca="1" si="186"/>
        <v>0</v>
      </c>
      <c r="AJ100" s="26">
        <f t="shared" ca="1" si="186"/>
        <v>0</v>
      </c>
      <c r="AK100" s="26">
        <f t="shared" ca="1" si="186"/>
        <v>0</v>
      </c>
      <c r="AL100" s="26">
        <f t="shared" ca="1" si="186"/>
        <v>0</v>
      </c>
      <c r="AM100" s="26">
        <f t="shared" ca="1" si="186"/>
        <v>0</v>
      </c>
      <c r="AN100" s="26">
        <f t="shared" ca="1" si="186"/>
        <v>0</v>
      </c>
      <c r="AO100" s="26">
        <f t="shared" ca="1" si="186"/>
        <v>0</v>
      </c>
      <c r="AP100" s="26">
        <f t="shared" ca="1" si="186"/>
        <v>0</v>
      </c>
      <c r="AQ100" s="26">
        <f t="shared" ca="1" si="186"/>
        <v>0</v>
      </c>
      <c r="AR100" s="26">
        <f t="shared" ca="1" si="186"/>
        <v>0</v>
      </c>
      <c r="AS100" s="26">
        <f t="shared" ca="1" si="186"/>
        <v>0</v>
      </c>
      <c r="AT100" s="26">
        <f t="shared" ca="1" si="186"/>
        <v>0</v>
      </c>
      <c r="AU100" s="26">
        <f t="shared" ca="1" si="186"/>
        <v>0</v>
      </c>
      <c r="AV100" s="26">
        <f t="shared" ca="1" si="186"/>
        <v>0</v>
      </c>
      <c r="AW100" s="26">
        <f t="shared" ca="1" si="186"/>
        <v>0</v>
      </c>
      <c r="AX100" s="26">
        <f t="shared" ca="1" si="186"/>
        <v>0</v>
      </c>
      <c r="AY100" s="26">
        <f t="shared" ca="1" si="186"/>
        <v>0</v>
      </c>
      <c r="AZ100" s="26">
        <f t="shared" ca="1" si="186"/>
        <v>0</v>
      </c>
      <c r="BA100" s="26">
        <f t="shared" ca="1" si="186"/>
        <v>0</v>
      </c>
      <c r="BB100" s="26">
        <f t="shared" ca="1" si="186"/>
        <v>0</v>
      </c>
      <c r="BC100" s="26">
        <f t="shared" ca="1" si="186"/>
        <v>0</v>
      </c>
      <c r="BD100" s="26">
        <f t="shared" ca="1" si="186"/>
        <v>0</v>
      </c>
      <c r="BE100" s="26">
        <f t="shared" ca="1" si="186"/>
        <v>0</v>
      </c>
      <c r="BF100" s="26">
        <f t="shared" ca="1" si="186"/>
        <v>0</v>
      </c>
      <c r="BG100" s="26">
        <f t="shared" ca="1" si="186"/>
        <v>0</v>
      </c>
      <c r="BH100" s="26">
        <f t="shared" ca="1" si="186"/>
        <v>0</v>
      </c>
      <c r="BI100" s="26">
        <f t="shared" ca="1" si="186"/>
        <v>0</v>
      </c>
      <c r="BJ100" s="26">
        <f t="shared" ca="1" si="186"/>
        <v>0</v>
      </c>
      <c r="BK100" s="26">
        <f t="shared" ca="1" si="186"/>
        <v>0</v>
      </c>
      <c r="BL100" s="26">
        <f t="shared" ca="1" si="186"/>
        <v>0</v>
      </c>
      <c r="BM100" s="26">
        <f t="shared" ca="1" si="186"/>
        <v>0</v>
      </c>
      <c r="BN100" s="26">
        <f t="shared" ca="1" si="186"/>
        <v>0</v>
      </c>
      <c r="BO100" s="26">
        <f t="shared" ca="1" si="186"/>
        <v>0</v>
      </c>
      <c r="BP100" s="26">
        <f t="shared" ca="1" si="186"/>
        <v>0</v>
      </c>
      <c r="BQ100" s="26">
        <f t="shared" ca="1" si="186"/>
        <v>0</v>
      </c>
      <c r="BR100" s="26">
        <f t="shared" ca="1" si="186"/>
        <v>0</v>
      </c>
      <c r="BS100" s="282">
        <f ca="1">IF(ISNUMBER($A98),IF(INDEX(B100:G100,3)&lt;&gt;0,SIGN(INDEX(B100:G100,3))*INDIRECT(ADDRESS(1+ABS(INDEX(B100:G100,3)),COLUMN(Ksys!$B$1),1,TRUE,"Ksys")),0)+AB100,0)</f>
        <v>0</v>
      </c>
      <c r="BT100" s="61">
        <f ca="1"/>
        <v>0</v>
      </c>
      <c r="BU100" s="61">
        <f ca="1"/>
        <v>0</v>
      </c>
      <c r="BV100" s="61">
        <f ca="1"/>
        <v>0</v>
      </c>
      <c r="BW100" s="287" t="s">
        <v>96</v>
      </c>
      <c r="BX100" s="7">
        <f t="array" aca="1" ref="BX100:BX101" ca="1">IF(ISNUMBER($A98),MMULT(TRANSPOSE($P98:$Q99),BX98:BX99),0)</f>
        <v>0</v>
      </c>
      <c r="BY100" s="1">
        <f t="array" aca="1" ref="BY100:BY101" ca="1">IF(ISNUMBER($A98),MMULT(TRANSPOSE($P98:$Q99),BY98:BY99),0)</f>
        <v>0</v>
      </c>
      <c r="BZ100" s="1">
        <f t="array" aca="1" ref="BZ100:BZ101" ca="1">IF(ISNUMBER($A98),MMULT(TRANSPOSE($P98:$Q99),BZ98:BZ99),0)</f>
        <v>0</v>
      </c>
      <c r="CA100" s="1">
        <f t="array" aca="1" ref="CA100:CA101" ca="1">IF(ISNUMBER($A98),MMULT(TRANSPOSE($P98:$Q99),CA98:CA99),0)</f>
        <v>0</v>
      </c>
      <c r="CB100" s="1">
        <f t="array" aca="1" ref="CB100:CB101" ca="1">IF(ISNUMBER($A98),MMULT(TRANSPOSE($P98:$Q99),CB98:CB99),0)</f>
        <v>0</v>
      </c>
      <c r="CC100" s="1">
        <f t="array" aca="1" ref="CC100:CC101" ca="1">IF(ISNUMBER($A98),MMULT(TRANSPOSE($P98:$Q99),CC98:CC99),0)</f>
        <v>0</v>
      </c>
      <c r="CD100" s="1">
        <f t="array" aca="1" ref="CD100:CD101" ca="1">IF(ISNUMBER($A98),MMULT(TRANSPOSE($P98:$Q99),CD98:CD99),0)</f>
        <v>0</v>
      </c>
      <c r="CE100" s="1">
        <f t="array" aca="1" ref="CE100:CE101" ca="1">IF(ISNUMBER($A98),MMULT(TRANSPOSE($P98:$Q99),CE98:CE99),0)</f>
        <v>0</v>
      </c>
      <c r="CF100" s="1">
        <f t="array" aca="1" ref="CF100:CF101" ca="1">IF(ISNUMBER($A98),MMULT(TRANSPOSE($P98:$Q99),CF98:CF99),0)</f>
        <v>0</v>
      </c>
      <c r="CG100" s="1">
        <f t="array" aca="1" ref="CG100:CG101" ca="1">IF(ISNUMBER($A98),MMULT(TRANSPOSE($P98:$Q99),CG98:CG99),0)</f>
        <v>0</v>
      </c>
      <c r="CH100" s="8">
        <f t="array" aca="1" ref="CH100:CH101" ca="1">IF(ISNUMBER($A98),MMULT(TRANSPOSE($P98:$Q99),CH98:CH99),0)</f>
        <v>0</v>
      </c>
      <c r="CI100" s="345"/>
      <c r="CJ100" s="345"/>
      <c r="CK100" s="444">
        <f ca="1">MAX(MAX(BX100:CH101),ABS(MIN(BX100:CH101)))</f>
        <v>0</v>
      </c>
      <c r="CM100" s="291" t="s">
        <v>96</v>
      </c>
      <c r="CN100" s="7">
        <f t="array" aca="1" ref="CN100:CN101" ca="1">IF(ISNUMBER($A98),MMULT(TRANSPOSE($P98:$Q99),CN98:CN99),0)</f>
        <v>0</v>
      </c>
      <c r="CO100" s="1">
        <f t="array" aca="1" ref="CO100:CO101" ca="1">IF(ISNUMBER($A98),MMULT(TRANSPOSE($P98:$Q99),CO98:CO99),0)</f>
        <v>0</v>
      </c>
      <c r="CP100" s="1">
        <f t="array" aca="1" ref="CP100:CP101" ca="1">IF(ISNUMBER($A98),MMULT(TRANSPOSE($P98:$Q99),CP98:CP99),0)</f>
        <v>0</v>
      </c>
      <c r="CQ100" s="1">
        <f t="array" aca="1" ref="CQ100:CQ101" ca="1">IF(ISNUMBER($A98),MMULT(TRANSPOSE($P98:$Q99),CQ98:CQ99),0)</f>
        <v>0</v>
      </c>
      <c r="CR100" s="1">
        <f t="array" aca="1" ref="CR100:CR101" ca="1">IF(ISNUMBER($A98),MMULT(TRANSPOSE($P98:$Q99),CR98:CR99),0)</f>
        <v>0</v>
      </c>
      <c r="CS100" s="1">
        <f t="array" aca="1" ref="CS100:CS101" ca="1">IF(ISNUMBER($A98),MMULT(TRANSPOSE($P98:$Q99),CS98:CS99),0)</f>
        <v>0</v>
      </c>
      <c r="CT100" s="1">
        <f t="array" aca="1" ref="CT100:CT101" ca="1">IF(ISNUMBER($A98),MMULT(TRANSPOSE($P98:$Q99),CT98:CT99),0)</f>
        <v>0</v>
      </c>
      <c r="CU100" s="1">
        <f t="array" aca="1" ref="CU100:CU101" ca="1">IF(ISNUMBER($A98),MMULT(TRANSPOSE($P98:$Q99),CU98:CU99),0)</f>
        <v>0</v>
      </c>
      <c r="CV100" s="1">
        <f t="array" aca="1" ref="CV100:CV101" ca="1">IF(ISNUMBER($A98),MMULT(TRANSPOSE($P98:$Q99),CV98:CV99),0)</f>
        <v>0</v>
      </c>
      <c r="CW100" s="1">
        <f t="array" aca="1" ref="CW100:CW101" ca="1">IF(ISNUMBER($A98),MMULT(TRANSPOSE($P98:$Q99),CW98:CW99),0)</f>
        <v>0</v>
      </c>
      <c r="CX100" s="1">
        <f t="array" aca="1" ref="CX100:CX101" ca="1">IF(ISNUMBER($A98),MMULT(TRANSPOSE($P98:$Q99),CX98:CX99),0)</f>
        <v>0</v>
      </c>
      <c r="CY100" s="1"/>
      <c r="CZ100" s="1"/>
      <c r="DA100" s="26"/>
      <c r="DB100" s="309"/>
      <c r="DC100" s="310"/>
      <c r="DD100" s="345"/>
      <c r="DF100" s="291" t="s">
        <v>96</v>
      </c>
      <c r="DG100" s="7">
        <f t="array" aca="1" ref="DG100:DG101" ca="1">IF(ISNUMBER($A98),MMULT(TRANSPOSE($P98:$Q99),DG98:DG99),0)</f>
        <v>0</v>
      </c>
      <c r="DH100" s="1">
        <f t="array" aca="1" ref="DH100:DH101" ca="1">IF(ISNUMBER($A98),MMULT(TRANSPOSE($P98:$Q99),DH98:DH99),0)</f>
        <v>0</v>
      </c>
      <c r="DI100" s="1">
        <f t="array" aca="1" ref="DI100:DI101" ca="1">IF(ISNUMBER($A98),MMULT(TRANSPOSE($P98:$Q99),DI98:DI99),0)</f>
        <v>0</v>
      </c>
      <c r="DJ100" s="1">
        <f t="array" aca="1" ref="DJ100:DJ101" ca="1">IF(ISNUMBER($A98),MMULT(TRANSPOSE($P98:$Q99),DJ98:DJ99),0)</f>
        <v>0</v>
      </c>
      <c r="DK100" s="1">
        <f t="array" aca="1" ref="DK100:DK101" ca="1">IF(ISNUMBER($A98),MMULT(TRANSPOSE($P98:$Q99),DK98:DK99),0)</f>
        <v>0</v>
      </c>
      <c r="DL100" s="1">
        <f t="array" aca="1" ref="DL100:DL101" ca="1">IF(ISNUMBER($A98),MMULT(TRANSPOSE($P98:$Q99),DL98:DL99),0)</f>
        <v>0</v>
      </c>
      <c r="DM100" s="1">
        <f t="array" aca="1" ref="DM100:DM101" ca="1">IF(ISNUMBER($A98),MMULT(TRANSPOSE($P98:$Q99),DM98:DM99),0)</f>
        <v>0</v>
      </c>
      <c r="DN100" s="1">
        <f t="array" aca="1" ref="DN100:DN101" ca="1">IF(ISNUMBER($A98),MMULT(TRANSPOSE($P98:$Q99),DN98:DN99),0)</f>
        <v>0</v>
      </c>
      <c r="DO100" s="1">
        <f t="array" aca="1" ref="DO100:DO101" ca="1">IF(ISNUMBER($A98),MMULT(TRANSPOSE($P98:$Q99),DO98:DO99),0)</f>
        <v>0</v>
      </c>
      <c r="DP100" s="1">
        <f t="array" aca="1" ref="DP100:DP101" ca="1">IF(ISNUMBER($A98),MMULT(TRANSPOSE($P98:$Q99),DP98:DP99),0)</f>
        <v>0</v>
      </c>
      <c r="DQ100" s="1">
        <f t="array" aca="1" ref="DQ100:DQ101" ca="1">IF(ISNUMBER($A98),MMULT(TRANSPOSE($P98:$Q99),DQ98:DQ99),0)</f>
        <v>0</v>
      </c>
      <c r="DR100" s="1"/>
      <c r="DS100" s="1"/>
      <c r="DT100" s="8"/>
      <c r="DU100" s="12"/>
      <c r="DV100" s="310"/>
      <c r="DW100" s="345"/>
      <c r="DY100" s="291" t="s">
        <v>96</v>
      </c>
      <c r="DZ100" s="7">
        <f t="array" aca="1" ref="DZ100:DZ101" ca="1">IF(ISNUMBER($A98),MMULT(TRANSPOSE($P98:$Q99),DZ98:DZ99),0)</f>
        <v>0</v>
      </c>
      <c r="EA100" s="1">
        <f t="array" aca="1" ref="EA100:EA101" ca="1">IF(ISNUMBER($A98),MMULT(TRANSPOSE($P98:$Q99),EA98:EA99),0)</f>
        <v>0</v>
      </c>
      <c r="EB100" s="1">
        <f t="array" aca="1" ref="EB100:EB101" ca="1">IF(ISNUMBER($A98),MMULT(TRANSPOSE($P98:$Q99),EB98:EB99),0)</f>
        <v>0</v>
      </c>
      <c r="EC100" s="1">
        <f t="array" aca="1" ref="EC100:EC101" ca="1">IF(ISNUMBER($A98),MMULT(TRANSPOSE($P98:$Q99),EC98:EC99),0)</f>
        <v>0</v>
      </c>
      <c r="ED100" s="1">
        <f t="array" aca="1" ref="ED100:ED101" ca="1">IF(ISNUMBER($A98),MMULT(TRANSPOSE($P98:$Q99),ED98:ED99),0)</f>
        <v>0</v>
      </c>
      <c r="EE100" s="1">
        <f t="array" aca="1" ref="EE100:EE101" ca="1">IF(ISNUMBER($A98),MMULT(TRANSPOSE($P98:$Q99),EE98:EE99),0)</f>
        <v>0</v>
      </c>
      <c r="EF100" s="1">
        <f t="array" aca="1" ref="EF100:EF101" ca="1">IF(ISNUMBER($A98),MMULT(TRANSPOSE($P98:$Q99),EF98:EF99),0)</f>
        <v>0</v>
      </c>
      <c r="EG100" s="1">
        <f t="array" aca="1" ref="EG100:EG101" ca="1">IF(ISNUMBER($A98),MMULT(TRANSPOSE($P98:$Q99),EG98:EG99),0)</f>
        <v>0</v>
      </c>
      <c r="EH100" s="1">
        <f t="array" aca="1" ref="EH100:EH101" ca="1">IF(ISNUMBER($A98),MMULT(TRANSPOSE($P98:$Q99),EH98:EH99),0)</f>
        <v>0</v>
      </c>
      <c r="EI100" s="1">
        <f t="array" aca="1" ref="EI100:EI101" ca="1">IF(ISNUMBER($A98),MMULT(TRANSPOSE($P98:$Q99),EI98:EI99),0)</f>
        <v>0</v>
      </c>
      <c r="EJ100" s="1">
        <f t="array" aca="1" ref="EJ100:EJ101" ca="1">IF(ISNUMBER($A98),MMULT(TRANSPOSE($P98:$Q99),EJ98:EJ99),0)</f>
        <v>0</v>
      </c>
      <c r="EK100" s="1"/>
      <c r="EL100" s="1"/>
      <c r="EM100" s="8"/>
      <c r="EN100" s="309"/>
      <c r="EO100" s="310"/>
      <c r="EP100" s="345"/>
    </row>
    <row r="101" spans="1:146" x14ac:dyDescent="0.2">
      <c r="E101" s="12"/>
      <c r="F101" s="12"/>
      <c r="J101" s="4">
        <f ca="1">-J98</f>
        <v>0</v>
      </c>
      <c r="K101" s="5">
        <v>0</v>
      </c>
      <c r="L101" s="6">
        <v>0</v>
      </c>
      <c r="M101" s="179">
        <f ca="1">J98</f>
        <v>0</v>
      </c>
      <c r="N101" s="5">
        <v>0</v>
      </c>
      <c r="O101" s="6">
        <v>0</v>
      </c>
      <c r="P101" s="184">
        <v>0</v>
      </c>
      <c r="Q101" s="101">
        <v>0</v>
      </c>
      <c r="R101" s="101">
        <v>0</v>
      </c>
      <c r="S101" s="99">
        <f ca="1">I98</f>
        <v>0</v>
      </c>
      <c r="T101" s="99">
        <f ca="1">-H98</f>
        <v>0</v>
      </c>
      <c r="U101" s="100">
        <v>0</v>
      </c>
      <c r="V101" s="4">
        <f ca="1"/>
        <v>0</v>
      </c>
      <c r="W101" s="5">
        <f ca="1"/>
        <v>0</v>
      </c>
      <c r="X101" s="6">
        <f ca="1"/>
        <v>0</v>
      </c>
      <c r="Y101" s="179">
        <f ca="1"/>
        <v>0</v>
      </c>
      <c r="Z101" s="5">
        <f ca="1"/>
        <v>0</v>
      </c>
      <c r="AA101" s="6">
        <f ca="1"/>
        <v>0</v>
      </c>
      <c r="AB101" s="61">
        <f ca="1">IF(ISNUMBER($A98),INDIRECT("System!" &amp; ADDRESS(A98+1,COLUMN(System!V97))),0)</f>
        <v>0</v>
      </c>
      <c r="AC101" s="301">
        <f ca="1">IF(ISNUMBER(E98),E98*D98/2,0)</f>
        <v>0</v>
      </c>
      <c r="AD101" s="61">
        <f ca="1"/>
        <v>0</v>
      </c>
      <c r="AE101" s="7">
        <f t="shared" ref="AE101:BR101" ca="1" si="187">IF(ABS($E100)=AE$1,SIGN($E100),0)</f>
        <v>0</v>
      </c>
      <c r="AF101" s="1">
        <f t="shared" ca="1" si="187"/>
        <v>0</v>
      </c>
      <c r="AG101" s="1">
        <f t="shared" ca="1" si="187"/>
        <v>0</v>
      </c>
      <c r="AH101" s="1">
        <f t="shared" ca="1" si="187"/>
        <v>0</v>
      </c>
      <c r="AI101" s="1">
        <f t="shared" ca="1" si="187"/>
        <v>0</v>
      </c>
      <c r="AJ101" s="26">
        <f t="shared" ca="1" si="187"/>
        <v>0</v>
      </c>
      <c r="AK101" s="26">
        <f t="shared" ca="1" si="187"/>
        <v>0</v>
      </c>
      <c r="AL101" s="26">
        <f t="shared" ca="1" si="187"/>
        <v>0</v>
      </c>
      <c r="AM101" s="26">
        <f t="shared" ca="1" si="187"/>
        <v>0</v>
      </c>
      <c r="AN101" s="26">
        <f t="shared" ca="1" si="187"/>
        <v>0</v>
      </c>
      <c r="AO101" s="26">
        <f t="shared" ca="1" si="187"/>
        <v>0</v>
      </c>
      <c r="AP101" s="26">
        <f t="shared" ca="1" si="187"/>
        <v>0</v>
      </c>
      <c r="AQ101" s="26">
        <f t="shared" ca="1" si="187"/>
        <v>0</v>
      </c>
      <c r="AR101" s="26">
        <f t="shared" ca="1" si="187"/>
        <v>0</v>
      </c>
      <c r="AS101" s="26">
        <f t="shared" ca="1" si="187"/>
        <v>0</v>
      </c>
      <c r="AT101" s="26">
        <f t="shared" ca="1" si="187"/>
        <v>0</v>
      </c>
      <c r="AU101" s="26">
        <f t="shared" ca="1" si="187"/>
        <v>0</v>
      </c>
      <c r="AV101" s="26">
        <f t="shared" ca="1" si="187"/>
        <v>0</v>
      </c>
      <c r="AW101" s="26">
        <f t="shared" ca="1" si="187"/>
        <v>0</v>
      </c>
      <c r="AX101" s="26">
        <f t="shared" ca="1" si="187"/>
        <v>0</v>
      </c>
      <c r="AY101" s="26">
        <f t="shared" ca="1" si="187"/>
        <v>0</v>
      </c>
      <c r="AZ101" s="26">
        <f t="shared" ca="1" si="187"/>
        <v>0</v>
      </c>
      <c r="BA101" s="26">
        <f t="shared" ca="1" si="187"/>
        <v>0</v>
      </c>
      <c r="BB101" s="26">
        <f t="shared" ca="1" si="187"/>
        <v>0</v>
      </c>
      <c r="BC101" s="26">
        <f t="shared" ca="1" si="187"/>
        <v>0</v>
      </c>
      <c r="BD101" s="26">
        <f t="shared" ca="1" si="187"/>
        <v>0</v>
      </c>
      <c r="BE101" s="26">
        <f t="shared" ca="1" si="187"/>
        <v>0</v>
      </c>
      <c r="BF101" s="26">
        <f t="shared" ca="1" si="187"/>
        <v>0</v>
      </c>
      <c r="BG101" s="26">
        <f t="shared" ca="1" si="187"/>
        <v>0</v>
      </c>
      <c r="BH101" s="26">
        <f t="shared" ca="1" si="187"/>
        <v>0</v>
      </c>
      <c r="BI101" s="26">
        <f t="shared" ca="1" si="187"/>
        <v>0</v>
      </c>
      <c r="BJ101" s="26">
        <f t="shared" ca="1" si="187"/>
        <v>0</v>
      </c>
      <c r="BK101" s="26">
        <f t="shared" ca="1" si="187"/>
        <v>0</v>
      </c>
      <c r="BL101" s="26">
        <f t="shared" ca="1" si="187"/>
        <v>0</v>
      </c>
      <c r="BM101" s="26">
        <f t="shared" ca="1" si="187"/>
        <v>0</v>
      </c>
      <c r="BN101" s="26">
        <f t="shared" ca="1" si="187"/>
        <v>0</v>
      </c>
      <c r="BO101" s="26">
        <f t="shared" ca="1" si="187"/>
        <v>0</v>
      </c>
      <c r="BP101" s="26">
        <f t="shared" ca="1" si="187"/>
        <v>0</v>
      </c>
      <c r="BQ101" s="26">
        <f t="shared" ca="1" si="187"/>
        <v>0</v>
      </c>
      <c r="BR101" s="26">
        <f t="shared" ca="1" si="187"/>
        <v>0</v>
      </c>
      <c r="BS101" s="282">
        <f ca="1">IF(ISNUMBER($A98),IF(INDEX(B100:G100,4)&lt;&gt;0,SIGN(INDEX(B100:G100,4))*INDIRECT(ADDRESS(1+ABS(INDEX(B100:G100,4)),COLUMN(Ksys!$B$1),1,TRUE,"Ksys")),0)+AB101,0)</f>
        <v>0</v>
      </c>
      <c r="BT101" s="61">
        <f ca="1"/>
        <v>0</v>
      </c>
      <c r="BU101" s="61">
        <f ca="1"/>
        <v>0</v>
      </c>
      <c r="BV101" s="61">
        <f t="array" aca="1" ref="BV101:BV103" ca="1">MMULT(J101:O103,BT98:BT103)-AC101:AC103</f>
        <v>0</v>
      </c>
      <c r="BW101" s="288" t="s">
        <v>101</v>
      </c>
      <c r="BX101" s="7">
        <f ca="1"/>
        <v>0</v>
      </c>
      <c r="BY101" s="1">
        <f ca="1"/>
        <v>0</v>
      </c>
      <c r="BZ101" s="1">
        <f ca="1"/>
        <v>0</v>
      </c>
      <c r="CA101" s="1">
        <f ca="1"/>
        <v>0</v>
      </c>
      <c r="CB101" s="1">
        <f ca="1"/>
        <v>0</v>
      </c>
      <c r="CC101" s="1">
        <f ca="1"/>
        <v>0</v>
      </c>
      <c r="CD101" s="1">
        <f ca="1"/>
        <v>0</v>
      </c>
      <c r="CE101" s="1">
        <f ca="1"/>
        <v>0</v>
      </c>
      <c r="CF101" s="1">
        <f ca="1"/>
        <v>0</v>
      </c>
      <c r="CG101" s="1">
        <f ca="1"/>
        <v>0</v>
      </c>
      <c r="CH101" s="8">
        <f ca="1"/>
        <v>0</v>
      </c>
      <c r="CI101" s="344" t="s">
        <v>1</v>
      </c>
      <c r="CJ101" s="344" t="s">
        <v>111</v>
      </c>
      <c r="CK101" s="310"/>
      <c r="CM101" s="292" t="s">
        <v>101</v>
      </c>
      <c r="CN101" s="7">
        <f ca="1"/>
        <v>0</v>
      </c>
      <c r="CO101" s="1">
        <f ca="1"/>
        <v>0</v>
      </c>
      <c r="CP101" s="1">
        <f ca="1"/>
        <v>0</v>
      </c>
      <c r="CQ101" s="1">
        <f ca="1"/>
        <v>0</v>
      </c>
      <c r="CR101" s="1">
        <f ca="1"/>
        <v>0</v>
      </c>
      <c r="CS101" s="1">
        <f ca="1"/>
        <v>0</v>
      </c>
      <c r="CT101" s="1">
        <f ca="1"/>
        <v>0</v>
      </c>
      <c r="CU101" s="1">
        <f ca="1"/>
        <v>0</v>
      </c>
      <c r="CV101" s="1">
        <f ca="1"/>
        <v>0</v>
      </c>
      <c r="CW101" s="1">
        <f ca="1"/>
        <v>0</v>
      </c>
      <c r="CX101" s="1">
        <f ca="1"/>
        <v>0</v>
      </c>
      <c r="CY101" s="1"/>
      <c r="CZ101" s="1"/>
      <c r="DA101" s="26"/>
      <c r="DB101" s="311" t="s">
        <v>1</v>
      </c>
      <c r="DC101" s="312" t="s">
        <v>111</v>
      </c>
      <c r="DD101" s="61">
        <f ca="1">MAX(MAX(CN100:CX101),ABS(MIN(CN100:CX101)))</f>
        <v>0</v>
      </c>
      <c r="DF101" s="292" t="s">
        <v>101</v>
      </c>
      <c r="DG101" s="7">
        <f ca="1"/>
        <v>0</v>
      </c>
      <c r="DH101" s="1">
        <f ca="1"/>
        <v>0</v>
      </c>
      <c r="DI101" s="1">
        <f ca="1"/>
        <v>0</v>
      </c>
      <c r="DJ101" s="1">
        <f ca="1"/>
        <v>0</v>
      </c>
      <c r="DK101" s="1">
        <f ca="1"/>
        <v>0</v>
      </c>
      <c r="DL101" s="1">
        <f ca="1"/>
        <v>0</v>
      </c>
      <c r="DM101" s="1">
        <f ca="1"/>
        <v>0</v>
      </c>
      <c r="DN101" s="1">
        <f ca="1"/>
        <v>0</v>
      </c>
      <c r="DO101" s="1">
        <f ca="1"/>
        <v>0</v>
      </c>
      <c r="DP101" s="1">
        <f ca="1"/>
        <v>0</v>
      </c>
      <c r="DQ101" s="1">
        <f ca="1"/>
        <v>0</v>
      </c>
      <c r="DR101" s="1"/>
      <c r="DS101" s="1"/>
      <c r="DT101" s="8"/>
      <c r="DU101" s="314" t="s">
        <v>1</v>
      </c>
      <c r="DV101" s="312" t="s">
        <v>111</v>
      </c>
      <c r="DW101" s="349">
        <f ca="1">MAX(MAX(DG100:DQ101),ABS(MIN(DG100:DQ101)))</f>
        <v>0</v>
      </c>
      <c r="DY101" s="292" t="s">
        <v>101</v>
      </c>
      <c r="DZ101" s="7">
        <f ca="1"/>
        <v>0</v>
      </c>
      <c r="EA101" s="1">
        <f ca="1"/>
        <v>0</v>
      </c>
      <c r="EB101" s="1">
        <f ca="1"/>
        <v>0</v>
      </c>
      <c r="EC101" s="1">
        <f ca="1"/>
        <v>0</v>
      </c>
      <c r="ED101" s="1">
        <f ca="1"/>
        <v>0</v>
      </c>
      <c r="EE101" s="1">
        <f ca="1"/>
        <v>0</v>
      </c>
      <c r="EF101" s="1">
        <f ca="1"/>
        <v>0</v>
      </c>
      <c r="EG101" s="1">
        <f ca="1"/>
        <v>0</v>
      </c>
      <c r="EH101" s="1">
        <f ca="1"/>
        <v>0</v>
      </c>
      <c r="EI101" s="1">
        <f ca="1"/>
        <v>0</v>
      </c>
      <c r="EJ101" s="1">
        <f ca="1"/>
        <v>0</v>
      </c>
      <c r="EK101" s="1"/>
      <c r="EL101" s="1"/>
      <c r="EM101" s="8"/>
      <c r="EN101" s="311" t="s">
        <v>1</v>
      </c>
      <c r="EO101" s="312" t="s">
        <v>111</v>
      </c>
      <c r="EP101" s="61">
        <f ca="1">MAX(MAX(DZ100:EJ101),ABS(MIN(DZ100:EJ101)))</f>
        <v>0</v>
      </c>
    </row>
    <row r="102" spans="1:146" x14ac:dyDescent="0.2">
      <c r="E102" s="1" t="str">
        <f ca="1">IF(ISNUMBER(A98),"" &amp; ADDRESS(ROW(A98),COLUMN($AD$1)) &amp; ":" &amp; ADDRESS(ROW(A103),COLUMN($AD$1)) &amp; "","")</f>
        <v/>
      </c>
      <c r="F102" s="1" t="str">
        <f ca="1">IF(ISNUMBER(A98),"" &amp; ADDRESS(ROW(A98),COLUMN($V$1)) &amp; ":" &amp; ADDRESS(ROW(A103),COLUMN($AA$1)) &amp; "","")</f>
        <v/>
      </c>
      <c r="G102" s="1" t="str">
        <f ca="1">IF(ISNUMBER(A98),"" &amp; ADDRESS(ROW(A98),COLUMN($AE$1)) &amp; ":" &amp; ADDRESS(ROW(A103),COLUMN($AD$1)+$C$6) &amp; "","")</f>
        <v/>
      </c>
      <c r="J102" s="7">
        <v>0</v>
      </c>
      <c r="K102" s="1">
        <f ca="1">-K99</f>
        <v>0</v>
      </c>
      <c r="L102" s="8">
        <f ca="1">IF(G98=1,6*B98/D98^2,IF(G98="2a",0,IF(G98="2b",3*B98/D98^2,0)))</f>
        <v>0</v>
      </c>
      <c r="M102" s="7">
        <v>0</v>
      </c>
      <c r="N102" s="180">
        <f ca="1">K99</f>
        <v>0</v>
      </c>
      <c r="O102" s="8">
        <f ca="1">N103</f>
        <v>0</v>
      </c>
      <c r="P102" s="184">
        <v>0</v>
      </c>
      <c r="Q102" s="101">
        <v>0</v>
      </c>
      <c r="R102" s="101">
        <v>0</v>
      </c>
      <c r="S102" s="99">
        <f ca="1">H98</f>
        <v>0</v>
      </c>
      <c r="T102" s="99">
        <f ca="1">I98</f>
        <v>0</v>
      </c>
      <c r="U102" s="100">
        <v>0</v>
      </c>
      <c r="V102" s="7">
        <f ca="1"/>
        <v>0</v>
      </c>
      <c r="W102" s="1">
        <f ca="1"/>
        <v>0</v>
      </c>
      <c r="X102" s="8">
        <f ca="1"/>
        <v>0</v>
      </c>
      <c r="Y102" s="7">
        <f ca="1"/>
        <v>0</v>
      </c>
      <c r="Z102" s="180">
        <f ca="1"/>
        <v>0</v>
      </c>
      <c r="AA102" s="8">
        <f ca="1"/>
        <v>0</v>
      </c>
      <c r="AB102" s="61">
        <f ca="1">IF(ISNUMBER($A98),INDIRECT("System!" &amp; ADDRESS(A98+1,COLUMN(System!W97))),0)</f>
        <v>0</v>
      </c>
      <c r="AC102" s="301">
        <f ca="1">IF(G98=1,F98*D98/2,IF(G98="2a",F98*5/8*D98,IF(G98="2b",F98*3/8*D98,0)))</f>
        <v>0</v>
      </c>
      <c r="AD102" s="61">
        <f ca="1"/>
        <v>0</v>
      </c>
      <c r="AE102" s="7">
        <f t="shared" ref="AE102:BR102" ca="1" si="188">IF(ABS($F100)=AE$1,SIGN($F100),0)</f>
        <v>0</v>
      </c>
      <c r="AF102" s="1">
        <f t="shared" ca="1" si="188"/>
        <v>0</v>
      </c>
      <c r="AG102" s="1">
        <f t="shared" ca="1" si="188"/>
        <v>0</v>
      </c>
      <c r="AH102" s="1">
        <f t="shared" ca="1" si="188"/>
        <v>0</v>
      </c>
      <c r="AI102" s="1">
        <f t="shared" ca="1" si="188"/>
        <v>0</v>
      </c>
      <c r="AJ102" s="26">
        <f t="shared" ca="1" si="188"/>
        <v>0</v>
      </c>
      <c r="AK102" s="26">
        <f t="shared" ca="1" si="188"/>
        <v>0</v>
      </c>
      <c r="AL102" s="26">
        <f t="shared" ca="1" si="188"/>
        <v>0</v>
      </c>
      <c r="AM102" s="26">
        <f t="shared" ca="1" si="188"/>
        <v>0</v>
      </c>
      <c r="AN102" s="26">
        <f t="shared" ca="1" si="188"/>
        <v>0</v>
      </c>
      <c r="AO102" s="26">
        <f t="shared" ca="1" si="188"/>
        <v>0</v>
      </c>
      <c r="AP102" s="26">
        <f t="shared" ca="1" si="188"/>
        <v>0</v>
      </c>
      <c r="AQ102" s="26">
        <f t="shared" ca="1" si="188"/>
        <v>0</v>
      </c>
      <c r="AR102" s="26">
        <f t="shared" ca="1" si="188"/>
        <v>0</v>
      </c>
      <c r="AS102" s="26">
        <f t="shared" ca="1" si="188"/>
        <v>0</v>
      </c>
      <c r="AT102" s="26">
        <f t="shared" ca="1" si="188"/>
        <v>0</v>
      </c>
      <c r="AU102" s="26">
        <f t="shared" ca="1" si="188"/>
        <v>0</v>
      </c>
      <c r="AV102" s="26">
        <f t="shared" ca="1" si="188"/>
        <v>0</v>
      </c>
      <c r="AW102" s="26">
        <f t="shared" ca="1" si="188"/>
        <v>0</v>
      </c>
      <c r="AX102" s="26">
        <f t="shared" ca="1" si="188"/>
        <v>0</v>
      </c>
      <c r="AY102" s="26">
        <f t="shared" ca="1" si="188"/>
        <v>0</v>
      </c>
      <c r="AZ102" s="26">
        <f t="shared" ca="1" si="188"/>
        <v>0</v>
      </c>
      <c r="BA102" s="26">
        <f t="shared" ca="1" si="188"/>
        <v>0</v>
      </c>
      <c r="BB102" s="26">
        <f t="shared" ca="1" si="188"/>
        <v>0</v>
      </c>
      <c r="BC102" s="26">
        <f t="shared" ca="1" si="188"/>
        <v>0</v>
      </c>
      <c r="BD102" s="26">
        <f t="shared" ca="1" si="188"/>
        <v>0</v>
      </c>
      <c r="BE102" s="26">
        <f t="shared" ca="1" si="188"/>
        <v>0</v>
      </c>
      <c r="BF102" s="26">
        <f t="shared" ca="1" si="188"/>
        <v>0</v>
      </c>
      <c r="BG102" s="26">
        <f t="shared" ca="1" si="188"/>
        <v>0</v>
      </c>
      <c r="BH102" s="26">
        <f t="shared" ca="1" si="188"/>
        <v>0</v>
      </c>
      <c r="BI102" s="26">
        <f t="shared" ca="1" si="188"/>
        <v>0</v>
      </c>
      <c r="BJ102" s="26">
        <f t="shared" ca="1" si="188"/>
        <v>0</v>
      </c>
      <c r="BK102" s="26">
        <f t="shared" ca="1" si="188"/>
        <v>0</v>
      </c>
      <c r="BL102" s="26">
        <f t="shared" ca="1" si="188"/>
        <v>0</v>
      </c>
      <c r="BM102" s="26">
        <f t="shared" ca="1" si="188"/>
        <v>0</v>
      </c>
      <c r="BN102" s="26">
        <f t="shared" ca="1" si="188"/>
        <v>0</v>
      </c>
      <c r="BO102" s="26">
        <f t="shared" ca="1" si="188"/>
        <v>0</v>
      </c>
      <c r="BP102" s="26">
        <f t="shared" ca="1" si="188"/>
        <v>0</v>
      </c>
      <c r="BQ102" s="26">
        <f t="shared" ca="1" si="188"/>
        <v>0</v>
      </c>
      <c r="BR102" s="26">
        <f t="shared" ca="1" si="188"/>
        <v>0</v>
      </c>
      <c r="BS102" s="282">
        <f ca="1">IF(ISNUMBER($A98),IF(INDEX(B100:G100,5)&lt;&gt;0,SIGN(INDEX(B100:G100,5))*INDIRECT(ADDRESS(1+ABS(INDEX(B100:G100,5)),COLUMN(Ksys!$B$1),1,TRUE,"Ksys")),0)+AB102,0)</f>
        <v>0</v>
      </c>
      <c r="BT102" s="61">
        <f ca="1"/>
        <v>0</v>
      </c>
      <c r="BU102" s="61">
        <f ca="1"/>
        <v>0</v>
      </c>
      <c r="BV102" s="61">
        <f ca="1"/>
        <v>0</v>
      </c>
      <c r="BW102" s="296" t="s">
        <v>102</v>
      </c>
      <c r="BX102" s="216">
        <f ca="1">IF(ISNUMBER($A98),$B99*(1-BX$1) + $C99*BX$1 + Knoten!$S$5*BX100,KnotenData!$H$2)</f>
        <v>0.5</v>
      </c>
      <c r="BY102" s="206">
        <f ca="1">IF(ISNUMBER($A98),$B99*(1-BY$1) + $C99*BY$1 + Knoten!$S$5*BY100,KnotenData!$H$2)</f>
        <v>0.5</v>
      </c>
      <c r="BZ102" s="206">
        <f ca="1">IF(ISNUMBER($A98),$B99*(1-BZ$1) + $C99*BZ$1 + Knoten!$S$5*BZ100,KnotenData!$H$2)</f>
        <v>0.5</v>
      </c>
      <c r="CA102" s="206">
        <f ca="1">IF(ISNUMBER($A98),$B99*(1-CA$1) + $C99*CA$1 + Knoten!$S$5*CA100,KnotenData!$H$2)</f>
        <v>0.5</v>
      </c>
      <c r="CB102" s="206">
        <f ca="1">IF(ISNUMBER($A98),$B99*(1-CB$1) + $C99*CB$1 + Knoten!$S$5*CB100,KnotenData!$H$2)</f>
        <v>0.5</v>
      </c>
      <c r="CC102" s="206">
        <f ca="1">IF(ISNUMBER($A98),$B99*(1-CC$1) + $C99*CC$1 + Knoten!$S$5*CC100,KnotenData!$H$2)</f>
        <v>0.5</v>
      </c>
      <c r="CD102" s="206">
        <f ca="1">IF(ISNUMBER($A98),$B99*(1-CD$1) + $C99*CD$1 + Knoten!$S$5*CD100,KnotenData!$H$2)</f>
        <v>0.5</v>
      </c>
      <c r="CE102" s="206">
        <f ca="1">IF(ISNUMBER($A98),$B99*(1-CE$1) + $C99*CE$1 + Knoten!$S$5*CE100,KnotenData!$H$2)</f>
        <v>0.5</v>
      </c>
      <c r="CF102" s="206">
        <f ca="1">IF(ISNUMBER($A98),$B99*(1-CF$1) + $C99*CF$1 + Knoten!$S$5*CF100,KnotenData!$H$2)</f>
        <v>0.5</v>
      </c>
      <c r="CG102" s="206">
        <f ca="1">IF(ISNUMBER($A98),$B99*(1-CG$1) + $C99*CG$1 + Knoten!$S$5*CG100,KnotenData!$H$2)</f>
        <v>0.5</v>
      </c>
      <c r="CH102" s="217">
        <f ca="1">IF(ISNUMBER($A98),$B99*(1-CH$1) + $C99*CH$1 + Knoten!$S$5*CH100,KnotenData!$H$2)</f>
        <v>0.5</v>
      </c>
      <c r="CI102" s="447">
        <f ca="1">MIN(BX102:CH102)</f>
        <v>0.5</v>
      </c>
      <c r="CJ102" s="447">
        <f ca="1">MIN(BX103:CH103)</f>
        <v>0.47499999999999998</v>
      </c>
      <c r="CK102" s="445"/>
      <c r="CM102" s="293" t="s">
        <v>102</v>
      </c>
      <c r="CN102" s="216">
        <f ca="1">IF(ISNUMBER($A98),$B99*(1-CN$1) + $C99*CN$1 + Momente!$D$6*CN100,KnotenData!$H$2)</f>
        <v>0.5</v>
      </c>
      <c r="CO102" s="206">
        <f ca="1">IF(ISNUMBER($A98),$B99*(1-CO$1) + $C99*CO$1 + Momente!$D$6*CO100,KnotenData!$H$2)</f>
        <v>0.5</v>
      </c>
      <c r="CP102" s="206">
        <f ca="1">IF(ISNUMBER($A98),$B99*(1-CP$1) + $C99*CP$1 + Momente!$D$6*CP100,KnotenData!$H$2)</f>
        <v>0.5</v>
      </c>
      <c r="CQ102" s="206">
        <f ca="1">IF(ISNUMBER($A98),$B99*(1-CQ$1) + $C99*CQ$1 + Momente!$D$6*CQ100,KnotenData!$H$2)</f>
        <v>0.5</v>
      </c>
      <c r="CR102" s="206">
        <f ca="1">IF(ISNUMBER($A98),$B99*(1-CR$1) + $C99*CR$1 + Momente!$D$6*CR100,KnotenData!$H$2)</f>
        <v>0.5</v>
      </c>
      <c r="CS102" s="206">
        <f ca="1">IF(ISNUMBER($A98),$B99*(1-CS$1) + $C99*CS$1 + Momente!$D$6*CS100,KnotenData!$H$2)</f>
        <v>0.5</v>
      </c>
      <c r="CT102" s="206">
        <f ca="1">IF(ISNUMBER($A98),$B99*(1-CT$1) + $C99*CT$1 + Momente!$D$6*CT100,KnotenData!$H$2)</f>
        <v>0.5</v>
      </c>
      <c r="CU102" s="206">
        <f ca="1">IF(ISNUMBER($A98),$B99*(1-CU$1) + $C99*CU$1 + Momente!$D$6*CU100,KnotenData!$H$2)</f>
        <v>0.5</v>
      </c>
      <c r="CV102" s="206">
        <f ca="1">IF(ISNUMBER($A98),$B99*(1-CV$1) + $C99*CV$1 + Momente!$D$6*CV100,KnotenData!$H$2)</f>
        <v>0.5</v>
      </c>
      <c r="CW102" s="206">
        <f ca="1">IF(ISNUMBER($A98),$B99*(1-CW$1) + $C99*CW$1 + Momente!$D$6*CW100,KnotenData!$H$2)</f>
        <v>0.5</v>
      </c>
      <c r="CX102" s="206">
        <f ca="1">IF(ISNUMBER($A98),$B99*(1-CX$1) + $C99*CX$1 + Momente!$D$6*CX100,KnotenData!$H$2)</f>
        <v>0.5</v>
      </c>
      <c r="CY102" s="206">
        <f ca="1">IF(ISNUMBER($A98),$C99,KnotenData!$H$2)</f>
        <v>0.5</v>
      </c>
      <c r="CZ102" s="206">
        <f ca="1">IF(ISNUMBER($A98),$B99,KnotenData!$H$2)</f>
        <v>0.5</v>
      </c>
      <c r="DA102" s="305">
        <f ca="1">IF(ISNUMBER($A98),CN102,KnotenData!$H$2)</f>
        <v>0.5</v>
      </c>
      <c r="DB102" s="7">
        <f ca="1">MIN(CN102:DA102)</f>
        <v>0.5</v>
      </c>
      <c r="DC102" s="8">
        <f ca="1">MIN(CN103:DA103)</f>
        <v>0.47499999999999998</v>
      </c>
      <c r="DD102" s="345"/>
      <c r="DF102" s="293" t="s">
        <v>102</v>
      </c>
      <c r="DG102" s="216">
        <f ca="1">IF(ISNUMBER($A98),$B99*(1-DG$1) + $C99*DG$1 + Querkräfte!$D$6*DG100,KnotenData!$H$2)</f>
        <v>0.5</v>
      </c>
      <c r="DH102" s="206">
        <f ca="1">IF(ISNUMBER($A98),$B99*(1-DH$1) + $C99*DH$1 + Querkräfte!$D$6*DH100,KnotenData!$H$2)</f>
        <v>0.5</v>
      </c>
      <c r="DI102" s="206">
        <f ca="1">IF(ISNUMBER($A98),$B99*(1-DI$1) + $C99*DI$1 + Querkräfte!$D$6*DI100,KnotenData!$H$2)</f>
        <v>0.5</v>
      </c>
      <c r="DJ102" s="206">
        <f ca="1">IF(ISNUMBER($A98),$B99*(1-DJ$1) + $C99*DJ$1 + Querkräfte!$D$6*DJ100,KnotenData!$H$2)</f>
        <v>0.5</v>
      </c>
      <c r="DK102" s="206">
        <f ca="1">IF(ISNUMBER($A98),$B99*(1-DK$1) + $C99*DK$1 + Querkräfte!$D$6*DK100,KnotenData!$H$2)</f>
        <v>0.5</v>
      </c>
      <c r="DL102" s="206">
        <f ca="1">IF(ISNUMBER($A98),$B99*(1-DL$1) + $C99*DL$1 + Querkräfte!$D$6*DL100,KnotenData!$H$2)</f>
        <v>0.5</v>
      </c>
      <c r="DM102" s="206">
        <f ca="1">IF(ISNUMBER($A98),$B99*(1-DM$1) + $C99*DM$1 + Querkräfte!$D$6*DM100,KnotenData!$H$2)</f>
        <v>0.5</v>
      </c>
      <c r="DN102" s="206">
        <f ca="1">IF(ISNUMBER($A98),$B99*(1-DN$1) + $C99*DN$1 + Querkräfte!$D$6*DN100,KnotenData!$H$2)</f>
        <v>0.5</v>
      </c>
      <c r="DO102" s="206">
        <f ca="1">IF(ISNUMBER($A98),$B99*(1-DO$1) + $C99*DO$1 + Querkräfte!$D$6*DO100,KnotenData!$H$2)</f>
        <v>0.5</v>
      </c>
      <c r="DP102" s="206">
        <f ca="1">IF(ISNUMBER($A98),$B99*(1-DP$1) + $C99*DP$1 + Querkräfte!$D$6*DP100,KnotenData!$H$2)</f>
        <v>0.5</v>
      </c>
      <c r="DQ102" s="206">
        <f ca="1">IF(ISNUMBER($A98),$B99*(1-DQ$1) + $C99*DQ$1 + Querkräfte!$D$6*DQ100,KnotenData!$H$2)</f>
        <v>0.5</v>
      </c>
      <c r="DR102" s="206">
        <f ca="1">IF(ISNUMBER($A98),$C99,KnotenData!$H$2)</f>
        <v>0.5</v>
      </c>
      <c r="DS102" s="206">
        <f ca="1">IF(ISNUMBER($A98),$B99,KnotenData!$H$2)</f>
        <v>0.5</v>
      </c>
      <c r="DT102" s="217">
        <f ca="1">IF(ISNUMBER($A98),DG102,KnotenData!$H$2)</f>
        <v>0.5</v>
      </c>
      <c r="DU102" s="145">
        <f ca="1">MIN(DG102:DQ102)</f>
        <v>0.5</v>
      </c>
      <c r="DV102" s="8">
        <f ca="1">MIN(DG103:DQ103)</f>
        <v>0.47499999999999998</v>
      </c>
      <c r="DW102" s="345"/>
      <c r="DY102" s="293" t="s">
        <v>102</v>
      </c>
      <c r="DZ102" s="216">
        <f ca="1">IF(ISNUMBER($A98),$B99*(1-DZ$1) + $C99*DZ$1 + Normalkräfte!$D$6*DZ100,KnotenData!$H$2)</f>
        <v>0.5</v>
      </c>
      <c r="EA102" s="206">
        <f ca="1">IF(ISNUMBER($A98),$B99*(1-EA$1) + $C99*EA$1 + Normalkräfte!$D$6*EA100,KnotenData!$H$2)</f>
        <v>0.5</v>
      </c>
      <c r="EB102" s="206">
        <f ca="1">IF(ISNUMBER($A98),$B99*(1-EB$1) + $C99*EB$1 + Normalkräfte!$D$6*EB100,KnotenData!$H$2)</f>
        <v>0.5</v>
      </c>
      <c r="EC102" s="206">
        <f ca="1">IF(ISNUMBER($A98),$B99*(1-EC$1) + $C99*EC$1 + Normalkräfte!$D$6*EC100,KnotenData!$H$2)</f>
        <v>0.5</v>
      </c>
      <c r="ED102" s="206">
        <f ca="1">IF(ISNUMBER($A98),$B99*(1-ED$1) + $C99*ED$1 + Normalkräfte!$D$6*ED100,KnotenData!$H$2)</f>
        <v>0.5</v>
      </c>
      <c r="EE102" s="206">
        <f ca="1">IF(ISNUMBER($A98),$B99*(1-EE$1) + $C99*EE$1 + Normalkräfte!$D$6*EE100,KnotenData!$H$2)</f>
        <v>0.5</v>
      </c>
      <c r="EF102" s="206">
        <f ca="1">IF(ISNUMBER($A98),$B99*(1-EF$1) + $C99*EF$1 + Normalkräfte!$D$6*EF100,KnotenData!$H$2)</f>
        <v>0.5</v>
      </c>
      <c r="EG102" s="206">
        <f ca="1">IF(ISNUMBER($A98),$B99*(1-EG$1) + $C99*EG$1 + Normalkräfte!$D$6*EG100,KnotenData!$H$2)</f>
        <v>0.5</v>
      </c>
      <c r="EH102" s="206">
        <f ca="1">IF(ISNUMBER($A98),$B99*(1-EH$1) + $C99*EH$1 + Normalkräfte!$D$6*EH100,KnotenData!$H$2)</f>
        <v>0.5</v>
      </c>
      <c r="EI102" s="206">
        <f ca="1">IF(ISNUMBER($A98),$B99*(1-EI$1) + $C99*EI$1 + Normalkräfte!$D$6*EI100,KnotenData!$H$2)</f>
        <v>0.5</v>
      </c>
      <c r="EJ102" s="206">
        <f ca="1">IF(ISNUMBER($A98),$B99*(1-EJ$1) + $C99*EJ$1 + Normalkräfte!$D$6*EJ100,KnotenData!$H$2)</f>
        <v>0.5</v>
      </c>
      <c r="EK102" s="256">
        <f ca="1">IF(ISNUMBER($A98),$C99,KnotenData!$H$2)</f>
        <v>0.5</v>
      </c>
      <c r="EL102" s="206">
        <f ca="1">IF(ISNUMBER($A98),$B99,KnotenData!$H$2)</f>
        <v>0.5</v>
      </c>
      <c r="EM102" s="217">
        <f ca="1">IF(ISNUMBER($A98),DZ102,KnotenData!$H$2)</f>
        <v>0.5</v>
      </c>
      <c r="EN102" s="7">
        <f ca="1">MIN(DZ102:EJ102)</f>
        <v>0.5</v>
      </c>
      <c r="EO102" s="8">
        <f ca="1">MIN(DZ103:EJ103)</f>
        <v>0.47499999999999998</v>
      </c>
      <c r="EP102" s="345"/>
    </row>
    <row r="103" spans="1:146" ht="13.5" thickBot="1" x14ac:dyDescent="0.25">
      <c r="E103" s="12"/>
      <c r="F103" s="12"/>
      <c r="J103" s="9">
        <v>0</v>
      </c>
      <c r="K103" s="10">
        <f ca="1">IF(G98=1,-6*B98/D98^2,IF(G98="2a",-3*B98/D98^2,IF(G98="2b",0,0)))</f>
        <v>0</v>
      </c>
      <c r="L103" s="146">
        <f ca="1">IF(G98=1,2*B98/D98,IF(G98="2a",0,IF(G98="2b",0,0)))</f>
        <v>0</v>
      </c>
      <c r="M103" s="9">
        <v>0</v>
      </c>
      <c r="N103" s="10">
        <f ca="1">-K103</f>
        <v>0</v>
      </c>
      <c r="O103" s="181">
        <f ca="1">IF(G98=1,4*B98/D98,IF(G98="2a",3*B98/D98,IF(G98="2b",0,0)))</f>
        <v>0</v>
      </c>
      <c r="P103" s="185">
        <v>0</v>
      </c>
      <c r="Q103" s="103">
        <v>0</v>
      </c>
      <c r="R103" s="103">
        <v>0</v>
      </c>
      <c r="S103" s="111">
        <v>0</v>
      </c>
      <c r="T103" s="111">
        <v>0</v>
      </c>
      <c r="U103" s="112">
        <v>1</v>
      </c>
      <c r="V103" s="9">
        <f ca="1"/>
        <v>0</v>
      </c>
      <c r="W103" s="10">
        <f ca="1"/>
        <v>0</v>
      </c>
      <c r="X103" s="146">
        <f ca="1"/>
        <v>0</v>
      </c>
      <c r="Y103" s="9">
        <f ca="1"/>
        <v>0</v>
      </c>
      <c r="Z103" s="10">
        <f ca="1"/>
        <v>0</v>
      </c>
      <c r="AA103" s="181">
        <f ca="1"/>
        <v>0</v>
      </c>
      <c r="AB103" s="62">
        <f ca="1">IF(ISNUMBER($A98),INDIRECT("System!" &amp; ADDRESS(A98+1,COLUMN(System!X97))),0)</f>
        <v>0</v>
      </c>
      <c r="AC103" s="302">
        <f ca="1">IF(G98=1,F98*D98^2/12,IF(G98="2a",F98*D98^2/8,IF(G98="2b",0,0)))</f>
        <v>0</v>
      </c>
      <c r="AD103" s="62">
        <f ca="1"/>
        <v>0</v>
      </c>
      <c r="AE103" s="9">
        <f t="shared" ref="AE103:BR103" ca="1" si="189">IF(ABS($G100)=AE$1,SIGN($G100),0)</f>
        <v>0</v>
      </c>
      <c r="AF103" s="10">
        <f t="shared" ca="1" si="189"/>
        <v>0</v>
      </c>
      <c r="AG103" s="10">
        <f t="shared" ca="1" si="189"/>
        <v>0</v>
      </c>
      <c r="AH103" s="10">
        <f t="shared" ca="1" si="189"/>
        <v>0</v>
      </c>
      <c r="AI103" s="10">
        <f t="shared" ca="1" si="189"/>
        <v>0</v>
      </c>
      <c r="AJ103" s="188">
        <f t="shared" ca="1" si="189"/>
        <v>0</v>
      </c>
      <c r="AK103" s="188">
        <f t="shared" ca="1" si="189"/>
        <v>0</v>
      </c>
      <c r="AL103" s="188">
        <f t="shared" ca="1" si="189"/>
        <v>0</v>
      </c>
      <c r="AM103" s="188">
        <f t="shared" ca="1" si="189"/>
        <v>0</v>
      </c>
      <c r="AN103" s="188">
        <f t="shared" ca="1" si="189"/>
        <v>0</v>
      </c>
      <c r="AO103" s="188">
        <f t="shared" ca="1" si="189"/>
        <v>0</v>
      </c>
      <c r="AP103" s="188">
        <f t="shared" ca="1" si="189"/>
        <v>0</v>
      </c>
      <c r="AQ103" s="188">
        <f t="shared" ca="1" si="189"/>
        <v>0</v>
      </c>
      <c r="AR103" s="188">
        <f t="shared" ca="1" si="189"/>
        <v>0</v>
      </c>
      <c r="AS103" s="188">
        <f t="shared" ca="1" si="189"/>
        <v>0</v>
      </c>
      <c r="AT103" s="188">
        <f t="shared" ca="1" si="189"/>
        <v>0</v>
      </c>
      <c r="AU103" s="188">
        <f t="shared" ca="1" si="189"/>
        <v>0</v>
      </c>
      <c r="AV103" s="188">
        <f t="shared" ca="1" si="189"/>
        <v>0</v>
      </c>
      <c r="AW103" s="188">
        <f t="shared" ca="1" si="189"/>
        <v>0</v>
      </c>
      <c r="AX103" s="188">
        <f t="shared" ca="1" si="189"/>
        <v>0</v>
      </c>
      <c r="AY103" s="188">
        <f t="shared" ca="1" si="189"/>
        <v>0</v>
      </c>
      <c r="AZ103" s="188">
        <f t="shared" ca="1" si="189"/>
        <v>0</v>
      </c>
      <c r="BA103" s="188">
        <f t="shared" ca="1" si="189"/>
        <v>0</v>
      </c>
      <c r="BB103" s="188">
        <f t="shared" ca="1" si="189"/>
        <v>0</v>
      </c>
      <c r="BC103" s="188">
        <f t="shared" ca="1" si="189"/>
        <v>0</v>
      </c>
      <c r="BD103" s="188">
        <f t="shared" ca="1" si="189"/>
        <v>0</v>
      </c>
      <c r="BE103" s="188">
        <f t="shared" ca="1" si="189"/>
        <v>0</v>
      </c>
      <c r="BF103" s="188">
        <f t="shared" ca="1" si="189"/>
        <v>0</v>
      </c>
      <c r="BG103" s="188">
        <f t="shared" ca="1" si="189"/>
        <v>0</v>
      </c>
      <c r="BH103" s="188">
        <f t="shared" ca="1" si="189"/>
        <v>0</v>
      </c>
      <c r="BI103" s="188">
        <f t="shared" ca="1" si="189"/>
        <v>0</v>
      </c>
      <c r="BJ103" s="188">
        <f t="shared" ca="1" si="189"/>
        <v>0</v>
      </c>
      <c r="BK103" s="188">
        <f t="shared" ca="1" si="189"/>
        <v>0</v>
      </c>
      <c r="BL103" s="188">
        <f t="shared" ca="1" si="189"/>
        <v>0</v>
      </c>
      <c r="BM103" s="188">
        <f t="shared" ca="1" si="189"/>
        <v>0</v>
      </c>
      <c r="BN103" s="188">
        <f t="shared" ca="1" si="189"/>
        <v>0</v>
      </c>
      <c r="BO103" s="188">
        <f t="shared" ca="1" si="189"/>
        <v>0</v>
      </c>
      <c r="BP103" s="188">
        <f t="shared" ca="1" si="189"/>
        <v>0</v>
      </c>
      <c r="BQ103" s="188">
        <f t="shared" ca="1" si="189"/>
        <v>0</v>
      </c>
      <c r="BR103" s="188">
        <f t="shared" ca="1" si="189"/>
        <v>0</v>
      </c>
      <c r="BS103" s="283">
        <f ca="1">IF(ISNUMBER($A98),IF(INDEX(B100:G100,6)&lt;&gt;0,SIGN(INDEX(B100:G100,6))*INDIRECT(ADDRESS(1+ABS(INDEX(B100:G100,6)),COLUMN(Ksys!$B$1),1,TRUE,"Ksys")),0)+AB103,0)</f>
        <v>0</v>
      </c>
      <c r="BT103" s="62">
        <f ca="1"/>
        <v>0</v>
      </c>
      <c r="BU103" s="62">
        <f ca="1"/>
        <v>0</v>
      </c>
      <c r="BV103" s="62">
        <f ca="1"/>
        <v>0</v>
      </c>
      <c r="BW103" s="297" t="s">
        <v>103</v>
      </c>
      <c r="BX103" s="218">
        <f ca="1">IF(ISNUMBER($A98),$D99*(1-BX$1) + $E99*BX$1 + Knoten!$S$5*BX101,KnotenData!$H$3)</f>
        <v>0.47499999999999998</v>
      </c>
      <c r="BY103" s="295">
        <f ca="1">IF(ISNUMBER($A98),$D99*(1-BY$1) + $E99*BY$1 + Knoten!$S$5*BY101,KnotenData!$H$3)</f>
        <v>0.47499999999999998</v>
      </c>
      <c r="BZ103" s="295">
        <f ca="1">IF(ISNUMBER($A98),$D99*(1-BZ$1) + $E99*BZ$1 + Knoten!$S$5*BZ101,KnotenData!$H$3)</f>
        <v>0.47499999999999998</v>
      </c>
      <c r="CA103" s="295">
        <f ca="1">IF(ISNUMBER($A98),$D99*(1-CA$1) + $E99*CA$1 + Knoten!$S$5*CA101,KnotenData!$H$3)</f>
        <v>0.47499999999999998</v>
      </c>
      <c r="CB103" s="295">
        <f ca="1">IF(ISNUMBER($A98),$D99*(1-CB$1) + $E99*CB$1 + Knoten!$S$5*CB101,KnotenData!$H$3)</f>
        <v>0.47499999999999998</v>
      </c>
      <c r="CC103" s="295">
        <f ca="1">IF(ISNUMBER($A98),$D99*(1-CC$1) + $E99*CC$1 + Knoten!$S$5*CC101,KnotenData!$H$3)</f>
        <v>0.47499999999999998</v>
      </c>
      <c r="CD103" s="295">
        <f ca="1">IF(ISNUMBER($A98),$D99*(1-CD$1) + $E99*CD$1 + Knoten!$S$5*CD101,KnotenData!$H$3)</f>
        <v>0.47499999999999998</v>
      </c>
      <c r="CE103" s="295">
        <f ca="1">IF(ISNUMBER($A98),$D99*(1-CE$1) + $E99*CE$1 + Knoten!$S$5*CE101,KnotenData!$H$3)</f>
        <v>0.47499999999999998</v>
      </c>
      <c r="CF103" s="295">
        <f ca="1">IF(ISNUMBER($A98),$D99*(1-CF$1) + $E99*CF$1 + Knoten!$S$5*CF101,KnotenData!$H$3)</f>
        <v>0.47499999999999998</v>
      </c>
      <c r="CG103" s="295">
        <f ca="1">IF(ISNUMBER($A98),$D99*(1-CG$1) + $E99*CG$1 + Knoten!$S$5*CG101,KnotenData!$H$3)</f>
        <v>0.47499999999999998</v>
      </c>
      <c r="CH103" s="219">
        <f ca="1">IF(ISNUMBER($A98),$D99*(1-CH$1) + $E99*CH$1 + Knoten!$S$5*CH101,KnotenData!$H$3)</f>
        <v>0.47499999999999998</v>
      </c>
      <c r="CI103" s="449">
        <f ca="1">MAX(BX102:CH102)</f>
        <v>0.5</v>
      </c>
      <c r="CJ103" s="448">
        <f ca="1">MAX(BX103:CH103)</f>
        <v>0.47499999999999998</v>
      </c>
      <c r="CK103" s="446"/>
      <c r="CL103">
        <v>17</v>
      </c>
      <c r="CM103" s="294" t="s">
        <v>103</v>
      </c>
      <c r="CN103" s="218">
        <f ca="1">IF(ISNUMBER($A98),$D99*(1-CN$1) + $E99*CN$1 + Momente!$D$6*CN101,KnotenData!$H$3)</f>
        <v>0.47499999999999998</v>
      </c>
      <c r="CO103" s="295">
        <f ca="1">IF(ISNUMBER($A98),$D99*(1-CO$1) + $E99*CO$1 + Momente!$D$6*CO101,KnotenData!$H$3)</f>
        <v>0.47499999999999998</v>
      </c>
      <c r="CP103" s="295">
        <f ca="1">IF(ISNUMBER($A98),$D99*(1-CP$1) + $E99*CP$1 + Momente!$D$6*CP101,KnotenData!$H$3)</f>
        <v>0.47499999999999998</v>
      </c>
      <c r="CQ103" s="295">
        <f ca="1">IF(ISNUMBER($A98),$D99*(1-CQ$1) + $E99*CQ$1 + Momente!$D$6*CQ101,KnotenData!$H$3)</f>
        <v>0.47499999999999998</v>
      </c>
      <c r="CR103" s="295">
        <f ca="1">IF(ISNUMBER($A98),$D99*(1-CR$1) + $E99*CR$1 + Momente!$D$6*CR101,KnotenData!$H$3)</f>
        <v>0.47499999999999998</v>
      </c>
      <c r="CS103" s="295">
        <f ca="1">IF(ISNUMBER($A98),$D99*(1-CS$1) + $E99*CS$1 + Momente!$D$6*CS101,KnotenData!$H$3)</f>
        <v>0.47499999999999998</v>
      </c>
      <c r="CT103" s="295">
        <f ca="1">IF(ISNUMBER($A98),$D99*(1-CT$1) + $E99*CT$1 + Momente!$D$6*CT101,KnotenData!$H$3)</f>
        <v>0.47499999999999998</v>
      </c>
      <c r="CU103" s="295">
        <f ca="1">IF(ISNUMBER($A98),$D99*(1-CU$1) + $E99*CU$1 + Momente!$D$6*CU101,KnotenData!$H$3)</f>
        <v>0.47499999999999998</v>
      </c>
      <c r="CV103" s="295">
        <f ca="1">IF(ISNUMBER($A98),$D99*(1-CV$1) + $E99*CV$1 + Momente!$D$6*CV101,KnotenData!$H$3)</f>
        <v>0.47499999999999998</v>
      </c>
      <c r="CW103" s="295">
        <f ca="1">IF(ISNUMBER($A98),$D99*(1-CW$1) + $E99*CW$1 + Momente!$D$6*CW101,KnotenData!$H$3)</f>
        <v>0.47499999999999998</v>
      </c>
      <c r="CX103" s="295">
        <f ca="1">IF(ISNUMBER($A98),$D99*(1-CX$1) + $E99*CX$1 + Momente!$D$6*CX101,KnotenData!$H$3)</f>
        <v>0.47499999999999998</v>
      </c>
      <c r="CY103" s="295">
        <f ca="1">IF(ISNUMBER($A98),$E99,KnotenData!$H$3)</f>
        <v>0.47499999999999998</v>
      </c>
      <c r="CZ103" s="295">
        <f ca="1">IF(ISNUMBER($A98),$D99,KnotenData!$H$3)</f>
        <v>0.47499999999999998</v>
      </c>
      <c r="DA103" s="306">
        <f ca="1">IF(ISNUMBER($A98),CN103,KnotenData!$H$3)</f>
        <v>0.47499999999999998</v>
      </c>
      <c r="DB103" s="9">
        <f ca="1">MAX(CN102:DA102)</f>
        <v>0.5</v>
      </c>
      <c r="DC103" s="146">
        <f ca="1">MAX(CN103:DA103)</f>
        <v>0.47499999999999998</v>
      </c>
      <c r="DD103" s="346"/>
      <c r="DE103">
        <v>17</v>
      </c>
      <c r="DF103" s="294" t="s">
        <v>103</v>
      </c>
      <c r="DG103" s="218">
        <f ca="1">IF(ISNUMBER($A98),$D99*(1-DG$1) + $E99*DG$1 + Querkräfte!$D$6*DG101,KnotenData!$H$3)</f>
        <v>0.47499999999999998</v>
      </c>
      <c r="DH103" s="295">
        <f ca="1">IF(ISNUMBER($A98),$D99*(1-DH$1) + $E99*DH$1 + Querkräfte!$D$6*DH101,KnotenData!$H$3)</f>
        <v>0.47499999999999998</v>
      </c>
      <c r="DI103" s="295">
        <f ca="1">IF(ISNUMBER($A98),$D99*(1-DI$1) + $E99*DI$1 + Querkräfte!$D$6*DI101,KnotenData!$H$3)</f>
        <v>0.47499999999999998</v>
      </c>
      <c r="DJ103" s="295">
        <f ca="1">IF(ISNUMBER($A98),$D99*(1-DJ$1) + $E99*DJ$1 + Querkräfte!$D$6*DJ101,KnotenData!$H$3)</f>
        <v>0.47499999999999998</v>
      </c>
      <c r="DK103" s="295">
        <f ca="1">IF(ISNUMBER($A98),$D99*(1-DK$1) + $E99*DK$1 + Querkräfte!$D$6*DK101,KnotenData!$H$3)</f>
        <v>0.47499999999999998</v>
      </c>
      <c r="DL103" s="295">
        <f ca="1">IF(ISNUMBER($A98),$D99*(1-DL$1) + $E99*DL$1 + Querkräfte!$D$6*DL101,KnotenData!$H$3)</f>
        <v>0.47499999999999998</v>
      </c>
      <c r="DM103" s="295">
        <f ca="1">IF(ISNUMBER($A98),$D99*(1-DM$1) + $E99*DM$1 + Querkräfte!$D$6*DM101,KnotenData!$H$3)</f>
        <v>0.47499999999999998</v>
      </c>
      <c r="DN103" s="295">
        <f ca="1">IF(ISNUMBER($A98),$D99*(1-DN$1) + $E99*DN$1 + Querkräfte!$D$6*DN101,KnotenData!$H$3)</f>
        <v>0.47499999999999998</v>
      </c>
      <c r="DO103" s="295">
        <f ca="1">IF(ISNUMBER($A98),$D99*(1-DO$1) + $E99*DO$1 + Querkräfte!$D$6*DO101,KnotenData!$H$3)</f>
        <v>0.47499999999999998</v>
      </c>
      <c r="DP103" s="295">
        <f ca="1">IF(ISNUMBER($A98),$D99*(1-DP$1) + $E99*DP$1 + Querkräfte!$D$6*DP101,KnotenData!$H$3)</f>
        <v>0.47499999999999998</v>
      </c>
      <c r="DQ103" s="295">
        <f ca="1">IF(ISNUMBER($A98),$D99*(1-DQ$1) + $E99*DQ$1 + Querkräfte!$D$6*DQ101,KnotenData!$H$3)</f>
        <v>0.47499999999999998</v>
      </c>
      <c r="DR103" s="295">
        <f ca="1">IF(ISNUMBER($A98),$E99,KnotenData!$H$3)</f>
        <v>0.47499999999999998</v>
      </c>
      <c r="DS103" s="295">
        <f ca="1">IF(ISNUMBER($A98),$D99,KnotenData!$H$3)</f>
        <v>0.47499999999999998</v>
      </c>
      <c r="DT103" s="219">
        <f ca="1">IF(ISNUMBER($A98),DG103,KnotenData!$H$3)</f>
        <v>0.47499999999999998</v>
      </c>
      <c r="DU103" s="11">
        <f ca="1">MAX(DG102:DQ102)</f>
        <v>0.5</v>
      </c>
      <c r="DV103" s="146">
        <f ca="1">MAX(DG103:DQ103)</f>
        <v>0.47499999999999998</v>
      </c>
      <c r="DW103" s="346"/>
      <c r="DX103">
        <v>17</v>
      </c>
      <c r="DY103" s="294" t="s">
        <v>103</v>
      </c>
      <c r="DZ103" s="218">
        <f ca="1">IF(ISNUMBER($A98),$D99*(1-DZ$1) + $E99*DZ$1 + Normalkräfte!$D$6*DZ101,KnotenData!$H$3)</f>
        <v>0.47499999999999998</v>
      </c>
      <c r="EA103" s="295">
        <f ca="1">IF(ISNUMBER($A98),$D99*(1-EA$1) + $E99*EA$1 + Normalkräfte!$D$6*EA101,KnotenData!$H$3)</f>
        <v>0.47499999999999998</v>
      </c>
      <c r="EB103" s="295">
        <f ca="1">IF(ISNUMBER($A98),$D99*(1-EB$1) + $E99*EB$1 + Normalkräfte!$D$6*EB101,KnotenData!$H$3)</f>
        <v>0.47499999999999998</v>
      </c>
      <c r="EC103" s="295">
        <f ca="1">IF(ISNUMBER($A98),$D99*(1-EC$1) + $E99*EC$1 + Normalkräfte!$D$6*EC101,KnotenData!$H$3)</f>
        <v>0.47499999999999998</v>
      </c>
      <c r="ED103" s="295">
        <f ca="1">IF(ISNUMBER($A98),$D99*(1-ED$1) + $E99*ED$1 + Normalkräfte!$D$6*ED101,KnotenData!$H$3)</f>
        <v>0.47499999999999998</v>
      </c>
      <c r="EE103" s="295">
        <f ca="1">IF(ISNUMBER($A98),$D99*(1-EE$1) + $E99*EE$1 + Normalkräfte!$D$6*EE101,KnotenData!$H$3)</f>
        <v>0.47499999999999998</v>
      </c>
      <c r="EF103" s="295">
        <f ca="1">IF(ISNUMBER($A98),$D99*(1-EF$1) + $E99*EF$1 + Normalkräfte!$D$6*EF101,KnotenData!$H$3)</f>
        <v>0.47499999999999998</v>
      </c>
      <c r="EG103" s="295">
        <f ca="1">IF(ISNUMBER($A98),$D99*(1-EG$1) + $E99*EG$1 + Normalkräfte!$D$6*EG101,KnotenData!$H$3)</f>
        <v>0.47499999999999998</v>
      </c>
      <c r="EH103" s="295">
        <f ca="1">IF(ISNUMBER($A98),$D99*(1-EH$1) + $E99*EH$1 + Normalkräfte!$D$6*EH101,KnotenData!$H$3)</f>
        <v>0.47499999999999998</v>
      </c>
      <c r="EI103" s="295">
        <f ca="1">IF(ISNUMBER($A98),$D99*(1-EI$1) + $E99*EI$1 + Normalkräfte!$D$6*EI101,KnotenData!$H$3)</f>
        <v>0.47499999999999998</v>
      </c>
      <c r="EJ103" s="295">
        <f ca="1">IF(ISNUMBER($A98),$D99*(1-EJ$1) + $E99*EJ$1 + Normalkräfte!$D$6*EJ101,KnotenData!$H$3)</f>
        <v>0.47499999999999998</v>
      </c>
      <c r="EK103" s="295">
        <f ca="1">IF(ISNUMBER($A98),$E99,KnotenData!$H$3)</f>
        <v>0.47499999999999998</v>
      </c>
      <c r="EL103" s="295">
        <f ca="1">IF(ISNUMBER($A98),$D99,KnotenData!$H$3)</f>
        <v>0.47499999999999998</v>
      </c>
      <c r="EM103" s="219">
        <f ca="1">IF(ISNUMBER($A98),DZ103,KnotenData!$H$3)</f>
        <v>0.47499999999999998</v>
      </c>
      <c r="EN103" s="9">
        <f ca="1">MAX(DZ102:EJ102)</f>
        <v>0.5</v>
      </c>
      <c r="EO103" s="146">
        <f ca="1">MAX(DZ103:EJ103)</f>
        <v>0.47499999999999998</v>
      </c>
      <c r="EP103" s="346"/>
    </row>
    <row r="104" spans="1:146" x14ac:dyDescent="0.2">
      <c r="A104" s="205" t="str">
        <f ca="1">IF(ISNUMBER(INDIRECT("System!C" &amp;(ROW(A104)+4)/6+1)),INDIRECT("System!B"&amp;(ROW(A104)+4)/6+1),"")</f>
        <v/>
      </c>
      <c r="B104" s="206">
        <f ca="1">IF(ISNUMBER(A104),INDIRECT("System!" &amp; ADDRESS(A104 +1,COLUMN(System!E103))),0)</f>
        <v>0</v>
      </c>
      <c r="C104" s="206">
        <f ca="1">IF(ISNUMBER(A104),INDIRECT("System!" &amp; ADDRESS(A104 +1,COLUMN(System!F103))),0)</f>
        <v>0</v>
      </c>
      <c r="D104" s="209">
        <f ca="1">IF(ISNUMBER(A104),INDIRECT("System!" &amp; ADDRESS(A104 +1,COLUMN(System!O103))),0)</f>
        <v>0</v>
      </c>
      <c r="E104" s="208" t="str">
        <f ca="1">IF(ISNUMBER(A104),INDIRECT("System!" &amp; ADDRESS(A104 +1,COLUMN(System!G103))),"")</f>
        <v/>
      </c>
      <c r="F104" s="208" t="str">
        <f ca="1">IF(ISNUMBER(A104),INDIRECT("System!" &amp; ADDRESS(A104 +1,COLUMN(System!H103))),"")</f>
        <v/>
      </c>
      <c r="G104" s="261" t="str">
        <f ca="1">IF(ISNUMBER(A104),INDIRECT("System!" &amp; ADDRESS(A104 +1,COLUMN(System!I103))),"")</f>
        <v/>
      </c>
      <c r="H104" s="207">
        <f ca="1">IF(ISNUMBER($A104),INDIRECT("System!" &amp; ADDRESS($A104 +1,COLUMN(System!Q103))),0)</f>
        <v>0</v>
      </c>
      <c r="I104" s="209">
        <f ca="1">IF(ISNUMBER($A104),INDIRECT("System!" &amp; ADDRESS($A104 +1,COLUMN(System!R103))),0)</f>
        <v>0</v>
      </c>
      <c r="J104" s="179">
        <f ca="1">IF(ISNUMBER(A104),C104/D104,0)</f>
        <v>0</v>
      </c>
      <c r="K104" s="5">
        <v>0</v>
      </c>
      <c r="L104" s="6">
        <v>0</v>
      </c>
      <c r="M104" s="4">
        <f ca="1">-J104</f>
        <v>0</v>
      </c>
      <c r="N104" s="5">
        <v>0</v>
      </c>
      <c r="O104" s="6">
        <v>0</v>
      </c>
      <c r="P104" s="141">
        <f ca="1">I104</f>
        <v>0</v>
      </c>
      <c r="Q104" s="142">
        <f ca="1">-H104</f>
        <v>0</v>
      </c>
      <c r="R104" s="142">
        <v>0</v>
      </c>
      <c r="S104" s="182">
        <v>0</v>
      </c>
      <c r="T104" s="182">
        <v>0</v>
      </c>
      <c r="U104" s="183">
        <v>0</v>
      </c>
      <c r="V104" s="179">
        <f t="array" aca="1" ref="V104:AA109" ca="1">MMULT(TRANSPOSE(P104:U109),MMULT(J104:O109,P104:U109))</f>
        <v>0</v>
      </c>
      <c r="W104" s="5">
        <f ca="1"/>
        <v>0</v>
      </c>
      <c r="X104" s="6">
        <f ca="1"/>
        <v>0</v>
      </c>
      <c r="Y104" s="4">
        <f ca="1"/>
        <v>0</v>
      </c>
      <c r="Z104" s="5">
        <f ca="1"/>
        <v>0</v>
      </c>
      <c r="AA104" s="6">
        <f ca="1"/>
        <v>0</v>
      </c>
      <c r="AB104" s="60">
        <f ca="1">IF(ISNUMBER($A104),INDIRECT("System!" &amp; ADDRESS(A104+1,COLUMN(System!S103))),0)</f>
        <v>0</v>
      </c>
      <c r="AC104" s="299">
        <f ca="1">IF(ISNUMBER(E104),E104*D104/2,0)</f>
        <v>0</v>
      </c>
      <c r="AD104" s="60">
        <f t="array" aca="1" ref="AD104:AD109" ca="1">MMULT(TRANSPOSE(P104:U109),AC104:AC109) - MMULT(V104:AA109,AB104:AB109)</f>
        <v>0</v>
      </c>
      <c r="AE104" s="4">
        <f t="shared" ref="AE104:BR104" ca="1" si="190">IF(ABS($B106)=AE$1,SIGN($B106),0)</f>
        <v>0</v>
      </c>
      <c r="AF104" s="5">
        <f t="shared" ca="1" si="190"/>
        <v>0</v>
      </c>
      <c r="AG104" s="5">
        <f t="shared" ca="1" si="190"/>
        <v>0</v>
      </c>
      <c r="AH104" s="5">
        <f t="shared" ca="1" si="190"/>
        <v>0</v>
      </c>
      <c r="AI104" s="5">
        <f t="shared" ca="1" si="190"/>
        <v>0</v>
      </c>
      <c r="AJ104" s="189">
        <f t="shared" ca="1" si="190"/>
        <v>0</v>
      </c>
      <c r="AK104" s="189">
        <f t="shared" ca="1" si="190"/>
        <v>0</v>
      </c>
      <c r="AL104" s="189">
        <f t="shared" ca="1" si="190"/>
        <v>0</v>
      </c>
      <c r="AM104" s="189">
        <f t="shared" ca="1" si="190"/>
        <v>0</v>
      </c>
      <c r="AN104" s="189">
        <f t="shared" ca="1" si="190"/>
        <v>0</v>
      </c>
      <c r="AO104" s="189">
        <f t="shared" ca="1" si="190"/>
        <v>0</v>
      </c>
      <c r="AP104" s="189">
        <f t="shared" ca="1" si="190"/>
        <v>0</v>
      </c>
      <c r="AQ104" s="189">
        <f t="shared" ca="1" si="190"/>
        <v>0</v>
      </c>
      <c r="AR104" s="189">
        <f t="shared" ca="1" si="190"/>
        <v>0</v>
      </c>
      <c r="AS104" s="189">
        <f t="shared" ca="1" si="190"/>
        <v>0</v>
      </c>
      <c r="AT104" s="189">
        <f t="shared" ca="1" si="190"/>
        <v>0</v>
      </c>
      <c r="AU104" s="189">
        <f t="shared" ca="1" si="190"/>
        <v>0</v>
      </c>
      <c r="AV104" s="189">
        <f t="shared" ca="1" si="190"/>
        <v>0</v>
      </c>
      <c r="AW104" s="189">
        <f t="shared" ca="1" si="190"/>
        <v>0</v>
      </c>
      <c r="AX104" s="189">
        <f t="shared" ca="1" si="190"/>
        <v>0</v>
      </c>
      <c r="AY104" s="189">
        <f t="shared" ca="1" si="190"/>
        <v>0</v>
      </c>
      <c r="AZ104" s="189">
        <f t="shared" ca="1" si="190"/>
        <v>0</v>
      </c>
      <c r="BA104" s="189">
        <f t="shared" ca="1" si="190"/>
        <v>0</v>
      </c>
      <c r="BB104" s="189">
        <f t="shared" ca="1" si="190"/>
        <v>0</v>
      </c>
      <c r="BC104" s="189">
        <f t="shared" ca="1" si="190"/>
        <v>0</v>
      </c>
      <c r="BD104" s="189">
        <f t="shared" ca="1" si="190"/>
        <v>0</v>
      </c>
      <c r="BE104" s="189">
        <f t="shared" ca="1" si="190"/>
        <v>0</v>
      </c>
      <c r="BF104" s="189">
        <f t="shared" ca="1" si="190"/>
        <v>0</v>
      </c>
      <c r="BG104" s="189">
        <f t="shared" ca="1" si="190"/>
        <v>0</v>
      </c>
      <c r="BH104" s="189">
        <f t="shared" ca="1" si="190"/>
        <v>0</v>
      </c>
      <c r="BI104" s="189">
        <f t="shared" ca="1" si="190"/>
        <v>0</v>
      </c>
      <c r="BJ104" s="189">
        <f t="shared" ca="1" si="190"/>
        <v>0</v>
      </c>
      <c r="BK104" s="189">
        <f t="shared" ca="1" si="190"/>
        <v>0</v>
      </c>
      <c r="BL104" s="189">
        <f t="shared" ca="1" si="190"/>
        <v>0</v>
      </c>
      <c r="BM104" s="189">
        <f t="shared" ca="1" si="190"/>
        <v>0</v>
      </c>
      <c r="BN104" s="189">
        <f t="shared" ca="1" si="190"/>
        <v>0</v>
      </c>
      <c r="BO104" s="189">
        <f t="shared" ca="1" si="190"/>
        <v>0</v>
      </c>
      <c r="BP104" s="189">
        <f t="shared" ca="1" si="190"/>
        <v>0</v>
      </c>
      <c r="BQ104" s="189">
        <f t="shared" ca="1" si="190"/>
        <v>0</v>
      </c>
      <c r="BR104" s="189">
        <f t="shared" ca="1" si="190"/>
        <v>0</v>
      </c>
      <c r="BS104" s="281">
        <f ca="1">IF(ISNUMBER($A104),IF(INDEX(B106:G106,1)&lt;&gt;0,SIGN(INDEX(B106:G106,1))*INDIRECT(ADDRESS(1+ABS(INDEX(B106:G106,1)),COLUMN(Ksys!$B$1),1,TRUE,"Ksys")),0)+AB104,0)</f>
        <v>0</v>
      </c>
      <c r="BT104" s="60">
        <f t="array" aca="1" ref="BT104:BT109" ca="1">MMULT(P104:U109,BS104:BS109)</f>
        <v>0</v>
      </c>
      <c r="BU104" s="60">
        <f t="array" aca="1" ref="BU104:BU109" ca="1">MMULT(J104:O109,BT104:BT109)-AC104:AC109</f>
        <v>0</v>
      </c>
      <c r="BV104" s="60">
        <f t="array" aca="1" ref="BV104:BV106" ca="1">-(MMULT(J104:O106,BT104:BT109)-AC104:AC106)</f>
        <v>0</v>
      </c>
      <c r="BW104" s="286" t="s">
        <v>97</v>
      </c>
      <c r="BX104" s="4">
        <f t="shared" ref="BX104:CH104" ca="1" si="191">IF(ISNUMBER($A104),$BT104*(1-BX$1) + $BT107*BX$1,0)</f>
        <v>0</v>
      </c>
      <c r="BY104" s="5">
        <f t="shared" ca="1" si="191"/>
        <v>0</v>
      </c>
      <c r="BZ104" s="5">
        <f t="shared" ca="1" si="191"/>
        <v>0</v>
      </c>
      <c r="CA104" s="5">
        <f t="shared" ca="1" si="191"/>
        <v>0</v>
      </c>
      <c r="CB104" s="5">
        <f t="shared" ca="1" si="191"/>
        <v>0</v>
      </c>
      <c r="CC104" s="5">
        <f t="shared" ca="1" si="191"/>
        <v>0</v>
      </c>
      <c r="CD104" s="5">
        <f t="shared" ca="1" si="191"/>
        <v>0</v>
      </c>
      <c r="CE104" s="5">
        <f t="shared" ca="1" si="191"/>
        <v>0</v>
      </c>
      <c r="CF104" s="5">
        <f t="shared" ca="1" si="191"/>
        <v>0</v>
      </c>
      <c r="CG104" s="5">
        <f t="shared" ca="1" si="191"/>
        <v>0</v>
      </c>
      <c r="CH104" s="6">
        <f t="shared" ca="1" si="191"/>
        <v>0</v>
      </c>
      <c r="CI104" s="343"/>
      <c r="CJ104" s="343"/>
      <c r="CK104" s="308"/>
      <c r="CM104" s="290" t="s">
        <v>97</v>
      </c>
      <c r="CN104" s="4">
        <v>0</v>
      </c>
      <c r="CO104" s="5">
        <v>0</v>
      </c>
      <c r="CP104" s="5">
        <v>0</v>
      </c>
      <c r="CQ104" s="5">
        <v>0</v>
      </c>
      <c r="CR104" s="5">
        <v>0</v>
      </c>
      <c r="CS104" s="5">
        <v>0</v>
      </c>
      <c r="CT104" s="5">
        <v>0</v>
      </c>
      <c r="CU104" s="5">
        <v>0</v>
      </c>
      <c r="CV104" s="5">
        <v>0</v>
      </c>
      <c r="CW104" s="5">
        <v>0</v>
      </c>
      <c r="CX104" s="5">
        <v>0</v>
      </c>
      <c r="CY104" s="5"/>
      <c r="CZ104" s="5"/>
      <c r="DA104" s="189"/>
      <c r="DB104" s="307"/>
      <c r="DC104" s="308"/>
      <c r="DD104" s="343"/>
      <c r="DF104" s="290" t="s">
        <v>97</v>
      </c>
      <c r="DG104" s="4">
        <v>0</v>
      </c>
      <c r="DH104" s="5">
        <v>0</v>
      </c>
      <c r="DI104" s="5">
        <v>0</v>
      </c>
      <c r="DJ104" s="5">
        <v>0</v>
      </c>
      <c r="DK104" s="5">
        <v>0</v>
      </c>
      <c r="DL104" s="5">
        <v>0</v>
      </c>
      <c r="DM104" s="5">
        <v>0</v>
      </c>
      <c r="DN104" s="5">
        <v>0</v>
      </c>
      <c r="DO104" s="5">
        <v>0</v>
      </c>
      <c r="DP104" s="5">
        <v>0</v>
      </c>
      <c r="DQ104" s="5">
        <v>0</v>
      </c>
      <c r="DR104" s="5"/>
      <c r="DS104" s="5"/>
      <c r="DT104" s="6"/>
      <c r="DU104" s="325"/>
      <c r="DV104" s="308"/>
      <c r="DW104" s="343"/>
      <c r="DY104" s="290" t="s">
        <v>97</v>
      </c>
      <c r="DZ104" s="4">
        <v>0</v>
      </c>
      <c r="EA104" s="5">
        <v>0</v>
      </c>
      <c r="EB104" s="5">
        <v>0</v>
      </c>
      <c r="EC104" s="5">
        <v>0</v>
      </c>
      <c r="ED104" s="5">
        <v>0</v>
      </c>
      <c r="EE104" s="5">
        <v>0</v>
      </c>
      <c r="EF104" s="5">
        <v>0</v>
      </c>
      <c r="EG104" s="5">
        <v>0</v>
      </c>
      <c r="EH104" s="5">
        <v>0</v>
      </c>
      <c r="EI104" s="5">
        <v>0</v>
      </c>
      <c r="EJ104" s="5">
        <v>0</v>
      </c>
      <c r="EK104" s="5"/>
      <c r="EL104" s="5"/>
      <c r="EM104" s="6"/>
      <c r="EN104" s="307"/>
      <c r="EO104" s="308"/>
      <c r="EP104" s="343"/>
    </row>
    <row r="105" spans="1:146" x14ac:dyDescent="0.2">
      <c r="B105" s="1">
        <f ca="1">IF(ISNUMBER($A104),INDIRECT(ADDRESS($A104+1,COLUMN(System!K$2),1,TRUE,"System")),0)</f>
        <v>0</v>
      </c>
      <c r="C105" s="1">
        <f ca="1">IF(ISNUMBER($A104),INDIRECT(ADDRESS($A104+1,COLUMN(System!L$2),1,TRUE,"System")),0)</f>
        <v>0</v>
      </c>
      <c r="D105" s="1">
        <f ca="1">IF(ISNUMBER($A104),INDIRECT(ADDRESS($A104+1,COLUMN(System!M$2),1,TRUE,"System")),0)</f>
        <v>0</v>
      </c>
      <c r="E105" s="1">
        <f ca="1">IF(ISNUMBER($A104),INDIRECT(ADDRESS($A104+1,COLUMN(System!N$2),1,TRUE,"System")),0)</f>
        <v>0</v>
      </c>
      <c r="F105" s="12"/>
      <c r="J105" s="7">
        <v>0</v>
      </c>
      <c r="K105" s="180">
        <f ca="1">IF(G104=1,12*B104/D104^3,IF(G104="2a",3*B104/D104^3,IF(G104="2b",3*B104/D104^3,0)))</f>
        <v>0</v>
      </c>
      <c r="L105" s="8">
        <f ca="1">K106</f>
        <v>0</v>
      </c>
      <c r="M105" s="7">
        <v>0</v>
      </c>
      <c r="N105" s="1">
        <f ca="1">-K105</f>
        <v>0</v>
      </c>
      <c r="O105" s="8">
        <f ca="1">K109</f>
        <v>0</v>
      </c>
      <c r="P105" s="143">
        <f ca="1">H104</f>
        <v>0</v>
      </c>
      <c r="Q105" s="99">
        <f ca="1">I104</f>
        <v>0</v>
      </c>
      <c r="R105" s="99">
        <v>0</v>
      </c>
      <c r="S105" s="101">
        <v>0</v>
      </c>
      <c r="T105" s="101">
        <v>0</v>
      </c>
      <c r="U105" s="110">
        <v>0</v>
      </c>
      <c r="V105" s="7">
        <f ca="1"/>
        <v>0</v>
      </c>
      <c r="W105" s="180">
        <f ca="1"/>
        <v>0</v>
      </c>
      <c r="X105" s="8">
        <f ca="1"/>
        <v>0</v>
      </c>
      <c r="Y105" s="7">
        <f ca="1"/>
        <v>0</v>
      </c>
      <c r="Z105" s="1">
        <f ca="1"/>
        <v>0</v>
      </c>
      <c r="AA105" s="8">
        <f ca="1"/>
        <v>0</v>
      </c>
      <c r="AB105" s="61">
        <f ca="1">IF(ISNUMBER($A104),INDIRECT("System!" &amp; ADDRESS(A104+1,COLUMN(System!T103))),0)</f>
        <v>0</v>
      </c>
      <c r="AC105" s="301">
        <f ca="1">IF(G104=1,F104*D104/2,IF(G104="2a",F104*3/8*D104,IF(G104="2b",F104*5/8*D104,0)))</f>
        <v>0</v>
      </c>
      <c r="AD105" s="61">
        <f ca="1"/>
        <v>0</v>
      </c>
      <c r="AE105" s="7">
        <f t="shared" ref="AE105:BR105" ca="1" si="192">IF(ABS($C106)=AE$1,SIGN($C106),0)</f>
        <v>0</v>
      </c>
      <c r="AF105" s="1">
        <f t="shared" ca="1" si="192"/>
        <v>0</v>
      </c>
      <c r="AG105" s="1">
        <f t="shared" ca="1" si="192"/>
        <v>0</v>
      </c>
      <c r="AH105" s="1">
        <f t="shared" ca="1" si="192"/>
        <v>0</v>
      </c>
      <c r="AI105" s="1">
        <f t="shared" ca="1" si="192"/>
        <v>0</v>
      </c>
      <c r="AJ105" s="26">
        <f t="shared" ca="1" si="192"/>
        <v>0</v>
      </c>
      <c r="AK105" s="26">
        <f t="shared" ca="1" si="192"/>
        <v>0</v>
      </c>
      <c r="AL105" s="26">
        <f t="shared" ca="1" si="192"/>
        <v>0</v>
      </c>
      <c r="AM105" s="26">
        <f t="shared" ca="1" si="192"/>
        <v>0</v>
      </c>
      <c r="AN105" s="26">
        <f t="shared" ca="1" si="192"/>
        <v>0</v>
      </c>
      <c r="AO105" s="26">
        <f t="shared" ca="1" si="192"/>
        <v>0</v>
      </c>
      <c r="AP105" s="26">
        <f t="shared" ca="1" si="192"/>
        <v>0</v>
      </c>
      <c r="AQ105" s="26">
        <f t="shared" ca="1" si="192"/>
        <v>0</v>
      </c>
      <c r="AR105" s="26">
        <f t="shared" ca="1" si="192"/>
        <v>0</v>
      </c>
      <c r="AS105" s="26">
        <f t="shared" ca="1" si="192"/>
        <v>0</v>
      </c>
      <c r="AT105" s="26">
        <f t="shared" ca="1" si="192"/>
        <v>0</v>
      </c>
      <c r="AU105" s="26">
        <f t="shared" ca="1" si="192"/>
        <v>0</v>
      </c>
      <c r="AV105" s="26">
        <f t="shared" ca="1" si="192"/>
        <v>0</v>
      </c>
      <c r="AW105" s="26">
        <f t="shared" ca="1" si="192"/>
        <v>0</v>
      </c>
      <c r="AX105" s="26">
        <f t="shared" ca="1" si="192"/>
        <v>0</v>
      </c>
      <c r="AY105" s="26">
        <f t="shared" ca="1" si="192"/>
        <v>0</v>
      </c>
      <c r="AZ105" s="26">
        <f t="shared" ca="1" si="192"/>
        <v>0</v>
      </c>
      <c r="BA105" s="26">
        <f t="shared" ca="1" si="192"/>
        <v>0</v>
      </c>
      <c r="BB105" s="26">
        <f t="shared" ca="1" si="192"/>
        <v>0</v>
      </c>
      <c r="BC105" s="26">
        <f t="shared" ca="1" si="192"/>
        <v>0</v>
      </c>
      <c r="BD105" s="26">
        <f t="shared" ca="1" si="192"/>
        <v>0</v>
      </c>
      <c r="BE105" s="26">
        <f t="shared" ca="1" si="192"/>
        <v>0</v>
      </c>
      <c r="BF105" s="26">
        <f t="shared" ca="1" si="192"/>
        <v>0</v>
      </c>
      <c r="BG105" s="26">
        <f t="shared" ca="1" si="192"/>
        <v>0</v>
      </c>
      <c r="BH105" s="26">
        <f t="shared" ca="1" si="192"/>
        <v>0</v>
      </c>
      <c r="BI105" s="26">
        <f t="shared" ca="1" si="192"/>
        <v>0</v>
      </c>
      <c r="BJ105" s="26">
        <f t="shared" ca="1" si="192"/>
        <v>0</v>
      </c>
      <c r="BK105" s="26">
        <f t="shared" ca="1" si="192"/>
        <v>0</v>
      </c>
      <c r="BL105" s="26">
        <f t="shared" ca="1" si="192"/>
        <v>0</v>
      </c>
      <c r="BM105" s="26">
        <f t="shared" ca="1" si="192"/>
        <v>0</v>
      </c>
      <c r="BN105" s="26">
        <f t="shared" ca="1" si="192"/>
        <v>0</v>
      </c>
      <c r="BO105" s="26">
        <f t="shared" ca="1" si="192"/>
        <v>0</v>
      </c>
      <c r="BP105" s="26">
        <f t="shared" ca="1" si="192"/>
        <v>0</v>
      </c>
      <c r="BQ105" s="26">
        <f t="shared" ca="1" si="192"/>
        <v>0</v>
      </c>
      <c r="BR105" s="26">
        <f t="shared" ca="1" si="192"/>
        <v>0</v>
      </c>
      <c r="BS105" s="282">
        <f ca="1">IF(ISNUMBER($A104),IF(INDEX(B106:G106,2)&lt;&gt;0,SIGN(INDEX(B106:G106,2))*INDIRECT(ADDRESS(1+ABS(INDEX(B106:G106,2)),COLUMN(Ksys!$B$1),1,TRUE,"Ksys")),0)+AB105,0)</f>
        <v>0</v>
      </c>
      <c r="BT105" s="61">
        <f ca="1"/>
        <v>0</v>
      </c>
      <c r="BU105" s="61">
        <f ca="1"/>
        <v>0</v>
      </c>
      <c r="BV105" s="61">
        <f ca="1"/>
        <v>0</v>
      </c>
      <c r="BW105" s="287" t="s">
        <v>100</v>
      </c>
      <c r="BX105" s="272">
        <f t="shared" ref="BX105:CH105" ca="1" si="193" xml:space="preserve">  IF(ISNUMBER($A104),$BT105*(1-BX$1) + $BT108*BX$1 + ((1-BX$1)-(1-BX$1)^3)*$D104^2/6*$BV106/$B104 + (BX$1-(BX$1)^3)*$D104^2/6*$BV109/$B104 + (BX$1-2*(BX$1)^3+(BX$1)^4)*$D104^2/3*$F104*$D104^2/8/$B104,0)</f>
        <v>0</v>
      </c>
      <c r="BY105" s="173">
        <f t="shared" ca="1" si="193"/>
        <v>0</v>
      </c>
      <c r="BZ105" s="173">
        <f t="shared" ca="1" si="193"/>
        <v>0</v>
      </c>
      <c r="CA105" s="173">
        <f t="shared" ca="1" si="193"/>
        <v>0</v>
      </c>
      <c r="CB105" s="173">
        <f t="shared" ca="1" si="193"/>
        <v>0</v>
      </c>
      <c r="CC105" s="173">
        <f t="shared" ca="1" si="193"/>
        <v>0</v>
      </c>
      <c r="CD105" s="173">
        <f t="shared" ca="1" si="193"/>
        <v>0</v>
      </c>
      <c r="CE105" s="173">
        <f t="shared" ca="1" si="193"/>
        <v>0</v>
      </c>
      <c r="CF105" s="173">
        <f t="shared" ca="1" si="193"/>
        <v>0</v>
      </c>
      <c r="CG105" s="173">
        <f t="shared" ca="1" si="193"/>
        <v>0</v>
      </c>
      <c r="CH105" s="289">
        <f t="shared" ca="1" si="193"/>
        <v>0</v>
      </c>
      <c r="CI105" s="344"/>
      <c r="CJ105" s="344"/>
      <c r="CK105" s="312"/>
      <c r="CM105" s="291" t="s">
        <v>100</v>
      </c>
      <c r="CN105" s="7">
        <f t="shared" ref="CN105:CX105" ca="1" si="194" xml:space="preserve">  IF(ISNUMBER($A104),$BV106*(1-CN$1) + $BV109*CN$1  + CN$1*(1-CN$1)*$F104*$D104^2/2,0)</f>
        <v>0</v>
      </c>
      <c r="CO105" s="1">
        <f t="shared" ca="1" si="194"/>
        <v>0</v>
      </c>
      <c r="CP105" s="1">
        <f t="shared" ca="1" si="194"/>
        <v>0</v>
      </c>
      <c r="CQ105" s="1">
        <f t="shared" ca="1" si="194"/>
        <v>0</v>
      </c>
      <c r="CR105" s="1">
        <f t="shared" ca="1" si="194"/>
        <v>0</v>
      </c>
      <c r="CS105" s="1">
        <f t="shared" ca="1" si="194"/>
        <v>0</v>
      </c>
      <c r="CT105" s="1">
        <f t="shared" ca="1" si="194"/>
        <v>0</v>
      </c>
      <c r="CU105" s="1">
        <f t="shared" ca="1" si="194"/>
        <v>0</v>
      </c>
      <c r="CV105" s="1">
        <f t="shared" ca="1" si="194"/>
        <v>0</v>
      </c>
      <c r="CW105" s="1">
        <f t="shared" ca="1" si="194"/>
        <v>0</v>
      </c>
      <c r="CX105" s="1">
        <f t="shared" ca="1" si="194"/>
        <v>0</v>
      </c>
      <c r="CY105" s="1"/>
      <c r="CZ105" s="1"/>
      <c r="DA105" s="26"/>
      <c r="DB105" s="309"/>
      <c r="DC105" s="310"/>
      <c r="DD105" s="345"/>
      <c r="DF105" s="291" t="s">
        <v>100</v>
      </c>
      <c r="DG105" s="7">
        <f t="shared" ref="DG105:DQ105" ca="1" si="195" xml:space="preserve">  IF(ISNUMBER($A104),$BV105*(1-DG$1) + $BV108*DG$1,0)</f>
        <v>0</v>
      </c>
      <c r="DH105" s="1">
        <f t="shared" ca="1" si="195"/>
        <v>0</v>
      </c>
      <c r="DI105" s="1">
        <f t="shared" ca="1" si="195"/>
        <v>0</v>
      </c>
      <c r="DJ105" s="1">
        <f t="shared" ca="1" si="195"/>
        <v>0</v>
      </c>
      <c r="DK105" s="1">
        <f t="shared" ca="1" si="195"/>
        <v>0</v>
      </c>
      <c r="DL105" s="1">
        <f t="shared" ca="1" si="195"/>
        <v>0</v>
      </c>
      <c r="DM105" s="1">
        <f t="shared" ca="1" si="195"/>
        <v>0</v>
      </c>
      <c r="DN105" s="1">
        <f t="shared" ca="1" si="195"/>
        <v>0</v>
      </c>
      <c r="DO105" s="1">
        <f t="shared" ca="1" si="195"/>
        <v>0</v>
      </c>
      <c r="DP105" s="1">
        <f t="shared" ca="1" si="195"/>
        <v>0</v>
      </c>
      <c r="DQ105" s="1">
        <f t="shared" ca="1" si="195"/>
        <v>0</v>
      </c>
      <c r="DR105" s="1"/>
      <c r="DS105" s="1"/>
      <c r="DT105" s="8"/>
      <c r="DU105" s="12"/>
      <c r="DV105" s="310"/>
      <c r="DW105" s="345"/>
      <c r="DY105" s="291" t="s">
        <v>100</v>
      </c>
      <c r="DZ105" s="7">
        <f t="shared" ref="DZ105:EJ105" ca="1" si="196" xml:space="preserve">  IF(ISNUMBER($A104),$BV104*(1-DZ$1) + $BV107*DZ$1,0)</f>
        <v>0</v>
      </c>
      <c r="EA105" s="1">
        <f t="shared" ca="1" si="196"/>
        <v>0</v>
      </c>
      <c r="EB105" s="1">
        <f t="shared" ca="1" si="196"/>
        <v>0</v>
      </c>
      <c r="EC105" s="1">
        <f t="shared" ca="1" si="196"/>
        <v>0</v>
      </c>
      <c r="ED105" s="1">
        <f t="shared" ca="1" si="196"/>
        <v>0</v>
      </c>
      <c r="EE105" s="1">
        <f t="shared" ca="1" si="196"/>
        <v>0</v>
      </c>
      <c r="EF105" s="1">
        <f t="shared" ca="1" si="196"/>
        <v>0</v>
      </c>
      <c r="EG105" s="1">
        <f t="shared" ca="1" si="196"/>
        <v>0</v>
      </c>
      <c r="EH105" s="1">
        <f t="shared" ca="1" si="196"/>
        <v>0</v>
      </c>
      <c r="EI105" s="1">
        <f t="shared" ca="1" si="196"/>
        <v>0</v>
      </c>
      <c r="EJ105" s="1">
        <f t="shared" ca="1" si="196"/>
        <v>0</v>
      </c>
      <c r="EK105" s="1"/>
      <c r="EL105" s="1"/>
      <c r="EM105" s="8"/>
      <c r="EN105" s="309"/>
      <c r="EO105" s="310"/>
      <c r="EP105" s="345"/>
    </row>
    <row r="106" spans="1:146" ht="13.5" thickBot="1" x14ac:dyDescent="0.25">
      <c r="B106" s="1">
        <f ca="1">IF(ISNUMBER($A104),INDIRECT("System!" &amp; ADDRESS($A104 +1,COLUMN(System!Y103))),0)</f>
        <v>0</v>
      </c>
      <c r="C106" s="1">
        <f ca="1">IF(ISNUMBER($A104),INDIRECT("System!" &amp; ADDRESS($A104 +1,COLUMN(System!Z103))),0)</f>
        <v>0</v>
      </c>
      <c r="D106" s="1">
        <f ca="1">IF(ISNUMBER($A104),INDIRECT("System!" &amp; ADDRESS($A104 +1,COLUMN(System!AA103))),0)</f>
        <v>0</v>
      </c>
      <c r="E106" s="1">
        <f ca="1">IF(ISNUMBER($A104),INDIRECT("System!" &amp; ADDRESS($A104 +1,COLUMN(System!AB103))),0)</f>
        <v>0</v>
      </c>
      <c r="F106" s="1">
        <f ca="1">IF(ISNUMBER($A104),INDIRECT("System!" &amp; ADDRESS($A104 +1,COLUMN(System!AC103))),0)</f>
        <v>0</v>
      </c>
      <c r="G106" s="1">
        <f ca="1">IF(ISNUMBER($A104),INDIRECT("System!" &amp; ADDRESS($A104 +1,COLUMN(System!AD103))),0)</f>
        <v>0</v>
      </c>
      <c r="J106" s="9">
        <v>0</v>
      </c>
      <c r="K106" s="10">
        <f ca="1">IF(G104=1,-6*B104/D104^2,IF(G104="2a",0,IF(G104="2b",-3*B104/D104^2,0)))</f>
        <v>0</v>
      </c>
      <c r="L106" s="181">
        <f ca="1">IF(G104=1,4*B104/D104,IF(G104="2a",0,IF(G104="2b",3*B104/D104,0)))</f>
        <v>0</v>
      </c>
      <c r="M106" s="9">
        <v>0</v>
      </c>
      <c r="N106" s="10">
        <f ca="1">L108</f>
        <v>0</v>
      </c>
      <c r="O106" s="146">
        <f ca="1">L109</f>
        <v>0</v>
      </c>
      <c r="P106" s="143">
        <v>0</v>
      </c>
      <c r="Q106" s="99">
        <v>0</v>
      </c>
      <c r="R106" s="99">
        <v>1</v>
      </c>
      <c r="S106" s="101">
        <v>0</v>
      </c>
      <c r="T106" s="101">
        <v>0</v>
      </c>
      <c r="U106" s="110">
        <v>0</v>
      </c>
      <c r="V106" s="9">
        <f ca="1"/>
        <v>0</v>
      </c>
      <c r="W106" s="10">
        <f ca="1"/>
        <v>0</v>
      </c>
      <c r="X106" s="181">
        <f ca="1"/>
        <v>0</v>
      </c>
      <c r="Y106" s="9">
        <f ca="1"/>
        <v>0</v>
      </c>
      <c r="Z106" s="10">
        <f ca="1"/>
        <v>0</v>
      </c>
      <c r="AA106" s="146">
        <f ca="1"/>
        <v>0</v>
      </c>
      <c r="AB106" s="61">
        <f ca="1">IF(ISNUMBER($A104),INDIRECT("System!" &amp; ADDRESS(A104+1,COLUMN(System!U103))),0)</f>
        <v>0</v>
      </c>
      <c r="AC106" s="301">
        <f ca="1">IF(G104=1,-F104*D104^2/12,IF(G104="2a",0,IF(G104="2b",-F104*D104^2/8,0)))</f>
        <v>0</v>
      </c>
      <c r="AD106" s="61">
        <f ca="1"/>
        <v>0</v>
      </c>
      <c r="AE106" s="7">
        <f t="shared" ref="AE106:BR106" ca="1" si="197">IF(ABS($D106)=AE$1,SIGN($D106),0)</f>
        <v>0</v>
      </c>
      <c r="AF106" s="1">
        <f t="shared" ca="1" si="197"/>
        <v>0</v>
      </c>
      <c r="AG106" s="1">
        <f t="shared" ca="1" si="197"/>
        <v>0</v>
      </c>
      <c r="AH106" s="1">
        <f t="shared" ca="1" si="197"/>
        <v>0</v>
      </c>
      <c r="AI106" s="1">
        <f t="shared" ca="1" si="197"/>
        <v>0</v>
      </c>
      <c r="AJ106" s="26">
        <f t="shared" ca="1" si="197"/>
        <v>0</v>
      </c>
      <c r="AK106" s="26">
        <f t="shared" ca="1" si="197"/>
        <v>0</v>
      </c>
      <c r="AL106" s="26">
        <f t="shared" ca="1" si="197"/>
        <v>0</v>
      </c>
      <c r="AM106" s="26">
        <f t="shared" ca="1" si="197"/>
        <v>0</v>
      </c>
      <c r="AN106" s="26">
        <f t="shared" ca="1" si="197"/>
        <v>0</v>
      </c>
      <c r="AO106" s="26">
        <f t="shared" ca="1" si="197"/>
        <v>0</v>
      </c>
      <c r="AP106" s="26">
        <f t="shared" ca="1" si="197"/>
        <v>0</v>
      </c>
      <c r="AQ106" s="26">
        <f t="shared" ca="1" si="197"/>
        <v>0</v>
      </c>
      <c r="AR106" s="26">
        <f t="shared" ca="1" si="197"/>
        <v>0</v>
      </c>
      <c r="AS106" s="26">
        <f t="shared" ca="1" si="197"/>
        <v>0</v>
      </c>
      <c r="AT106" s="26">
        <f t="shared" ca="1" si="197"/>
        <v>0</v>
      </c>
      <c r="AU106" s="26">
        <f t="shared" ca="1" si="197"/>
        <v>0</v>
      </c>
      <c r="AV106" s="26">
        <f t="shared" ca="1" si="197"/>
        <v>0</v>
      </c>
      <c r="AW106" s="26">
        <f t="shared" ca="1" si="197"/>
        <v>0</v>
      </c>
      <c r="AX106" s="26">
        <f t="shared" ca="1" si="197"/>
        <v>0</v>
      </c>
      <c r="AY106" s="26">
        <f t="shared" ca="1" si="197"/>
        <v>0</v>
      </c>
      <c r="AZ106" s="26">
        <f t="shared" ca="1" si="197"/>
        <v>0</v>
      </c>
      <c r="BA106" s="26">
        <f t="shared" ca="1" si="197"/>
        <v>0</v>
      </c>
      <c r="BB106" s="26">
        <f t="shared" ca="1" si="197"/>
        <v>0</v>
      </c>
      <c r="BC106" s="26">
        <f t="shared" ca="1" si="197"/>
        <v>0</v>
      </c>
      <c r="BD106" s="26">
        <f t="shared" ca="1" si="197"/>
        <v>0</v>
      </c>
      <c r="BE106" s="26">
        <f t="shared" ca="1" si="197"/>
        <v>0</v>
      </c>
      <c r="BF106" s="26">
        <f t="shared" ca="1" si="197"/>
        <v>0</v>
      </c>
      <c r="BG106" s="26">
        <f t="shared" ca="1" si="197"/>
        <v>0</v>
      </c>
      <c r="BH106" s="26">
        <f t="shared" ca="1" si="197"/>
        <v>0</v>
      </c>
      <c r="BI106" s="26">
        <f t="shared" ca="1" si="197"/>
        <v>0</v>
      </c>
      <c r="BJ106" s="26">
        <f t="shared" ca="1" si="197"/>
        <v>0</v>
      </c>
      <c r="BK106" s="26">
        <f t="shared" ca="1" si="197"/>
        <v>0</v>
      </c>
      <c r="BL106" s="26">
        <f t="shared" ca="1" si="197"/>
        <v>0</v>
      </c>
      <c r="BM106" s="26">
        <f t="shared" ca="1" si="197"/>
        <v>0</v>
      </c>
      <c r="BN106" s="26">
        <f t="shared" ca="1" si="197"/>
        <v>0</v>
      </c>
      <c r="BO106" s="26">
        <f t="shared" ca="1" si="197"/>
        <v>0</v>
      </c>
      <c r="BP106" s="26">
        <f t="shared" ca="1" si="197"/>
        <v>0</v>
      </c>
      <c r="BQ106" s="26">
        <f t="shared" ca="1" si="197"/>
        <v>0</v>
      </c>
      <c r="BR106" s="26">
        <f t="shared" ca="1" si="197"/>
        <v>0</v>
      </c>
      <c r="BS106" s="282">
        <f ca="1">IF(ISNUMBER($A104),IF(INDEX(B106:G106,3)&lt;&gt;0,SIGN(INDEX(B106:G106,3))*INDIRECT(ADDRESS(1+ABS(INDEX(B106:G106,3)),COLUMN(Ksys!$B$1),1,TRUE,"Ksys")),0)+AB106,0)</f>
        <v>0</v>
      </c>
      <c r="BT106" s="61">
        <f ca="1"/>
        <v>0</v>
      </c>
      <c r="BU106" s="61">
        <f ca="1"/>
        <v>0</v>
      </c>
      <c r="BV106" s="61">
        <f ca="1"/>
        <v>0</v>
      </c>
      <c r="BW106" s="287" t="s">
        <v>96</v>
      </c>
      <c r="BX106" s="7">
        <f t="array" aca="1" ref="BX106:BX107" ca="1">IF(ISNUMBER($A104),MMULT(TRANSPOSE($P104:$Q105),BX104:BX105),0)</f>
        <v>0</v>
      </c>
      <c r="BY106" s="1">
        <f t="array" aca="1" ref="BY106:BY107" ca="1">IF(ISNUMBER($A104),MMULT(TRANSPOSE($P104:$Q105),BY104:BY105),0)</f>
        <v>0</v>
      </c>
      <c r="BZ106" s="1">
        <f t="array" aca="1" ref="BZ106:BZ107" ca="1">IF(ISNUMBER($A104),MMULT(TRANSPOSE($P104:$Q105),BZ104:BZ105),0)</f>
        <v>0</v>
      </c>
      <c r="CA106" s="1">
        <f t="array" aca="1" ref="CA106:CA107" ca="1">IF(ISNUMBER($A104),MMULT(TRANSPOSE($P104:$Q105),CA104:CA105),0)</f>
        <v>0</v>
      </c>
      <c r="CB106" s="1">
        <f t="array" aca="1" ref="CB106:CB107" ca="1">IF(ISNUMBER($A104),MMULT(TRANSPOSE($P104:$Q105),CB104:CB105),0)</f>
        <v>0</v>
      </c>
      <c r="CC106" s="1">
        <f t="array" aca="1" ref="CC106:CC107" ca="1">IF(ISNUMBER($A104),MMULT(TRANSPOSE($P104:$Q105),CC104:CC105),0)</f>
        <v>0</v>
      </c>
      <c r="CD106" s="1">
        <f t="array" aca="1" ref="CD106:CD107" ca="1">IF(ISNUMBER($A104),MMULT(TRANSPOSE($P104:$Q105),CD104:CD105),0)</f>
        <v>0</v>
      </c>
      <c r="CE106" s="1">
        <f t="array" aca="1" ref="CE106:CE107" ca="1">IF(ISNUMBER($A104),MMULT(TRANSPOSE($P104:$Q105),CE104:CE105),0)</f>
        <v>0</v>
      </c>
      <c r="CF106" s="1">
        <f t="array" aca="1" ref="CF106:CF107" ca="1">IF(ISNUMBER($A104),MMULT(TRANSPOSE($P104:$Q105),CF104:CF105),0)</f>
        <v>0</v>
      </c>
      <c r="CG106" s="1">
        <f t="array" aca="1" ref="CG106:CG107" ca="1">IF(ISNUMBER($A104),MMULT(TRANSPOSE($P104:$Q105),CG104:CG105),0)</f>
        <v>0</v>
      </c>
      <c r="CH106" s="8">
        <f t="array" aca="1" ref="CH106:CH107" ca="1">IF(ISNUMBER($A104),MMULT(TRANSPOSE($P104:$Q105),CH104:CH105),0)</f>
        <v>0</v>
      </c>
      <c r="CI106" s="345"/>
      <c r="CJ106" s="345"/>
      <c r="CK106" s="444">
        <f ca="1">MAX(MAX(BX106:CH107),ABS(MIN(BX106:CH107)))</f>
        <v>0</v>
      </c>
      <c r="CM106" s="291" t="s">
        <v>96</v>
      </c>
      <c r="CN106" s="7">
        <f t="array" aca="1" ref="CN106:CN107" ca="1">IF(ISNUMBER($A104),MMULT(TRANSPOSE($P104:$Q105),CN104:CN105),0)</f>
        <v>0</v>
      </c>
      <c r="CO106" s="1">
        <f t="array" aca="1" ref="CO106:CO107" ca="1">IF(ISNUMBER($A104),MMULT(TRANSPOSE($P104:$Q105),CO104:CO105),0)</f>
        <v>0</v>
      </c>
      <c r="CP106" s="1">
        <f t="array" aca="1" ref="CP106:CP107" ca="1">IF(ISNUMBER($A104),MMULT(TRANSPOSE($P104:$Q105),CP104:CP105),0)</f>
        <v>0</v>
      </c>
      <c r="CQ106" s="1">
        <f t="array" aca="1" ref="CQ106:CQ107" ca="1">IF(ISNUMBER($A104),MMULT(TRANSPOSE($P104:$Q105),CQ104:CQ105),0)</f>
        <v>0</v>
      </c>
      <c r="CR106" s="1">
        <f t="array" aca="1" ref="CR106:CR107" ca="1">IF(ISNUMBER($A104),MMULT(TRANSPOSE($P104:$Q105),CR104:CR105),0)</f>
        <v>0</v>
      </c>
      <c r="CS106" s="1">
        <f t="array" aca="1" ref="CS106:CS107" ca="1">IF(ISNUMBER($A104),MMULT(TRANSPOSE($P104:$Q105),CS104:CS105),0)</f>
        <v>0</v>
      </c>
      <c r="CT106" s="1">
        <f t="array" aca="1" ref="CT106:CT107" ca="1">IF(ISNUMBER($A104),MMULT(TRANSPOSE($P104:$Q105),CT104:CT105),0)</f>
        <v>0</v>
      </c>
      <c r="CU106" s="1">
        <f t="array" aca="1" ref="CU106:CU107" ca="1">IF(ISNUMBER($A104),MMULT(TRANSPOSE($P104:$Q105),CU104:CU105),0)</f>
        <v>0</v>
      </c>
      <c r="CV106" s="1">
        <f t="array" aca="1" ref="CV106:CV107" ca="1">IF(ISNUMBER($A104),MMULT(TRANSPOSE($P104:$Q105),CV104:CV105),0)</f>
        <v>0</v>
      </c>
      <c r="CW106" s="1">
        <f t="array" aca="1" ref="CW106:CW107" ca="1">IF(ISNUMBER($A104),MMULT(TRANSPOSE($P104:$Q105),CW104:CW105),0)</f>
        <v>0</v>
      </c>
      <c r="CX106" s="1">
        <f t="array" aca="1" ref="CX106:CX107" ca="1">IF(ISNUMBER($A104),MMULT(TRANSPOSE($P104:$Q105),CX104:CX105),0)</f>
        <v>0</v>
      </c>
      <c r="CY106" s="1"/>
      <c r="CZ106" s="1"/>
      <c r="DA106" s="26"/>
      <c r="DB106" s="309"/>
      <c r="DC106" s="310"/>
      <c r="DD106" s="345"/>
      <c r="DF106" s="291" t="s">
        <v>96</v>
      </c>
      <c r="DG106" s="7">
        <f t="array" aca="1" ref="DG106:DG107" ca="1">IF(ISNUMBER($A104),MMULT(TRANSPOSE($P104:$Q105),DG104:DG105),0)</f>
        <v>0</v>
      </c>
      <c r="DH106" s="1">
        <f t="array" aca="1" ref="DH106:DH107" ca="1">IF(ISNUMBER($A104),MMULT(TRANSPOSE($P104:$Q105),DH104:DH105),0)</f>
        <v>0</v>
      </c>
      <c r="DI106" s="1">
        <f t="array" aca="1" ref="DI106:DI107" ca="1">IF(ISNUMBER($A104),MMULT(TRANSPOSE($P104:$Q105),DI104:DI105),0)</f>
        <v>0</v>
      </c>
      <c r="DJ106" s="1">
        <f t="array" aca="1" ref="DJ106:DJ107" ca="1">IF(ISNUMBER($A104),MMULT(TRANSPOSE($P104:$Q105),DJ104:DJ105),0)</f>
        <v>0</v>
      </c>
      <c r="DK106" s="1">
        <f t="array" aca="1" ref="DK106:DK107" ca="1">IF(ISNUMBER($A104),MMULT(TRANSPOSE($P104:$Q105),DK104:DK105),0)</f>
        <v>0</v>
      </c>
      <c r="DL106" s="1">
        <f t="array" aca="1" ref="DL106:DL107" ca="1">IF(ISNUMBER($A104),MMULT(TRANSPOSE($P104:$Q105),DL104:DL105),0)</f>
        <v>0</v>
      </c>
      <c r="DM106" s="1">
        <f t="array" aca="1" ref="DM106:DM107" ca="1">IF(ISNUMBER($A104),MMULT(TRANSPOSE($P104:$Q105),DM104:DM105),0)</f>
        <v>0</v>
      </c>
      <c r="DN106" s="1">
        <f t="array" aca="1" ref="DN106:DN107" ca="1">IF(ISNUMBER($A104),MMULT(TRANSPOSE($P104:$Q105),DN104:DN105),0)</f>
        <v>0</v>
      </c>
      <c r="DO106" s="1">
        <f t="array" aca="1" ref="DO106:DO107" ca="1">IF(ISNUMBER($A104),MMULT(TRANSPOSE($P104:$Q105),DO104:DO105),0)</f>
        <v>0</v>
      </c>
      <c r="DP106" s="1">
        <f t="array" aca="1" ref="DP106:DP107" ca="1">IF(ISNUMBER($A104),MMULT(TRANSPOSE($P104:$Q105),DP104:DP105),0)</f>
        <v>0</v>
      </c>
      <c r="DQ106" s="1">
        <f t="array" aca="1" ref="DQ106:DQ107" ca="1">IF(ISNUMBER($A104),MMULT(TRANSPOSE($P104:$Q105),DQ104:DQ105),0)</f>
        <v>0</v>
      </c>
      <c r="DR106" s="1"/>
      <c r="DS106" s="1"/>
      <c r="DT106" s="8"/>
      <c r="DU106" s="12"/>
      <c r="DV106" s="310"/>
      <c r="DW106" s="345"/>
      <c r="DY106" s="291" t="s">
        <v>96</v>
      </c>
      <c r="DZ106" s="7">
        <f t="array" aca="1" ref="DZ106:DZ107" ca="1">IF(ISNUMBER($A104),MMULT(TRANSPOSE($P104:$Q105),DZ104:DZ105),0)</f>
        <v>0</v>
      </c>
      <c r="EA106" s="1">
        <f t="array" aca="1" ref="EA106:EA107" ca="1">IF(ISNUMBER($A104),MMULT(TRANSPOSE($P104:$Q105),EA104:EA105),0)</f>
        <v>0</v>
      </c>
      <c r="EB106" s="1">
        <f t="array" aca="1" ref="EB106:EB107" ca="1">IF(ISNUMBER($A104),MMULT(TRANSPOSE($P104:$Q105),EB104:EB105),0)</f>
        <v>0</v>
      </c>
      <c r="EC106" s="1">
        <f t="array" aca="1" ref="EC106:EC107" ca="1">IF(ISNUMBER($A104),MMULT(TRANSPOSE($P104:$Q105),EC104:EC105),0)</f>
        <v>0</v>
      </c>
      <c r="ED106" s="1">
        <f t="array" aca="1" ref="ED106:ED107" ca="1">IF(ISNUMBER($A104),MMULT(TRANSPOSE($P104:$Q105),ED104:ED105),0)</f>
        <v>0</v>
      </c>
      <c r="EE106" s="1">
        <f t="array" aca="1" ref="EE106:EE107" ca="1">IF(ISNUMBER($A104),MMULT(TRANSPOSE($P104:$Q105),EE104:EE105),0)</f>
        <v>0</v>
      </c>
      <c r="EF106" s="1">
        <f t="array" aca="1" ref="EF106:EF107" ca="1">IF(ISNUMBER($A104),MMULT(TRANSPOSE($P104:$Q105),EF104:EF105),0)</f>
        <v>0</v>
      </c>
      <c r="EG106" s="1">
        <f t="array" aca="1" ref="EG106:EG107" ca="1">IF(ISNUMBER($A104),MMULT(TRANSPOSE($P104:$Q105),EG104:EG105),0)</f>
        <v>0</v>
      </c>
      <c r="EH106" s="1">
        <f t="array" aca="1" ref="EH106:EH107" ca="1">IF(ISNUMBER($A104),MMULT(TRANSPOSE($P104:$Q105),EH104:EH105),0)</f>
        <v>0</v>
      </c>
      <c r="EI106" s="1">
        <f t="array" aca="1" ref="EI106:EI107" ca="1">IF(ISNUMBER($A104),MMULT(TRANSPOSE($P104:$Q105),EI104:EI105),0)</f>
        <v>0</v>
      </c>
      <c r="EJ106" s="1">
        <f t="array" aca="1" ref="EJ106:EJ107" ca="1">IF(ISNUMBER($A104),MMULT(TRANSPOSE($P104:$Q105),EJ104:EJ105),0)</f>
        <v>0</v>
      </c>
      <c r="EK106" s="1"/>
      <c r="EL106" s="1"/>
      <c r="EM106" s="8"/>
      <c r="EN106" s="309"/>
      <c r="EO106" s="310"/>
      <c r="EP106" s="345"/>
    </row>
    <row r="107" spans="1:146" x14ac:dyDescent="0.2">
      <c r="E107" s="12"/>
      <c r="F107" s="12"/>
      <c r="J107" s="4">
        <f ca="1">-J104</f>
        <v>0</v>
      </c>
      <c r="K107" s="5">
        <v>0</v>
      </c>
      <c r="L107" s="6">
        <v>0</v>
      </c>
      <c r="M107" s="179">
        <f ca="1">J104</f>
        <v>0</v>
      </c>
      <c r="N107" s="5">
        <v>0</v>
      </c>
      <c r="O107" s="6">
        <v>0</v>
      </c>
      <c r="P107" s="184">
        <v>0</v>
      </c>
      <c r="Q107" s="101">
        <v>0</v>
      </c>
      <c r="R107" s="101">
        <v>0</v>
      </c>
      <c r="S107" s="99">
        <f ca="1">I104</f>
        <v>0</v>
      </c>
      <c r="T107" s="99">
        <f ca="1">-H104</f>
        <v>0</v>
      </c>
      <c r="U107" s="100">
        <v>0</v>
      </c>
      <c r="V107" s="4">
        <f ca="1"/>
        <v>0</v>
      </c>
      <c r="W107" s="5">
        <f ca="1"/>
        <v>0</v>
      </c>
      <c r="X107" s="6">
        <f ca="1"/>
        <v>0</v>
      </c>
      <c r="Y107" s="179">
        <f ca="1"/>
        <v>0</v>
      </c>
      <c r="Z107" s="5">
        <f ca="1"/>
        <v>0</v>
      </c>
      <c r="AA107" s="6">
        <f ca="1"/>
        <v>0</v>
      </c>
      <c r="AB107" s="61">
        <f ca="1">IF(ISNUMBER($A104),INDIRECT("System!" &amp; ADDRESS(A104+1,COLUMN(System!V103))),0)</f>
        <v>0</v>
      </c>
      <c r="AC107" s="301">
        <f ca="1">IF(ISNUMBER(E104),E104*D104/2,0)</f>
        <v>0</v>
      </c>
      <c r="AD107" s="61">
        <f ca="1"/>
        <v>0</v>
      </c>
      <c r="AE107" s="7">
        <f t="shared" ref="AE107:BR107" ca="1" si="198">IF(ABS($E106)=AE$1,SIGN($E106),0)</f>
        <v>0</v>
      </c>
      <c r="AF107" s="1">
        <f t="shared" ca="1" si="198"/>
        <v>0</v>
      </c>
      <c r="AG107" s="1">
        <f t="shared" ca="1" si="198"/>
        <v>0</v>
      </c>
      <c r="AH107" s="1">
        <f t="shared" ca="1" si="198"/>
        <v>0</v>
      </c>
      <c r="AI107" s="1">
        <f t="shared" ca="1" si="198"/>
        <v>0</v>
      </c>
      <c r="AJ107" s="26">
        <f t="shared" ca="1" si="198"/>
        <v>0</v>
      </c>
      <c r="AK107" s="26">
        <f t="shared" ca="1" si="198"/>
        <v>0</v>
      </c>
      <c r="AL107" s="26">
        <f t="shared" ca="1" si="198"/>
        <v>0</v>
      </c>
      <c r="AM107" s="26">
        <f t="shared" ca="1" si="198"/>
        <v>0</v>
      </c>
      <c r="AN107" s="26">
        <f t="shared" ca="1" si="198"/>
        <v>0</v>
      </c>
      <c r="AO107" s="26">
        <f t="shared" ca="1" si="198"/>
        <v>0</v>
      </c>
      <c r="AP107" s="26">
        <f t="shared" ca="1" si="198"/>
        <v>0</v>
      </c>
      <c r="AQ107" s="26">
        <f t="shared" ca="1" si="198"/>
        <v>0</v>
      </c>
      <c r="AR107" s="26">
        <f t="shared" ca="1" si="198"/>
        <v>0</v>
      </c>
      <c r="AS107" s="26">
        <f t="shared" ca="1" si="198"/>
        <v>0</v>
      </c>
      <c r="AT107" s="26">
        <f t="shared" ca="1" si="198"/>
        <v>0</v>
      </c>
      <c r="AU107" s="26">
        <f t="shared" ca="1" si="198"/>
        <v>0</v>
      </c>
      <c r="AV107" s="26">
        <f t="shared" ca="1" si="198"/>
        <v>0</v>
      </c>
      <c r="AW107" s="26">
        <f t="shared" ca="1" si="198"/>
        <v>0</v>
      </c>
      <c r="AX107" s="26">
        <f t="shared" ca="1" si="198"/>
        <v>0</v>
      </c>
      <c r="AY107" s="26">
        <f t="shared" ca="1" si="198"/>
        <v>0</v>
      </c>
      <c r="AZ107" s="26">
        <f t="shared" ca="1" si="198"/>
        <v>0</v>
      </c>
      <c r="BA107" s="26">
        <f t="shared" ca="1" si="198"/>
        <v>0</v>
      </c>
      <c r="BB107" s="26">
        <f t="shared" ca="1" si="198"/>
        <v>0</v>
      </c>
      <c r="BC107" s="26">
        <f t="shared" ca="1" si="198"/>
        <v>0</v>
      </c>
      <c r="BD107" s="26">
        <f t="shared" ca="1" si="198"/>
        <v>0</v>
      </c>
      <c r="BE107" s="26">
        <f t="shared" ca="1" si="198"/>
        <v>0</v>
      </c>
      <c r="BF107" s="26">
        <f t="shared" ca="1" si="198"/>
        <v>0</v>
      </c>
      <c r="BG107" s="26">
        <f t="shared" ca="1" si="198"/>
        <v>0</v>
      </c>
      <c r="BH107" s="26">
        <f t="shared" ca="1" si="198"/>
        <v>0</v>
      </c>
      <c r="BI107" s="26">
        <f t="shared" ca="1" si="198"/>
        <v>0</v>
      </c>
      <c r="BJ107" s="26">
        <f t="shared" ca="1" si="198"/>
        <v>0</v>
      </c>
      <c r="BK107" s="26">
        <f t="shared" ca="1" si="198"/>
        <v>0</v>
      </c>
      <c r="BL107" s="26">
        <f t="shared" ca="1" si="198"/>
        <v>0</v>
      </c>
      <c r="BM107" s="26">
        <f t="shared" ca="1" si="198"/>
        <v>0</v>
      </c>
      <c r="BN107" s="26">
        <f t="shared" ca="1" si="198"/>
        <v>0</v>
      </c>
      <c r="BO107" s="26">
        <f t="shared" ca="1" si="198"/>
        <v>0</v>
      </c>
      <c r="BP107" s="26">
        <f t="shared" ca="1" si="198"/>
        <v>0</v>
      </c>
      <c r="BQ107" s="26">
        <f t="shared" ca="1" si="198"/>
        <v>0</v>
      </c>
      <c r="BR107" s="26">
        <f t="shared" ca="1" si="198"/>
        <v>0</v>
      </c>
      <c r="BS107" s="282">
        <f ca="1">IF(ISNUMBER($A104),IF(INDEX(B106:G106,4)&lt;&gt;0,SIGN(INDEX(B106:G106,4))*INDIRECT(ADDRESS(1+ABS(INDEX(B106:G106,4)),COLUMN(Ksys!$B$1),1,TRUE,"Ksys")),0)+AB107,0)</f>
        <v>0</v>
      </c>
      <c r="BT107" s="61">
        <f ca="1"/>
        <v>0</v>
      </c>
      <c r="BU107" s="61">
        <f ca="1"/>
        <v>0</v>
      </c>
      <c r="BV107" s="61">
        <f t="array" aca="1" ref="BV107:BV109" ca="1">MMULT(J107:O109,BT104:BT109)-AC107:AC109</f>
        <v>0</v>
      </c>
      <c r="BW107" s="288" t="s">
        <v>101</v>
      </c>
      <c r="BX107" s="7">
        <f ca="1"/>
        <v>0</v>
      </c>
      <c r="BY107" s="1">
        <f ca="1"/>
        <v>0</v>
      </c>
      <c r="BZ107" s="1">
        <f ca="1"/>
        <v>0</v>
      </c>
      <c r="CA107" s="1">
        <f ca="1"/>
        <v>0</v>
      </c>
      <c r="CB107" s="1">
        <f ca="1"/>
        <v>0</v>
      </c>
      <c r="CC107" s="1">
        <f ca="1"/>
        <v>0</v>
      </c>
      <c r="CD107" s="1">
        <f ca="1"/>
        <v>0</v>
      </c>
      <c r="CE107" s="1">
        <f ca="1"/>
        <v>0</v>
      </c>
      <c r="CF107" s="1">
        <f ca="1"/>
        <v>0</v>
      </c>
      <c r="CG107" s="1">
        <f ca="1"/>
        <v>0</v>
      </c>
      <c r="CH107" s="8">
        <f ca="1"/>
        <v>0</v>
      </c>
      <c r="CI107" s="344" t="s">
        <v>1</v>
      </c>
      <c r="CJ107" s="344" t="s">
        <v>111</v>
      </c>
      <c r="CK107" s="310"/>
      <c r="CM107" s="292" t="s">
        <v>101</v>
      </c>
      <c r="CN107" s="7">
        <f ca="1"/>
        <v>0</v>
      </c>
      <c r="CO107" s="1">
        <f ca="1"/>
        <v>0</v>
      </c>
      <c r="CP107" s="1">
        <f ca="1"/>
        <v>0</v>
      </c>
      <c r="CQ107" s="1">
        <f ca="1"/>
        <v>0</v>
      </c>
      <c r="CR107" s="1">
        <f ca="1"/>
        <v>0</v>
      </c>
      <c r="CS107" s="1">
        <f ca="1"/>
        <v>0</v>
      </c>
      <c r="CT107" s="1">
        <f ca="1"/>
        <v>0</v>
      </c>
      <c r="CU107" s="1">
        <f ca="1"/>
        <v>0</v>
      </c>
      <c r="CV107" s="1">
        <f ca="1"/>
        <v>0</v>
      </c>
      <c r="CW107" s="1">
        <f ca="1"/>
        <v>0</v>
      </c>
      <c r="CX107" s="1">
        <f ca="1"/>
        <v>0</v>
      </c>
      <c r="CY107" s="1"/>
      <c r="CZ107" s="1"/>
      <c r="DA107" s="26"/>
      <c r="DB107" s="311" t="s">
        <v>1</v>
      </c>
      <c r="DC107" s="312" t="s">
        <v>111</v>
      </c>
      <c r="DD107" s="61">
        <f ca="1">MAX(MAX(CN106:CX107),ABS(MIN(CN106:CX107)))</f>
        <v>0</v>
      </c>
      <c r="DF107" s="292" t="s">
        <v>101</v>
      </c>
      <c r="DG107" s="7">
        <f ca="1"/>
        <v>0</v>
      </c>
      <c r="DH107" s="1">
        <f ca="1"/>
        <v>0</v>
      </c>
      <c r="DI107" s="1">
        <f ca="1"/>
        <v>0</v>
      </c>
      <c r="DJ107" s="1">
        <f ca="1"/>
        <v>0</v>
      </c>
      <c r="DK107" s="1">
        <f ca="1"/>
        <v>0</v>
      </c>
      <c r="DL107" s="1">
        <f ca="1"/>
        <v>0</v>
      </c>
      <c r="DM107" s="1">
        <f ca="1"/>
        <v>0</v>
      </c>
      <c r="DN107" s="1">
        <f ca="1"/>
        <v>0</v>
      </c>
      <c r="DO107" s="1">
        <f ca="1"/>
        <v>0</v>
      </c>
      <c r="DP107" s="1">
        <f ca="1"/>
        <v>0</v>
      </c>
      <c r="DQ107" s="1">
        <f ca="1"/>
        <v>0</v>
      </c>
      <c r="DR107" s="1"/>
      <c r="DS107" s="1"/>
      <c r="DT107" s="8"/>
      <c r="DU107" s="314" t="s">
        <v>1</v>
      </c>
      <c r="DV107" s="312" t="s">
        <v>111</v>
      </c>
      <c r="DW107" s="349">
        <f ca="1">MAX(MAX(DG106:DQ107),ABS(MIN(DG106:DQ107)))</f>
        <v>0</v>
      </c>
      <c r="DY107" s="292" t="s">
        <v>101</v>
      </c>
      <c r="DZ107" s="7">
        <f ca="1"/>
        <v>0</v>
      </c>
      <c r="EA107" s="1">
        <f ca="1"/>
        <v>0</v>
      </c>
      <c r="EB107" s="1">
        <f ca="1"/>
        <v>0</v>
      </c>
      <c r="EC107" s="1">
        <f ca="1"/>
        <v>0</v>
      </c>
      <c r="ED107" s="1">
        <f ca="1"/>
        <v>0</v>
      </c>
      <c r="EE107" s="1">
        <f ca="1"/>
        <v>0</v>
      </c>
      <c r="EF107" s="1">
        <f ca="1"/>
        <v>0</v>
      </c>
      <c r="EG107" s="1">
        <f ca="1"/>
        <v>0</v>
      </c>
      <c r="EH107" s="1">
        <f ca="1"/>
        <v>0</v>
      </c>
      <c r="EI107" s="1">
        <f ca="1"/>
        <v>0</v>
      </c>
      <c r="EJ107" s="1">
        <f ca="1"/>
        <v>0</v>
      </c>
      <c r="EK107" s="1"/>
      <c r="EL107" s="1"/>
      <c r="EM107" s="8"/>
      <c r="EN107" s="311" t="s">
        <v>1</v>
      </c>
      <c r="EO107" s="312" t="s">
        <v>111</v>
      </c>
      <c r="EP107" s="61">
        <f ca="1">MAX(MAX(DZ106:EJ107),ABS(MIN(DZ106:EJ107)))</f>
        <v>0</v>
      </c>
    </row>
    <row r="108" spans="1:146" x14ac:dyDescent="0.2">
      <c r="E108" s="1" t="str">
        <f ca="1">IF(ISNUMBER(A104),"" &amp; ADDRESS(ROW(A104),COLUMN($AD$1)) &amp; ":" &amp; ADDRESS(ROW(A109),COLUMN($AD$1)) &amp; "","")</f>
        <v/>
      </c>
      <c r="F108" s="1" t="str">
        <f ca="1">IF(ISNUMBER(A104),"" &amp; ADDRESS(ROW(A104),COLUMN($V$1)) &amp; ":" &amp; ADDRESS(ROW(A109),COLUMN($AA$1)) &amp; "","")</f>
        <v/>
      </c>
      <c r="G108" s="1" t="str">
        <f ca="1">IF(ISNUMBER(A104),"" &amp; ADDRESS(ROW(A104),COLUMN($AE$1)) &amp; ":" &amp; ADDRESS(ROW(A109),COLUMN($AD$1)+$C$6) &amp; "","")</f>
        <v/>
      </c>
      <c r="J108" s="7">
        <v>0</v>
      </c>
      <c r="K108" s="1">
        <f ca="1">-K105</f>
        <v>0</v>
      </c>
      <c r="L108" s="8">
        <f ca="1">IF(G104=1,6*B104/D104^2,IF(G104="2a",0,IF(G104="2b",3*B104/D104^2,0)))</f>
        <v>0</v>
      </c>
      <c r="M108" s="7">
        <v>0</v>
      </c>
      <c r="N108" s="180">
        <f ca="1">K105</f>
        <v>0</v>
      </c>
      <c r="O108" s="8">
        <f ca="1">N109</f>
        <v>0</v>
      </c>
      <c r="P108" s="184">
        <v>0</v>
      </c>
      <c r="Q108" s="101">
        <v>0</v>
      </c>
      <c r="R108" s="101">
        <v>0</v>
      </c>
      <c r="S108" s="99">
        <f ca="1">H104</f>
        <v>0</v>
      </c>
      <c r="T108" s="99">
        <f ca="1">I104</f>
        <v>0</v>
      </c>
      <c r="U108" s="100">
        <v>0</v>
      </c>
      <c r="V108" s="7">
        <f ca="1"/>
        <v>0</v>
      </c>
      <c r="W108" s="1">
        <f ca="1"/>
        <v>0</v>
      </c>
      <c r="X108" s="8">
        <f ca="1"/>
        <v>0</v>
      </c>
      <c r="Y108" s="7">
        <f ca="1"/>
        <v>0</v>
      </c>
      <c r="Z108" s="180">
        <f ca="1"/>
        <v>0</v>
      </c>
      <c r="AA108" s="8">
        <f ca="1"/>
        <v>0</v>
      </c>
      <c r="AB108" s="61">
        <f ca="1">IF(ISNUMBER($A104),INDIRECT("System!" &amp; ADDRESS(A104+1,COLUMN(System!W103))),0)</f>
        <v>0</v>
      </c>
      <c r="AC108" s="301">
        <f ca="1">IF(G104=1,F104*D104/2,IF(G104="2a",F104*5/8*D104,IF(G104="2b",F104*3/8*D104,0)))</f>
        <v>0</v>
      </c>
      <c r="AD108" s="61">
        <f ca="1"/>
        <v>0</v>
      </c>
      <c r="AE108" s="7">
        <f t="shared" ref="AE108:BR108" ca="1" si="199">IF(ABS($F106)=AE$1,SIGN($F106),0)</f>
        <v>0</v>
      </c>
      <c r="AF108" s="1">
        <f t="shared" ca="1" si="199"/>
        <v>0</v>
      </c>
      <c r="AG108" s="1">
        <f t="shared" ca="1" si="199"/>
        <v>0</v>
      </c>
      <c r="AH108" s="1">
        <f t="shared" ca="1" si="199"/>
        <v>0</v>
      </c>
      <c r="AI108" s="1">
        <f t="shared" ca="1" si="199"/>
        <v>0</v>
      </c>
      <c r="AJ108" s="26">
        <f t="shared" ca="1" si="199"/>
        <v>0</v>
      </c>
      <c r="AK108" s="26">
        <f t="shared" ca="1" si="199"/>
        <v>0</v>
      </c>
      <c r="AL108" s="26">
        <f t="shared" ca="1" si="199"/>
        <v>0</v>
      </c>
      <c r="AM108" s="26">
        <f t="shared" ca="1" si="199"/>
        <v>0</v>
      </c>
      <c r="AN108" s="26">
        <f t="shared" ca="1" si="199"/>
        <v>0</v>
      </c>
      <c r="AO108" s="26">
        <f t="shared" ca="1" si="199"/>
        <v>0</v>
      </c>
      <c r="AP108" s="26">
        <f t="shared" ca="1" si="199"/>
        <v>0</v>
      </c>
      <c r="AQ108" s="26">
        <f t="shared" ca="1" si="199"/>
        <v>0</v>
      </c>
      <c r="AR108" s="26">
        <f t="shared" ca="1" si="199"/>
        <v>0</v>
      </c>
      <c r="AS108" s="26">
        <f t="shared" ca="1" si="199"/>
        <v>0</v>
      </c>
      <c r="AT108" s="26">
        <f t="shared" ca="1" si="199"/>
        <v>0</v>
      </c>
      <c r="AU108" s="26">
        <f t="shared" ca="1" si="199"/>
        <v>0</v>
      </c>
      <c r="AV108" s="26">
        <f t="shared" ca="1" si="199"/>
        <v>0</v>
      </c>
      <c r="AW108" s="26">
        <f t="shared" ca="1" si="199"/>
        <v>0</v>
      </c>
      <c r="AX108" s="26">
        <f t="shared" ca="1" si="199"/>
        <v>0</v>
      </c>
      <c r="AY108" s="26">
        <f t="shared" ca="1" si="199"/>
        <v>0</v>
      </c>
      <c r="AZ108" s="26">
        <f t="shared" ca="1" si="199"/>
        <v>0</v>
      </c>
      <c r="BA108" s="26">
        <f t="shared" ca="1" si="199"/>
        <v>0</v>
      </c>
      <c r="BB108" s="26">
        <f t="shared" ca="1" si="199"/>
        <v>0</v>
      </c>
      <c r="BC108" s="26">
        <f t="shared" ca="1" si="199"/>
        <v>0</v>
      </c>
      <c r="BD108" s="26">
        <f t="shared" ca="1" si="199"/>
        <v>0</v>
      </c>
      <c r="BE108" s="26">
        <f t="shared" ca="1" si="199"/>
        <v>0</v>
      </c>
      <c r="BF108" s="26">
        <f t="shared" ca="1" si="199"/>
        <v>0</v>
      </c>
      <c r="BG108" s="26">
        <f t="shared" ca="1" si="199"/>
        <v>0</v>
      </c>
      <c r="BH108" s="26">
        <f t="shared" ca="1" si="199"/>
        <v>0</v>
      </c>
      <c r="BI108" s="26">
        <f t="shared" ca="1" si="199"/>
        <v>0</v>
      </c>
      <c r="BJ108" s="26">
        <f t="shared" ca="1" si="199"/>
        <v>0</v>
      </c>
      <c r="BK108" s="26">
        <f t="shared" ca="1" si="199"/>
        <v>0</v>
      </c>
      <c r="BL108" s="26">
        <f t="shared" ca="1" si="199"/>
        <v>0</v>
      </c>
      <c r="BM108" s="26">
        <f t="shared" ca="1" si="199"/>
        <v>0</v>
      </c>
      <c r="BN108" s="26">
        <f t="shared" ca="1" si="199"/>
        <v>0</v>
      </c>
      <c r="BO108" s="26">
        <f t="shared" ca="1" si="199"/>
        <v>0</v>
      </c>
      <c r="BP108" s="26">
        <f t="shared" ca="1" si="199"/>
        <v>0</v>
      </c>
      <c r="BQ108" s="26">
        <f t="shared" ca="1" si="199"/>
        <v>0</v>
      </c>
      <c r="BR108" s="26">
        <f t="shared" ca="1" si="199"/>
        <v>0</v>
      </c>
      <c r="BS108" s="282">
        <f ca="1">IF(ISNUMBER($A104),IF(INDEX(B106:G106,5)&lt;&gt;0,SIGN(INDEX(B106:G106,5))*INDIRECT(ADDRESS(1+ABS(INDEX(B106:G106,5)),COLUMN(Ksys!$B$1),1,TRUE,"Ksys")),0)+AB108,0)</f>
        <v>0</v>
      </c>
      <c r="BT108" s="61">
        <f ca="1"/>
        <v>0</v>
      </c>
      <c r="BU108" s="61">
        <f ca="1"/>
        <v>0</v>
      </c>
      <c r="BV108" s="61">
        <f ca="1"/>
        <v>0</v>
      </c>
      <c r="BW108" s="296" t="s">
        <v>102</v>
      </c>
      <c r="BX108" s="216">
        <f ca="1">IF(ISNUMBER($A104),$B105*(1-BX$1) + $C105*BX$1 + Knoten!$S$5*BX106,KnotenData!$H$2)</f>
        <v>0.5</v>
      </c>
      <c r="BY108" s="206">
        <f ca="1">IF(ISNUMBER($A104),$B105*(1-BY$1) + $C105*BY$1 + Knoten!$S$5*BY106,KnotenData!$H$2)</f>
        <v>0.5</v>
      </c>
      <c r="BZ108" s="206">
        <f ca="1">IF(ISNUMBER($A104),$B105*(1-BZ$1) + $C105*BZ$1 + Knoten!$S$5*BZ106,KnotenData!$H$2)</f>
        <v>0.5</v>
      </c>
      <c r="CA108" s="206">
        <f ca="1">IF(ISNUMBER($A104),$B105*(1-CA$1) + $C105*CA$1 + Knoten!$S$5*CA106,KnotenData!$H$2)</f>
        <v>0.5</v>
      </c>
      <c r="CB108" s="206">
        <f ca="1">IF(ISNUMBER($A104),$B105*(1-CB$1) + $C105*CB$1 + Knoten!$S$5*CB106,KnotenData!$H$2)</f>
        <v>0.5</v>
      </c>
      <c r="CC108" s="206">
        <f ca="1">IF(ISNUMBER($A104),$B105*(1-CC$1) + $C105*CC$1 + Knoten!$S$5*CC106,KnotenData!$H$2)</f>
        <v>0.5</v>
      </c>
      <c r="CD108" s="206">
        <f ca="1">IF(ISNUMBER($A104),$B105*(1-CD$1) + $C105*CD$1 + Knoten!$S$5*CD106,KnotenData!$H$2)</f>
        <v>0.5</v>
      </c>
      <c r="CE108" s="206">
        <f ca="1">IF(ISNUMBER($A104),$B105*(1-CE$1) + $C105*CE$1 + Knoten!$S$5*CE106,KnotenData!$H$2)</f>
        <v>0.5</v>
      </c>
      <c r="CF108" s="206">
        <f ca="1">IF(ISNUMBER($A104),$B105*(1-CF$1) + $C105*CF$1 + Knoten!$S$5*CF106,KnotenData!$H$2)</f>
        <v>0.5</v>
      </c>
      <c r="CG108" s="206">
        <f ca="1">IF(ISNUMBER($A104),$B105*(1-CG$1) + $C105*CG$1 + Knoten!$S$5*CG106,KnotenData!$H$2)</f>
        <v>0.5</v>
      </c>
      <c r="CH108" s="217">
        <f ca="1">IF(ISNUMBER($A104),$B105*(1-CH$1) + $C105*CH$1 + Knoten!$S$5*CH106,KnotenData!$H$2)</f>
        <v>0.5</v>
      </c>
      <c r="CI108" s="447">
        <f ca="1">MIN(BX108:CH108)</f>
        <v>0.5</v>
      </c>
      <c r="CJ108" s="447">
        <f ca="1">MIN(BX109:CH109)</f>
        <v>0.47499999999999998</v>
      </c>
      <c r="CK108" s="445"/>
      <c r="CM108" s="293" t="s">
        <v>102</v>
      </c>
      <c r="CN108" s="216">
        <f ca="1">IF(ISNUMBER($A104),$B105*(1-CN$1) + $C105*CN$1 + Momente!$D$6*CN106,KnotenData!$H$2)</f>
        <v>0.5</v>
      </c>
      <c r="CO108" s="206">
        <f ca="1">IF(ISNUMBER($A104),$B105*(1-CO$1) + $C105*CO$1 + Momente!$D$6*CO106,KnotenData!$H$2)</f>
        <v>0.5</v>
      </c>
      <c r="CP108" s="206">
        <f ca="1">IF(ISNUMBER($A104),$B105*(1-CP$1) + $C105*CP$1 + Momente!$D$6*CP106,KnotenData!$H$2)</f>
        <v>0.5</v>
      </c>
      <c r="CQ108" s="206">
        <f ca="1">IF(ISNUMBER($A104),$B105*(1-CQ$1) + $C105*CQ$1 + Momente!$D$6*CQ106,KnotenData!$H$2)</f>
        <v>0.5</v>
      </c>
      <c r="CR108" s="206">
        <f ca="1">IF(ISNUMBER($A104),$B105*(1-CR$1) + $C105*CR$1 + Momente!$D$6*CR106,KnotenData!$H$2)</f>
        <v>0.5</v>
      </c>
      <c r="CS108" s="206">
        <f ca="1">IF(ISNUMBER($A104),$B105*(1-CS$1) + $C105*CS$1 + Momente!$D$6*CS106,KnotenData!$H$2)</f>
        <v>0.5</v>
      </c>
      <c r="CT108" s="206">
        <f ca="1">IF(ISNUMBER($A104),$B105*(1-CT$1) + $C105*CT$1 + Momente!$D$6*CT106,KnotenData!$H$2)</f>
        <v>0.5</v>
      </c>
      <c r="CU108" s="206">
        <f ca="1">IF(ISNUMBER($A104),$B105*(1-CU$1) + $C105*CU$1 + Momente!$D$6*CU106,KnotenData!$H$2)</f>
        <v>0.5</v>
      </c>
      <c r="CV108" s="206">
        <f ca="1">IF(ISNUMBER($A104),$B105*(1-CV$1) + $C105*CV$1 + Momente!$D$6*CV106,KnotenData!$H$2)</f>
        <v>0.5</v>
      </c>
      <c r="CW108" s="206">
        <f ca="1">IF(ISNUMBER($A104),$B105*(1-CW$1) + $C105*CW$1 + Momente!$D$6*CW106,KnotenData!$H$2)</f>
        <v>0.5</v>
      </c>
      <c r="CX108" s="206">
        <f ca="1">IF(ISNUMBER($A104),$B105*(1-CX$1) + $C105*CX$1 + Momente!$D$6*CX106,KnotenData!$H$2)</f>
        <v>0.5</v>
      </c>
      <c r="CY108" s="206">
        <f ca="1">IF(ISNUMBER($A104),$C105,KnotenData!$H$2)</f>
        <v>0.5</v>
      </c>
      <c r="CZ108" s="206">
        <f ca="1">IF(ISNUMBER($A104),$B105,KnotenData!$H$2)</f>
        <v>0.5</v>
      </c>
      <c r="DA108" s="305">
        <f ca="1">IF(ISNUMBER($A104),CN108,KnotenData!$H$2)</f>
        <v>0.5</v>
      </c>
      <c r="DB108" s="7">
        <f ca="1">MIN(CN108:DA108)</f>
        <v>0.5</v>
      </c>
      <c r="DC108" s="8">
        <f ca="1">MIN(CN109:DA109)</f>
        <v>0.47499999999999998</v>
      </c>
      <c r="DD108" s="345"/>
      <c r="DF108" s="293" t="s">
        <v>102</v>
      </c>
      <c r="DG108" s="216">
        <f ca="1">IF(ISNUMBER($A104),$B105*(1-DG$1) + $C105*DG$1 + Querkräfte!$D$6*DG106,KnotenData!$H$2)</f>
        <v>0.5</v>
      </c>
      <c r="DH108" s="206">
        <f ca="1">IF(ISNUMBER($A104),$B105*(1-DH$1) + $C105*DH$1 + Querkräfte!$D$6*DH106,KnotenData!$H$2)</f>
        <v>0.5</v>
      </c>
      <c r="DI108" s="206">
        <f ca="1">IF(ISNUMBER($A104),$B105*(1-DI$1) + $C105*DI$1 + Querkräfte!$D$6*DI106,KnotenData!$H$2)</f>
        <v>0.5</v>
      </c>
      <c r="DJ108" s="206">
        <f ca="1">IF(ISNUMBER($A104),$B105*(1-DJ$1) + $C105*DJ$1 + Querkräfte!$D$6*DJ106,KnotenData!$H$2)</f>
        <v>0.5</v>
      </c>
      <c r="DK108" s="206">
        <f ca="1">IF(ISNUMBER($A104),$B105*(1-DK$1) + $C105*DK$1 + Querkräfte!$D$6*DK106,KnotenData!$H$2)</f>
        <v>0.5</v>
      </c>
      <c r="DL108" s="206">
        <f ca="1">IF(ISNUMBER($A104),$B105*(1-DL$1) + $C105*DL$1 + Querkräfte!$D$6*DL106,KnotenData!$H$2)</f>
        <v>0.5</v>
      </c>
      <c r="DM108" s="206">
        <f ca="1">IF(ISNUMBER($A104),$B105*(1-DM$1) + $C105*DM$1 + Querkräfte!$D$6*DM106,KnotenData!$H$2)</f>
        <v>0.5</v>
      </c>
      <c r="DN108" s="206">
        <f ca="1">IF(ISNUMBER($A104),$B105*(1-DN$1) + $C105*DN$1 + Querkräfte!$D$6*DN106,KnotenData!$H$2)</f>
        <v>0.5</v>
      </c>
      <c r="DO108" s="206">
        <f ca="1">IF(ISNUMBER($A104),$B105*(1-DO$1) + $C105*DO$1 + Querkräfte!$D$6*DO106,KnotenData!$H$2)</f>
        <v>0.5</v>
      </c>
      <c r="DP108" s="206">
        <f ca="1">IF(ISNUMBER($A104),$B105*(1-DP$1) + $C105*DP$1 + Querkräfte!$D$6*DP106,KnotenData!$H$2)</f>
        <v>0.5</v>
      </c>
      <c r="DQ108" s="206">
        <f ca="1">IF(ISNUMBER($A104),$B105*(1-DQ$1) + $C105*DQ$1 + Querkräfte!$D$6*DQ106,KnotenData!$H$2)</f>
        <v>0.5</v>
      </c>
      <c r="DR108" s="206">
        <f ca="1">IF(ISNUMBER($A104),$C105,KnotenData!$H$2)</f>
        <v>0.5</v>
      </c>
      <c r="DS108" s="206">
        <f ca="1">IF(ISNUMBER($A104),$B105,KnotenData!$H$2)</f>
        <v>0.5</v>
      </c>
      <c r="DT108" s="217">
        <f ca="1">IF(ISNUMBER($A104),DG108,KnotenData!$H$2)</f>
        <v>0.5</v>
      </c>
      <c r="DU108" s="145">
        <f ca="1">MIN(DG108:DQ108)</f>
        <v>0.5</v>
      </c>
      <c r="DV108" s="8">
        <f ca="1">MIN(DG109:DQ109)</f>
        <v>0.47499999999999998</v>
      </c>
      <c r="DW108" s="345"/>
      <c r="DY108" s="293" t="s">
        <v>102</v>
      </c>
      <c r="DZ108" s="216">
        <f ca="1">IF(ISNUMBER($A104),$B105*(1-DZ$1) + $C105*DZ$1 + Normalkräfte!$D$6*DZ106,KnotenData!$H$2)</f>
        <v>0.5</v>
      </c>
      <c r="EA108" s="206">
        <f ca="1">IF(ISNUMBER($A104),$B105*(1-EA$1) + $C105*EA$1 + Normalkräfte!$D$6*EA106,KnotenData!$H$2)</f>
        <v>0.5</v>
      </c>
      <c r="EB108" s="206">
        <f ca="1">IF(ISNUMBER($A104),$B105*(1-EB$1) + $C105*EB$1 + Normalkräfte!$D$6*EB106,KnotenData!$H$2)</f>
        <v>0.5</v>
      </c>
      <c r="EC108" s="206">
        <f ca="1">IF(ISNUMBER($A104),$B105*(1-EC$1) + $C105*EC$1 + Normalkräfte!$D$6*EC106,KnotenData!$H$2)</f>
        <v>0.5</v>
      </c>
      <c r="ED108" s="206">
        <f ca="1">IF(ISNUMBER($A104),$B105*(1-ED$1) + $C105*ED$1 + Normalkräfte!$D$6*ED106,KnotenData!$H$2)</f>
        <v>0.5</v>
      </c>
      <c r="EE108" s="206">
        <f ca="1">IF(ISNUMBER($A104),$B105*(1-EE$1) + $C105*EE$1 + Normalkräfte!$D$6*EE106,KnotenData!$H$2)</f>
        <v>0.5</v>
      </c>
      <c r="EF108" s="206">
        <f ca="1">IF(ISNUMBER($A104),$B105*(1-EF$1) + $C105*EF$1 + Normalkräfte!$D$6*EF106,KnotenData!$H$2)</f>
        <v>0.5</v>
      </c>
      <c r="EG108" s="206">
        <f ca="1">IF(ISNUMBER($A104),$B105*(1-EG$1) + $C105*EG$1 + Normalkräfte!$D$6*EG106,KnotenData!$H$2)</f>
        <v>0.5</v>
      </c>
      <c r="EH108" s="206">
        <f ca="1">IF(ISNUMBER($A104),$B105*(1-EH$1) + $C105*EH$1 + Normalkräfte!$D$6*EH106,KnotenData!$H$2)</f>
        <v>0.5</v>
      </c>
      <c r="EI108" s="206">
        <f ca="1">IF(ISNUMBER($A104),$B105*(1-EI$1) + $C105*EI$1 + Normalkräfte!$D$6*EI106,KnotenData!$H$2)</f>
        <v>0.5</v>
      </c>
      <c r="EJ108" s="206">
        <f ca="1">IF(ISNUMBER($A104),$B105*(1-EJ$1) + $C105*EJ$1 + Normalkräfte!$D$6*EJ106,KnotenData!$H$2)</f>
        <v>0.5</v>
      </c>
      <c r="EK108" s="256">
        <f ca="1">IF(ISNUMBER($A104),$C105,KnotenData!$H$2)</f>
        <v>0.5</v>
      </c>
      <c r="EL108" s="206">
        <f ca="1">IF(ISNUMBER($A104),$B105,KnotenData!$H$2)</f>
        <v>0.5</v>
      </c>
      <c r="EM108" s="217">
        <f ca="1">IF(ISNUMBER($A104),DZ108,KnotenData!$H$2)</f>
        <v>0.5</v>
      </c>
      <c r="EN108" s="7">
        <f ca="1">MIN(DZ108:EJ108)</f>
        <v>0.5</v>
      </c>
      <c r="EO108" s="8">
        <f ca="1">MIN(DZ109:EJ109)</f>
        <v>0.47499999999999998</v>
      </c>
      <c r="EP108" s="345"/>
    </row>
    <row r="109" spans="1:146" ht="13.5" thickBot="1" x14ac:dyDescent="0.25">
      <c r="E109" s="12"/>
      <c r="F109" s="12"/>
      <c r="J109" s="9">
        <v>0</v>
      </c>
      <c r="K109" s="10">
        <f ca="1">IF(G104=1,-6*B104/D104^2,IF(G104="2a",-3*B104/D104^2,IF(G104="2b",0,0)))</f>
        <v>0</v>
      </c>
      <c r="L109" s="146">
        <f ca="1">IF(G104=1,2*B104/D104,IF(G104="2a",0,IF(G104="2b",0,0)))</f>
        <v>0</v>
      </c>
      <c r="M109" s="9">
        <v>0</v>
      </c>
      <c r="N109" s="10">
        <f ca="1">-K109</f>
        <v>0</v>
      </c>
      <c r="O109" s="181">
        <f ca="1">IF(G104=1,4*B104/D104,IF(G104="2a",3*B104/D104,IF(G104="2b",0,0)))</f>
        <v>0</v>
      </c>
      <c r="P109" s="185">
        <v>0</v>
      </c>
      <c r="Q109" s="103">
        <v>0</v>
      </c>
      <c r="R109" s="103">
        <v>0</v>
      </c>
      <c r="S109" s="111">
        <v>0</v>
      </c>
      <c r="T109" s="111">
        <v>0</v>
      </c>
      <c r="U109" s="112">
        <v>1</v>
      </c>
      <c r="V109" s="9">
        <f ca="1"/>
        <v>0</v>
      </c>
      <c r="W109" s="10">
        <f ca="1"/>
        <v>0</v>
      </c>
      <c r="X109" s="146">
        <f ca="1"/>
        <v>0</v>
      </c>
      <c r="Y109" s="9">
        <f ca="1"/>
        <v>0</v>
      </c>
      <c r="Z109" s="10">
        <f ca="1"/>
        <v>0</v>
      </c>
      <c r="AA109" s="181">
        <f ca="1"/>
        <v>0</v>
      </c>
      <c r="AB109" s="62">
        <f ca="1">IF(ISNUMBER($A104),INDIRECT("System!" &amp; ADDRESS(A104+1,COLUMN(System!X103))),0)</f>
        <v>0</v>
      </c>
      <c r="AC109" s="302">
        <f ca="1">IF(G104=1,F104*D104^2/12,IF(G104="2a",F104*D104^2/8,IF(G104="2b",0,0)))</f>
        <v>0</v>
      </c>
      <c r="AD109" s="62">
        <f ca="1"/>
        <v>0</v>
      </c>
      <c r="AE109" s="9">
        <f t="shared" ref="AE109:BR109" ca="1" si="200">IF(ABS($G106)=AE$1,SIGN($G106),0)</f>
        <v>0</v>
      </c>
      <c r="AF109" s="10">
        <f t="shared" ca="1" si="200"/>
        <v>0</v>
      </c>
      <c r="AG109" s="10">
        <f t="shared" ca="1" si="200"/>
        <v>0</v>
      </c>
      <c r="AH109" s="10">
        <f t="shared" ca="1" si="200"/>
        <v>0</v>
      </c>
      <c r="AI109" s="10">
        <f t="shared" ca="1" si="200"/>
        <v>0</v>
      </c>
      <c r="AJ109" s="188">
        <f t="shared" ca="1" si="200"/>
        <v>0</v>
      </c>
      <c r="AK109" s="188">
        <f t="shared" ca="1" si="200"/>
        <v>0</v>
      </c>
      <c r="AL109" s="188">
        <f t="shared" ca="1" si="200"/>
        <v>0</v>
      </c>
      <c r="AM109" s="188">
        <f t="shared" ca="1" si="200"/>
        <v>0</v>
      </c>
      <c r="AN109" s="188">
        <f t="shared" ca="1" si="200"/>
        <v>0</v>
      </c>
      <c r="AO109" s="188">
        <f t="shared" ca="1" si="200"/>
        <v>0</v>
      </c>
      <c r="AP109" s="188">
        <f t="shared" ca="1" si="200"/>
        <v>0</v>
      </c>
      <c r="AQ109" s="188">
        <f t="shared" ca="1" si="200"/>
        <v>0</v>
      </c>
      <c r="AR109" s="188">
        <f t="shared" ca="1" si="200"/>
        <v>0</v>
      </c>
      <c r="AS109" s="188">
        <f t="shared" ca="1" si="200"/>
        <v>0</v>
      </c>
      <c r="AT109" s="188">
        <f t="shared" ca="1" si="200"/>
        <v>0</v>
      </c>
      <c r="AU109" s="188">
        <f t="shared" ca="1" si="200"/>
        <v>0</v>
      </c>
      <c r="AV109" s="188">
        <f t="shared" ca="1" si="200"/>
        <v>0</v>
      </c>
      <c r="AW109" s="188">
        <f t="shared" ca="1" si="200"/>
        <v>0</v>
      </c>
      <c r="AX109" s="188">
        <f t="shared" ca="1" si="200"/>
        <v>0</v>
      </c>
      <c r="AY109" s="188">
        <f t="shared" ca="1" si="200"/>
        <v>0</v>
      </c>
      <c r="AZ109" s="188">
        <f t="shared" ca="1" si="200"/>
        <v>0</v>
      </c>
      <c r="BA109" s="188">
        <f t="shared" ca="1" si="200"/>
        <v>0</v>
      </c>
      <c r="BB109" s="188">
        <f t="shared" ca="1" si="200"/>
        <v>0</v>
      </c>
      <c r="BC109" s="188">
        <f t="shared" ca="1" si="200"/>
        <v>0</v>
      </c>
      <c r="BD109" s="188">
        <f t="shared" ca="1" si="200"/>
        <v>0</v>
      </c>
      <c r="BE109" s="188">
        <f t="shared" ca="1" si="200"/>
        <v>0</v>
      </c>
      <c r="BF109" s="188">
        <f t="shared" ca="1" si="200"/>
        <v>0</v>
      </c>
      <c r="BG109" s="188">
        <f t="shared" ca="1" si="200"/>
        <v>0</v>
      </c>
      <c r="BH109" s="188">
        <f t="shared" ca="1" si="200"/>
        <v>0</v>
      </c>
      <c r="BI109" s="188">
        <f t="shared" ca="1" si="200"/>
        <v>0</v>
      </c>
      <c r="BJ109" s="188">
        <f t="shared" ca="1" si="200"/>
        <v>0</v>
      </c>
      <c r="BK109" s="188">
        <f t="shared" ca="1" si="200"/>
        <v>0</v>
      </c>
      <c r="BL109" s="188">
        <f t="shared" ca="1" si="200"/>
        <v>0</v>
      </c>
      <c r="BM109" s="188">
        <f t="shared" ca="1" si="200"/>
        <v>0</v>
      </c>
      <c r="BN109" s="188">
        <f t="shared" ca="1" si="200"/>
        <v>0</v>
      </c>
      <c r="BO109" s="188">
        <f t="shared" ca="1" si="200"/>
        <v>0</v>
      </c>
      <c r="BP109" s="188">
        <f t="shared" ca="1" si="200"/>
        <v>0</v>
      </c>
      <c r="BQ109" s="188">
        <f t="shared" ca="1" si="200"/>
        <v>0</v>
      </c>
      <c r="BR109" s="188">
        <f t="shared" ca="1" si="200"/>
        <v>0</v>
      </c>
      <c r="BS109" s="283">
        <f ca="1">IF(ISNUMBER($A104),IF(INDEX(B106:G106,6)&lt;&gt;0,SIGN(INDEX(B106:G106,6))*INDIRECT(ADDRESS(1+ABS(INDEX(B106:G106,6)),COLUMN(Ksys!$B$1),1,TRUE,"Ksys")),0)+AB109,0)</f>
        <v>0</v>
      </c>
      <c r="BT109" s="62">
        <f ca="1"/>
        <v>0</v>
      </c>
      <c r="BU109" s="62">
        <f ca="1"/>
        <v>0</v>
      </c>
      <c r="BV109" s="62">
        <f ca="1"/>
        <v>0</v>
      </c>
      <c r="BW109" s="297" t="s">
        <v>103</v>
      </c>
      <c r="BX109" s="218">
        <f ca="1">IF(ISNUMBER($A104),$D105*(1-BX$1) + $E105*BX$1 + Knoten!$S$5*BX107,KnotenData!$H$3)</f>
        <v>0.47499999999999998</v>
      </c>
      <c r="BY109" s="295">
        <f ca="1">IF(ISNUMBER($A104),$D105*(1-BY$1) + $E105*BY$1 + Knoten!$S$5*BY107,KnotenData!$H$3)</f>
        <v>0.47499999999999998</v>
      </c>
      <c r="BZ109" s="295">
        <f ca="1">IF(ISNUMBER($A104),$D105*(1-BZ$1) + $E105*BZ$1 + Knoten!$S$5*BZ107,KnotenData!$H$3)</f>
        <v>0.47499999999999998</v>
      </c>
      <c r="CA109" s="295">
        <f ca="1">IF(ISNUMBER($A104),$D105*(1-CA$1) + $E105*CA$1 + Knoten!$S$5*CA107,KnotenData!$H$3)</f>
        <v>0.47499999999999998</v>
      </c>
      <c r="CB109" s="295">
        <f ca="1">IF(ISNUMBER($A104),$D105*(1-CB$1) + $E105*CB$1 + Knoten!$S$5*CB107,KnotenData!$H$3)</f>
        <v>0.47499999999999998</v>
      </c>
      <c r="CC109" s="295">
        <f ca="1">IF(ISNUMBER($A104),$D105*(1-CC$1) + $E105*CC$1 + Knoten!$S$5*CC107,KnotenData!$H$3)</f>
        <v>0.47499999999999998</v>
      </c>
      <c r="CD109" s="295">
        <f ca="1">IF(ISNUMBER($A104),$D105*(1-CD$1) + $E105*CD$1 + Knoten!$S$5*CD107,KnotenData!$H$3)</f>
        <v>0.47499999999999998</v>
      </c>
      <c r="CE109" s="295">
        <f ca="1">IF(ISNUMBER($A104),$D105*(1-CE$1) + $E105*CE$1 + Knoten!$S$5*CE107,KnotenData!$H$3)</f>
        <v>0.47499999999999998</v>
      </c>
      <c r="CF109" s="295">
        <f ca="1">IF(ISNUMBER($A104),$D105*(1-CF$1) + $E105*CF$1 + Knoten!$S$5*CF107,KnotenData!$H$3)</f>
        <v>0.47499999999999998</v>
      </c>
      <c r="CG109" s="295">
        <f ca="1">IF(ISNUMBER($A104),$D105*(1-CG$1) + $E105*CG$1 + Knoten!$S$5*CG107,KnotenData!$H$3)</f>
        <v>0.47499999999999998</v>
      </c>
      <c r="CH109" s="219">
        <f ca="1">IF(ISNUMBER($A104),$D105*(1-CH$1) + $E105*CH$1 + Knoten!$S$5*CH107,KnotenData!$H$3)</f>
        <v>0.47499999999999998</v>
      </c>
      <c r="CI109" s="449">
        <f ca="1">MAX(BX108:CH108)</f>
        <v>0.5</v>
      </c>
      <c r="CJ109" s="448">
        <f ca="1">MAX(BX109:CH109)</f>
        <v>0.47499999999999998</v>
      </c>
      <c r="CK109" s="446"/>
      <c r="CL109">
        <v>18</v>
      </c>
      <c r="CM109" s="294" t="s">
        <v>103</v>
      </c>
      <c r="CN109" s="218">
        <f ca="1">IF(ISNUMBER($A104),$D105*(1-CN$1) + $E105*CN$1 + Momente!$D$6*CN107,KnotenData!$H$3)</f>
        <v>0.47499999999999998</v>
      </c>
      <c r="CO109" s="295">
        <f ca="1">IF(ISNUMBER($A104),$D105*(1-CO$1) + $E105*CO$1 + Momente!$D$6*CO107,KnotenData!$H$3)</f>
        <v>0.47499999999999998</v>
      </c>
      <c r="CP109" s="295">
        <f ca="1">IF(ISNUMBER($A104),$D105*(1-CP$1) + $E105*CP$1 + Momente!$D$6*CP107,KnotenData!$H$3)</f>
        <v>0.47499999999999998</v>
      </c>
      <c r="CQ109" s="295">
        <f ca="1">IF(ISNUMBER($A104),$D105*(1-CQ$1) + $E105*CQ$1 + Momente!$D$6*CQ107,KnotenData!$H$3)</f>
        <v>0.47499999999999998</v>
      </c>
      <c r="CR109" s="295">
        <f ca="1">IF(ISNUMBER($A104),$D105*(1-CR$1) + $E105*CR$1 + Momente!$D$6*CR107,KnotenData!$H$3)</f>
        <v>0.47499999999999998</v>
      </c>
      <c r="CS109" s="295">
        <f ca="1">IF(ISNUMBER($A104),$D105*(1-CS$1) + $E105*CS$1 + Momente!$D$6*CS107,KnotenData!$H$3)</f>
        <v>0.47499999999999998</v>
      </c>
      <c r="CT109" s="295">
        <f ca="1">IF(ISNUMBER($A104),$D105*(1-CT$1) + $E105*CT$1 + Momente!$D$6*CT107,KnotenData!$H$3)</f>
        <v>0.47499999999999998</v>
      </c>
      <c r="CU109" s="295">
        <f ca="1">IF(ISNUMBER($A104),$D105*(1-CU$1) + $E105*CU$1 + Momente!$D$6*CU107,KnotenData!$H$3)</f>
        <v>0.47499999999999998</v>
      </c>
      <c r="CV109" s="295">
        <f ca="1">IF(ISNUMBER($A104),$D105*(1-CV$1) + $E105*CV$1 + Momente!$D$6*CV107,KnotenData!$H$3)</f>
        <v>0.47499999999999998</v>
      </c>
      <c r="CW109" s="295">
        <f ca="1">IF(ISNUMBER($A104),$D105*(1-CW$1) + $E105*CW$1 + Momente!$D$6*CW107,KnotenData!$H$3)</f>
        <v>0.47499999999999998</v>
      </c>
      <c r="CX109" s="295">
        <f ca="1">IF(ISNUMBER($A104),$D105*(1-CX$1) + $E105*CX$1 + Momente!$D$6*CX107,KnotenData!$H$3)</f>
        <v>0.47499999999999998</v>
      </c>
      <c r="CY109" s="295">
        <f ca="1">IF(ISNUMBER($A104),$E105,KnotenData!$H$3)</f>
        <v>0.47499999999999998</v>
      </c>
      <c r="CZ109" s="295">
        <f ca="1">IF(ISNUMBER($A104),$D105,KnotenData!$H$3)</f>
        <v>0.47499999999999998</v>
      </c>
      <c r="DA109" s="306">
        <f ca="1">IF(ISNUMBER($A104),CN109,KnotenData!$H$3)</f>
        <v>0.47499999999999998</v>
      </c>
      <c r="DB109" s="9">
        <f ca="1">MAX(CN108:DA108)</f>
        <v>0.5</v>
      </c>
      <c r="DC109" s="146">
        <f ca="1">MAX(CN109:DA109)</f>
        <v>0.47499999999999998</v>
      </c>
      <c r="DD109" s="346"/>
      <c r="DE109">
        <v>18</v>
      </c>
      <c r="DF109" s="294" t="s">
        <v>103</v>
      </c>
      <c r="DG109" s="218">
        <f ca="1">IF(ISNUMBER($A104),$D105*(1-DG$1) + $E105*DG$1 + Querkräfte!$D$6*DG107,KnotenData!$H$3)</f>
        <v>0.47499999999999998</v>
      </c>
      <c r="DH109" s="295">
        <f ca="1">IF(ISNUMBER($A104),$D105*(1-DH$1) + $E105*DH$1 + Querkräfte!$D$6*DH107,KnotenData!$H$3)</f>
        <v>0.47499999999999998</v>
      </c>
      <c r="DI109" s="295">
        <f ca="1">IF(ISNUMBER($A104),$D105*(1-DI$1) + $E105*DI$1 + Querkräfte!$D$6*DI107,KnotenData!$H$3)</f>
        <v>0.47499999999999998</v>
      </c>
      <c r="DJ109" s="295">
        <f ca="1">IF(ISNUMBER($A104),$D105*(1-DJ$1) + $E105*DJ$1 + Querkräfte!$D$6*DJ107,KnotenData!$H$3)</f>
        <v>0.47499999999999998</v>
      </c>
      <c r="DK109" s="295">
        <f ca="1">IF(ISNUMBER($A104),$D105*(1-DK$1) + $E105*DK$1 + Querkräfte!$D$6*DK107,KnotenData!$H$3)</f>
        <v>0.47499999999999998</v>
      </c>
      <c r="DL109" s="295">
        <f ca="1">IF(ISNUMBER($A104),$D105*(1-DL$1) + $E105*DL$1 + Querkräfte!$D$6*DL107,KnotenData!$H$3)</f>
        <v>0.47499999999999998</v>
      </c>
      <c r="DM109" s="295">
        <f ca="1">IF(ISNUMBER($A104),$D105*(1-DM$1) + $E105*DM$1 + Querkräfte!$D$6*DM107,KnotenData!$H$3)</f>
        <v>0.47499999999999998</v>
      </c>
      <c r="DN109" s="295">
        <f ca="1">IF(ISNUMBER($A104),$D105*(1-DN$1) + $E105*DN$1 + Querkräfte!$D$6*DN107,KnotenData!$H$3)</f>
        <v>0.47499999999999998</v>
      </c>
      <c r="DO109" s="295">
        <f ca="1">IF(ISNUMBER($A104),$D105*(1-DO$1) + $E105*DO$1 + Querkräfte!$D$6*DO107,KnotenData!$H$3)</f>
        <v>0.47499999999999998</v>
      </c>
      <c r="DP109" s="295">
        <f ca="1">IF(ISNUMBER($A104),$D105*(1-DP$1) + $E105*DP$1 + Querkräfte!$D$6*DP107,KnotenData!$H$3)</f>
        <v>0.47499999999999998</v>
      </c>
      <c r="DQ109" s="295">
        <f ca="1">IF(ISNUMBER($A104),$D105*(1-DQ$1) + $E105*DQ$1 + Querkräfte!$D$6*DQ107,KnotenData!$H$3)</f>
        <v>0.47499999999999998</v>
      </c>
      <c r="DR109" s="295">
        <f ca="1">IF(ISNUMBER($A104),$E105,KnotenData!$H$3)</f>
        <v>0.47499999999999998</v>
      </c>
      <c r="DS109" s="295">
        <f ca="1">IF(ISNUMBER($A104),$D105,KnotenData!$H$3)</f>
        <v>0.47499999999999998</v>
      </c>
      <c r="DT109" s="219">
        <f ca="1">IF(ISNUMBER($A104),DG109,KnotenData!$H$3)</f>
        <v>0.47499999999999998</v>
      </c>
      <c r="DU109" s="11">
        <f ca="1">MAX(DG108:DQ108)</f>
        <v>0.5</v>
      </c>
      <c r="DV109" s="146">
        <f ca="1">MAX(DG109:DQ109)</f>
        <v>0.47499999999999998</v>
      </c>
      <c r="DW109" s="346"/>
      <c r="DX109">
        <v>18</v>
      </c>
      <c r="DY109" s="294" t="s">
        <v>103</v>
      </c>
      <c r="DZ109" s="218">
        <f ca="1">IF(ISNUMBER($A104),$D105*(1-DZ$1) + $E105*DZ$1 + Normalkräfte!$D$6*DZ107,KnotenData!$H$3)</f>
        <v>0.47499999999999998</v>
      </c>
      <c r="EA109" s="295">
        <f ca="1">IF(ISNUMBER($A104),$D105*(1-EA$1) + $E105*EA$1 + Normalkräfte!$D$6*EA107,KnotenData!$H$3)</f>
        <v>0.47499999999999998</v>
      </c>
      <c r="EB109" s="295">
        <f ca="1">IF(ISNUMBER($A104),$D105*(1-EB$1) + $E105*EB$1 + Normalkräfte!$D$6*EB107,KnotenData!$H$3)</f>
        <v>0.47499999999999998</v>
      </c>
      <c r="EC109" s="295">
        <f ca="1">IF(ISNUMBER($A104),$D105*(1-EC$1) + $E105*EC$1 + Normalkräfte!$D$6*EC107,KnotenData!$H$3)</f>
        <v>0.47499999999999998</v>
      </c>
      <c r="ED109" s="295">
        <f ca="1">IF(ISNUMBER($A104),$D105*(1-ED$1) + $E105*ED$1 + Normalkräfte!$D$6*ED107,KnotenData!$H$3)</f>
        <v>0.47499999999999998</v>
      </c>
      <c r="EE109" s="295">
        <f ca="1">IF(ISNUMBER($A104),$D105*(1-EE$1) + $E105*EE$1 + Normalkräfte!$D$6*EE107,KnotenData!$H$3)</f>
        <v>0.47499999999999998</v>
      </c>
      <c r="EF109" s="295">
        <f ca="1">IF(ISNUMBER($A104),$D105*(1-EF$1) + $E105*EF$1 + Normalkräfte!$D$6*EF107,KnotenData!$H$3)</f>
        <v>0.47499999999999998</v>
      </c>
      <c r="EG109" s="295">
        <f ca="1">IF(ISNUMBER($A104),$D105*(1-EG$1) + $E105*EG$1 + Normalkräfte!$D$6*EG107,KnotenData!$H$3)</f>
        <v>0.47499999999999998</v>
      </c>
      <c r="EH109" s="295">
        <f ca="1">IF(ISNUMBER($A104),$D105*(1-EH$1) + $E105*EH$1 + Normalkräfte!$D$6*EH107,KnotenData!$H$3)</f>
        <v>0.47499999999999998</v>
      </c>
      <c r="EI109" s="295">
        <f ca="1">IF(ISNUMBER($A104),$D105*(1-EI$1) + $E105*EI$1 + Normalkräfte!$D$6*EI107,KnotenData!$H$3)</f>
        <v>0.47499999999999998</v>
      </c>
      <c r="EJ109" s="295">
        <f ca="1">IF(ISNUMBER($A104),$D105*(1-EJ$1) + $E105*EJ$1 + Normalkräfte!$D$6*EJ107,KnotenData!$H$3)</f>
        <v>0.47499999999999998</v>
      </c>
      <c r="EK109" s="295">
        <f ca="1">IF(ISNUMBER($A104),$E105,KnotenData!$H$3)</f>
        <v>0.47499999999999998</v>
      </c>
      <c r="EL109" s="295">
        <f ca="1">IF(ISNUMBER($A104),$D105,KnotenData!$H$3)</f>
        <v>0.47499999999999998</v>
      </c>
      <c r="EM109" s="219">
        <f ca="1">IF(ISNUMBER($A104),DZ109,KnotenData!$H$3)</f>
        <v>0.47499999999999998</v>
      </c>
      <c r="EN109" s="9">
        <f ca="1">MAX(DZ108:EJ108)</f>
        <v>0.5</v>
      </c>
      <c r="EO109" s="146">
        <f ca="1">MAX(DZ109:EJ109)</f>
        <v>0.47499999999999998</v>
      </c>
      <c r="EP109" s="346"/>
    </row>
    <row r="110" spans="1:146" x14ac:dyDescent="0.2">
      <c r="A110" s="205" t="str">
        <f ca="1">IF(ISNUMBER(INDIRECT("System!C" &amp;(ROW(A110)+4)/6+1)),INDIRECT("System!B"&amp;(ROW(A110)+4)/6+1),"")</f>
        <v/>
      </c>
      <c r="B110" s="206">
        <f ca="1">IF(ISNUMBER(A110),INDIRECT("System!" &amp; ADDRESS(A110 +1,COLUMN(System!E109))),0)</f>
        <v>0</v>
      </c>
      <c r="C110" s="206">
        <f ca="1">IF(ISNUMBER(A110),INDIRECT("System!" &amp; ADDRESS(A110 +1,COLUMN(System!F109))),0)</f>
        <v>0</v>
      </c>
      <c r="D110" s="209">
        <f ca="1">IF(ISNUMBER(A110),INDIRECT("System!" &amp; ADDRESS(A110 +1,COLUMN(System!O109))),0)</f>
        <v>0</v>
      </c>
      <c r="E110" s="208" t="str">
        <f ca="1">IF(ISNUMBER(A110),INDIRECT("System!" &amp; ADDRESS(A110 +1,COLUMN(System!G109))),"")</f>
        <v/>
      </c>
      <c r="F110" s="208" t="str">
        <f ca="1">IF(ISNUMBER(A110),INDIRECT("System!" &amp; ADDRESS(A110 +1,COLUMN(System!H109))),"")</f>
        <v/>
      </c>
      <c r="G110" s="261" t="str">
        <f ca="1">IF(ISNUMBER(A110),INDIRECT("System!" &amp; ADDRESS(A110 +1,COLUMN(System!I109))),"")</f>
        <v/>
      </c>
      <c r="H110" s="207">
        <f ca="1">IF(ISNUMBER($A110),INDIRECT("System!" &amp; ADDRESS($A110 +1,COLUMN(System!Q109))),0)</f>
        <v>0</v>
      </c>
      <c r="I110" s="207">
        <f ca="1">IF(ISNUMBER($A110),INDIRECT("System!" &amp; ADDRESS($A110 +1,COLUMN(System!R109))),0)</f>
        <v>0</v>
      </c>
      <c r="J110" s="179">
        <f ca="1">IF(ISNUMBER(A110),C110/D110,0)</f>
        <v>0</v>
      </c>
      <c r="K110" s="5">
        <v>0</v>
      </c>
      <c r="L110" s="6">
        <v>0</v>
      </c>
      <c r="M110" s="4">
        <f ca="1">-J110</f>
        <v>0</v>
      </c>
      <c r="N110" s="5">
        <v>0</v>
      </c>
      <c r="O110" s="6">
        <v>0</v>
      </c>
      <c r="P110" s="141">
        <f ca="1">I110</f>
        <v>0</v>
      </c>
      <c r="Q110" s="142">
        <f ca="1">-H110</f>
        <v>0</v>
      </c>
      <c r="R110" s="142">
        <v>0</v>
      </c>
      <c r="S110" s="182">
        <v>0</v>
      </c>
      <c r="T110" s="182">
        <v>0</v>
      </c>
      <c r="U110" s="183">
        <v>0</v>
      </c>
      <c r="V110" s="179">
        <f t="array" aca="1" ref="V110:AA115" ca="1">MMULT(TRANSPOSE(P110:U115),MMULT(J110:O115,P110:U115))</f>
        <v>0</v>
      </c>
      <c r="W110" s="5">
        <f ca="1"/>
        <v>0</v>
      </c>
      <c r="X110" s="6">
        <f ca="1"/>
        <v>0</v>
      </c>
      <c r="Y110" s="4">
        <f ca="1"/>
        <v>0</v>
      </c>
      <c r="Z110" s="5">
        <f ca="1"/>
        <v>0</v>
      </c>
      <c r="AA110" s="6">
        <f ca="1"/>
        <v>0</v>
      </c>
      <c r="AB110" s="60">
        <f ca="1">IF(ISNUMBER($A110),INDIRECT("System!" &amp; ADDRESS(A110+1,COLUMN(System!S109))),0)</f>
        <v>0</v>
      </c>
      <c r="AC110" s="299">
        <f ca="1">IF(ISNUMBER(E110),E110*D110/2,0)</f>
        <v>0</v>
      </c>
      <c r="AD110" s="60">
        <f t="array" aca="1" ref="AD110:AD115" ca="1">MMULT(TRANSPOSE(P110:U115),AC110:AC115) - MMULT(V110:AA115,AB110:AB115)</f>
        <v>0</v>
      </c>
      <c r="AE110" s="4">
        <f t="shared" ref="AE110:BR110" ca="1" si="201">IF(ABS($B112)=AE$1,SIGN($B112),0)</f>
        <v>0</v>
      </c>
      <c r="AF110" s="5">
        <f t="shared" ca="1" si="201"/>
        <v>0</v>
      </c>
      <c r="AG110" s="5">
        <f t="shared" ca="1" si="201"/>
        <v>0</v>
      </c>
      <c r="AH110" s="5">
        <f t="shared" ca="1" si="201"/>
        <v>0</v>
      </c>
      <c r="AI110" s="5">
        <f t="shared" ca="1" si="201"/>
        <v>0</v>
      </c>
      <c r="AJ110" s="189">
        <f t="shared" ca="1" si="201"/>
        <v>0</v>
      </c>
      <c r="AK110" s="189">
        <f t="shared" ca="1" si="201"/>
        <v>0</v>
      </c>
      <c r="AL110" s="189">
        <f t="shared" ca="1" si="201"/>
        <v>0</v>
      </c>
      <c r="AM110" s="189">
        <f t="shared" ca="1" si="201"/>
        <v>0</v>
      </c>
      <c r="AN110" s="189">
        <f t="shared" ca="1" si="201"/>
        <v>0</v>
      </c>
      <c r="AO110" s="189">
        <f t="shared" ca="1" si="201"/>
        <v>0</v>
      </c>
      <c r="AP110" s="189">
        <f t="shared" ca="1" si="201"/>
        <v>0</v>
      </c>
      <c r="AQ110" s="189">
        <f t="shared" ca="1" si="201"/>
        <v>0</v>
      </c>
      <c r="AR110" s="189">
        <f t="shared" ca="1" si="201"/>
        <v>0</v>
      </c>
      <c r="AS110" s="189">
        <f t="shared" ca="1" si="201"/>
        <v>0</v>
      </c>
      <c r="AT110" s="189">
        <f t="shared" ca="1" si="201"/>
        <v>0</v>
      </c>
      <c r="AU110" s="189">
        <f t="shared" ca="1" si="201"/>
        <v>0</v>
      </c>
      <c r="AV110" s="189">
        <f t="shared" ca="1" si="201"/>
        <v>0</v>
      </c>
      <c r="AW110" s="189">
        <f t="shared" ca="1" si="201"/>
        <v>0</v>
      </c>
      <c r="AX110" s="189">
        <f t="shared" ca="1" si="201"/>
        <v>0</v>
      </c>
      <c r="AY110" s="189">
        <f t="shared" ca="1" si="201"/>
        <v>0</v>
      </c>
      <c r="AZ110" s="189">
        <f t="shared" ca="1" si="201"/>
        <v>0</v>
      </c>
      <c r="BA110" s="189">
        <f t="shared" ca="1" si="201"/>
        <v>0</v>
      </c>
      <c r="BB110" s="189">
        <f t="shared" ca="1" si="201"/>
        <v>0</v>
      </c>
      <c r="BC110" s="189">
        <f t="shared" ca="1" si="201"/>
        <v>0</v>
      </c>
      <c r="BD110" s="189">
        <f t="shared" ca="1" si="201"/>
        <v>0</v>
      </c>
      <c r="BE110" s="189">
        <f t="shared" ca="1" si="201"/>
        <v>0</v>
      </c>
      <c r="BF110" s="189">
        <f t="shared" ca="1" si="201"/>
        <v>0</v>
      </c>
      <c r="BG110" s="189">
        <f t="shared" ca="1" si="201"/>
        <v>0</v>
      </c>
      <c r="BH110" s="189">
        <f t="shared" ca="1" si="201"/>
        <v>0</v>
      </c>
      <c r="BI110" s="189">
        <f t="shared" ca="1" si="201"/>
        <v>0</v>
      </c>
      <c r="BJ110" s="189">
        <f t="shared" ca="1" si="201"/>
        <v>0</v>
      </c>
      <c r="BK110" s="189">
        <f t="shared" ca="1" si="201"/>
        <v>0</v>
      </c>
      <c r="BL110" s="189">
        <f t="shared" ca="1" si="201"/>
        <v>0</v>
      </c>
      <c r="BM110" s="189">
        <f t="shared" ca="1" si="201"/>
        <v>0</v>
      </c>
      <c r="BN110" s="189">
        <f t="shared" ca="1" si="201"/>
        <v>0</v>
      </c>
      <c r="BO110" s="189">
        <f t="shared" ca="1" si="201"/>
        <v>0</v>
      </c>
      <c r="BP110" s="189">
        <f t="shared" ca="1" si="201"/>
        <v>0</v>
      </c>
      <c r="BQ110" s="189">
        <f t="shared" ca="1" si="201"/>
        <v>0</v>
      </c>
      <c r="BR110" s="189">
        <f t="shared" ca="1" si="201"/>
        <v>0</v>
      </c>
      <c r="BS110" s="281">
        <f ca="1">IF(ISNUMBER($A110),IF(INDEX(B112:G112,1)&lt;&gt;0,SIGN(INDEX(B112:G112,1))*INDIRECT(ADDRESS(1+ABS(INDEX(B112:G112,1)),COLUMN(Ksys!$B$1),1,TRUE,"Ksys")),0)+AB110,0)</f>
        <v>0</v>
      </c>
      <c r="BT110" s="60">
        <f t="array" aca="1" ref="BT110:BT115" ca="1">MMULT(P110:U115,BS110:BS115)</f>
        <v>0</v>
      </c>
      <c r="BU110" s="60">
        <f t="array" aca="1" ref="BU110:BU115" ca="1">MMULT(J110:O115,BT110:BT115)-AC110:AC115</f>
        <v>0</v>
      </c>
      <c r="BV110" s="60">
        <f t="array" aca="1" ref="BV110:BV112" ca="1">-(MMULT(J110:O112,BT110:BT115)-AC110:AC112)</f>
        <v>0</v>
      </c>
      <c r="BW110" s="286" t="s">
        <v>97</v>
      </c>
      <c r="BX110" s="4">
        <f t="shared" ref="BX110:CH110" ca="1" si="202">IF(ISNUMBER($A110),$BT110*(1-BX$1) + $BT113*BX$1,0)</f>
        <v>0</v>
      </c>
      <c r="BY110" s="5">
        <f t="shared" ca="1" si="202"/>
        <v>0</v>
      </c>
      <c r="BZ110" s="5">
        <f t="shared" ca="1" si="202"/>
        <v>0</v>
      </c>
      <c r="CA110" s="5">
        <f t="shared" ca="1" si="202"/>
        <v>0</v>
      </c>
      <c r="CB110" s="5">
        <f t="shared" ca="1" si="202"/>
        <v>0</v>
      </c>
      <c r="CC110" s="5">
        <f t="shared" ca="1" si="202"/>
        <v>0</v>
      </c>
      <c r="CD110" s="5">
        <f t="shared" ca="1" si="202"/>
        <v>0</v>
      </c>
      <c r="CE110" s="5">
        <f t="shared" ca="1" si="202"/>
        <v>0</v>
      </c>
      <c r="CF110" s="5">
        <f t="shared" ca="1" si="202"/>
        <v>0</v>
      </c>
      <c r="CG110" s="5">
        <f t="shared" ca="1" si="202"/>
        <v>0</v>
      </c>
      <c r="CH110" s="6">
        <f t="shared" ca="1" si="202"/>
        <v>0</v>
      </c>
      <c r="CI110" s="343"/>
      <c r="CJ110" s="343"/>
      <c r="CK110" s="308"/>
      <c r="CM110" s="290" t="s">
        <v>97</v>
      </c>
      <c r="CN110" s="4">
        <v>0</v>
      </c>
      <c r="CO110" s="5">
        <v>0</v>
      </c>
      <c r="CP110" s="5">
        <v>0</v>
      </c>
      <c r="CQ110" s="5">
        <v>0</v>
      </c>
      <c r="CR110" s="5">
        <v>0</v>
      </c>
      <c r="CS110" s="5">
        <v>0</v>
      </c>
      <c r="CT110" s="5">
        <v>0</v>
      </c>
      <c r="CU110" s="5">
        <v>0</v>
      </c>
      <c r="CV110" s="5">
        <v>0</v>
      </c>
      <c r="CW110" s="5">
        <v>0</v>
      </c>
      <c r="CX110" s="5">
        <v>0</v>
      </c>
      <c r="CY110" s="5"/>
      <c r="CZ110" s="5"/>
      <c r="DA110" s="189"/>
      <c r="DB110" s="307"/>
      <c r="DC110" s="308"/>
      <c r="DD110" s="343"/>
      <c r="DF110" s="290" t="s">
        <v>97</v>
      </c>
      <c r="DG110" s="4">
        <v>0</v>
      </c>
      <c r="DH110" s="5">
        <v>0</v>
      </c>
      <c r="DI110" s="5">
        <v>0</v>
      </c>
      <c r="DJ110" s="5">
        <v>0</v>
      </c>
      <c r="DK110" s="5">
        <v>0</v>
      </c>
      <c r="DL110" s="5">
        <v>0</v>
      </c>
      <c r="DM110" s="5">
        <v>0</v>
      </c>
      <c r="DN110" s="5">
        <v>0</v>
      </c>
      <c r="DO110" s="5">
        <v>0</v>
      </c>
      <c r="DP110" s="5">
        <v>0</v>
      </c>
      <c r="DQ110" s="5">
        <v>0</v>
      </c>
      <c r="DR110" s="5"/>
      <c r="DS110" s="5"/>
      <c r="DT110" s="6"/>
      <c r="DU110" s="325"/>
      <c r="DV110" s="308"/>
      <c r="DW110" s="343"/>
      <c r="DY110" s="290" t="s">
        <v>97</v>
      </c>
      <c r="DZ110" s="4">
        <v>0</v>
      </c>
      <c r="EA110" s="5">
        <v>0</v>
      </c>
      <c r="EB110" s="5">
        <v>0</v>
      </c>
      <c r="EC110" s="5">
        <v>0</v>
      </c>
      <c r="ED110" s="5">
        <v>0</v>
      </c>
      <c r="EE110" s="5">
        <v>0</v>
      </c>
      <c r="EF110" s="5">
        <v>0</v>
      </c>
      <c r="EG110" s="5">
        <v>0</v>
      </c>
      <c r="EH110" s="5">
        <v>0</v>
      </c>
      <c r="EI110" s="5">
        <v>0</v>
      </c>
      <c r="EJ110" s="5">
        <v>0</v>
      </c>
      <c r="EK110" s="5"/>
      <c r="EL110" s="5"/>
      <c r="EM110" s="6"/>
      <c r="EN110" s="307"/>
      <c r="EO110" s="308"/>
      <c r="EP110" s="343"/>
    </row>
    <row r="111" spans="1:146" x14ac:dyDescent="0.2">
      <c r="B111" s="1">
        <f ca="1">IF(ISNUMBER($A110),INDIRECT(ADDRESS($A110+1,COLUMN(System!K$2),1,TRUE,"System")),0)</f>
        <v>0</v>
      </c>
      <c r="C111" s="1">
        <f ca="1">IF(ISNUMBER($A110),INDIRECT(ADDRESS($A110+1,COLUMN(System!L$2),1,TRUE,"System")),0)</f>
        <v>0</v>
      </c>
      <c r="D111" s="1">
        <f ca="1">IF(ISNUMBER($A110),INDIRECT(ADDRESS($A110+1,COLUMN(System!M$2),1,TRUE,"System")),0)</f>
        <v>0</v>
      </c>
      <c r="E111" s="1">
        <f ca="1">IF(ISNUMBER($A110),INDIRECT(ADDRESS($A110+1,COLUMN(System!N$2),1,TRUE,"System")),0)</f>
        <v>0</v>
      </c>
      <c r="F111" s="12"/>
      <c r="J111" s="7">
        <v>0</v>
      </c>
      <c r="K111" s="180">
        <f ca="1">IF(G110=1,12*B110/D110^3,IF(G110="2a",3*B110/D110^3,IF(G110="2b",3*B110/D110^3,0)))</f>
        <v>0</v>
      </c>
      <c r="L111" s="8">
        <f ca="1">K112</f>
        <v>0</v>
      </c>
      <c r="M111" s="7">
        <v>0</v>
      </c>
      <c r="N111" s="1">
        <f ca="1">-K111</f>
        <v>0</v>
      </c>
      <c r="O111" s="8">
        <f ca="1">K115</f>
        <v>0</v>
      </c>
      <c r="P111" s="143">
        <f ca="1">H110</f>
        <v>0</v>
      </c>
      <c r="Q111" s="99">
        <f ca="1">I110</f>
        <v>0</v>
      </c>
      <c r="R111" s="99">
        <v>0</v>
      </c>
      <c r="S111" s="101">
        <v>0</v>
      </c>
      <c r="T111" s="101">
        <v>0</v>
      </c>
      <c r="U111" s="110">
        <v>0</v>
      </c>
      <c r="V111" s="7">
        <f ca="1"/>
        <v>0</v>
      </c>
      <c r="W111" s="180">
        <f ca="1"/>
        <v>0</v>
      </c>
      <c r="X111" s="8">
        <f ca="1"/>
        <v>0</v>
      </c>
      <c r="Y111" s="7">
        <f ca="1"/>
        <v>0</v>
      </c>
      <c r="Z111" s="1">
        <f ca="1"/>
        <v>0</v>
      </c>
      <c r="AA111" s="8">
        <f ca="1"/>
        <v>0</v>
      </c>
      <c r="AB111" s="61">
        <f ca="1">IF(ISNUMBER($A110),INDIRECT("System!" &amp; ADDRESS(A110+1,COLUMN(System!T109))),0)</f>
        <v>0</v>
      </c>
      <c r="AC111" s="301">
        <f ca="1">IF(G110=1,F110*D110/2,IF(G110="2a",F110*3/8*D110,IF(G110="2b",F110*5/8*D110,0)))</f>
        <v>0</v>
      </c>
      <c r="AD111" s="61">
        <f ca="1"/>
        <v>0</v>
      </c>
      <c r="AE111" s="7">
        <f t="shared" ref="AE111:BR111" ca="1" si="203">IF(ABS($C112)=AE$1,SIGN($C112),0)</f>
        <v>0</v>
      </c>
      <c r="AF111" s="1">
        <f t="shared" ca="1" si="203"/>
        <v>0</v>
      </c>
      <c r="AG111" s="1">
        <f t="shared" ca="1" si="203"/>
        <v>0</v>
      </c>
      <c r="AH111" s="1">
        <f t="shared" ca="1" si="203"/>
        <v>0</v>
      </c>
      <c r="AI111" s="1">
        <f t="shared" ca="1" si="203"/>
        <v>0</v>
      </c>
      <c r="AJ111" s="26">
        <f t="shared" ca="1" si="203"/>
        <v>0</v>
      </c>
      <c r="AK111" s="26">
        <f t="shared" ca="1" si="203"/>
        <v>0</v>
      </c>
      <c r="AL111" s="26">
        <f t="shared" ca="1" si="203"/>
        <v>0</v>
      </c>
      <c r="AM111" s="26">
        <f t="shared" ca="1" si="203"/>
        <v>0</v>
      </c>
      <c r="AN111" s="26">
        <f t="shared" ca="1" si="203"/>
        <v>0</v>
      </c>
      <c r="AO111" s="26">
        <f t="shared" ca="1" si="203"/>
        <v>0</v>
      </c>
      <c r="AP111" s="26">
        <f t="shared" ca="1" si="203"/>
        <v>0</v>
      </c>
      <c r="AQ111" s="26">
        <f t="shared" ca="1" si="203"/>
        <v>0</v>
      </c>
      <c r="AR111" s="26">
        <f t="shared" ca="1" si="203"/>
        <v>0</v>
      </c>
      <c r="AS111" s="26">
        <f t="shared" ca="1" si="203"/>
        <v>0</v>
      </c>
      <c r="AT111" s="26">
        <f t="shared" ca="1" si="203"/>
        <v>0</v>
      </c>
      <c r="AU111" s="26">
        <f t="shared" ca="1" si="203"/>
        <v>0</v>
      </c>
      <c r="AV111" s="26">
        <f t="shared" ca="1" si="203"/>
        <v>0</v>
      </c>
      <c r="AW111" s="26">
        <f t="shared" ca="1" si="203"/>
        <v>0</v>
      </c>
      <c r="AX111" s="26">
        <f t="shared" ca="1" si="203"/>
        <v>0</v>
      </c>
      <c r="AY111" s="26">
        <f t="shared" ca="1" si="203"/>
        <v>0</v>
      </c>
      <c r="AZ111" s="26">
        <f t="shared" ca="1" si="203"/>
        <v>0</v>
      </c>
      <c r="BA111" s="26">
        <f t="shared" ca="1" si="203"/>
        <v>0</v>
      </c>
      <c r="BB111" s="26">
        <f t="shared" ca="1" si="203"/>
        <v>0</v>
      </c>
      <c r="BC111" s="26">
        <f t="shared" ca="1" si="203"/>
        <v>0</v>
      </c>
      <c r="BD111" s="26">
        <f t="shared" ca="1" si="203"/>
        <v>0</v>
      </c>
      <c r="BE111" s="26">
        <f t="shared" ca="1" si="203"/>
        <v>0</v>
      </c>
      <c r="BF111" s="26">
        <f t="shared" ca="1" si="203"/>
        <v>0</v>
      </c>
      <c r="BG111" s="26">
        <f t="shared" ca="1" si="203"/>
        <v>0</v>
      </c>
      <c r="BH111" s="26">
        <f t="shared" ca="1" si="203"/>
        <v>0</v>
      </c>
      <c r="BI111" s="26">
        <f t="shared" ca="1" si="203"/>
        <v>0</v>
      </c>
      <c r="BJ111" s="26">
        <f t="shared" ca="1" si="203"/>
        <v>0</v>
      </c>
      <c r="BK111" s="26">
        <f t="shared" ca="1" si="203"/>
        <v>0</v>
      </c>
      <c r="BL111" s="26">
        <f t="shared" ca="1" si="203"/>
        <v>0</v>
      </c>
      <c r="BM111" s="26">
        <f t="shared" ca="1" si="203"/>
        <v>0</v>
      </c>
      <c r="BN111" s="26">
        <f t="shared" ca="1" si="203"/>
        <v>0</v>
      </c>
      <c r="BO111" s="26">
        <f t="shared" ca="1" si="203"/>
        <v>0</v>
      </c>
      <c r="BP111" s="26">
        <f t="shared" ca="1" si="203"/>
        <v>0</v>
      </c>
      <c r="BQ111" s="26">
        <f t="shared" ca="1" si="203"/>
        <v>0</v>
      </c>
      <c r="BR111" s="26">
        <f t="shared" ca="1" si="203"/>
        <v>0</v>
      </c>
      <c r="BS111" s="282">
        <f ca="1">IF(ISNUMBER($A110),IF(INDEX(B112:G112,2)&lt;&gt;0,SIGN(INDEX(B112:G112,2))*INDIRECT(ADDRESS(1+ABS(INDEX(B112:G112,2)),COLUMN(Ksys!$B$1),1,TRUE,"Ksys")),0)+AB111,0)</f>
        <v>0</v>
      </c>
      <c r="BT111" s="61">
        <f ca="1"/>
        <v>0</v>
      </c>
      <c r="BU111" s="61">
        <f ca="1"/>
        <v>0</v>
      </c>
      <c r="BV111" s="61">
        <f ca="1"/>
        <v>0</v>
      </c>
      <c r="BW111" s="287" t="s">
        <v>100</v>
      </c>
      <c r="BX111" s="272">
        <f t="shared" ref="BX111:CH111" ca="1" si="204" xml:space="preserve">  IF(ISNUMBER($A110),$BT111*(1-BX$1) + $BT114*BX$1 + ((1-BX$1)-(1-BX$1)^3)*$D110^2/6*$BV112/$B110 + (BX$1-(BX$1)^3)*$D110^2/6*$BV115/$B110 + (BX$1-2*(BX$1)^3+(BX$1)^4)*$D110^2/3*$F110*$D110^2/8/$B110,0)</f>
        <v>0</v>
      </c>
      <c r="BY111" s="173">
        <f t="shared" ca="1" si="204"/>
        <v>0</v>
      </c>
      <c r="BZ111" s="173">
        <f t="shared" ca="1" si="204"/>
        <v>0</v>
      </c>
      <c r="CA111" s="173">
        <f t="shared" ca="1" si="204"/>
        <v>0</v>
      </c>
      <c r="CB111" s="173">
        <f t="shared" ca="1" si="204"/>
        <v>0</v>
      </c>
      <c r="CC111" s="173">
        <f t="shared" ca="1" si="204"/>
        <v>0</v>
      </c>
      <c r="CD111" s="173">
        <f t="shared" ca="1" si="204"/>
        <v>0</v>
      </c>
      <c r="CE111" s="173">
        <f t="shared" ca="1" si="204"/>
        <v>0</v>
      </c>
      <c r="CF111" s="173">
        <f t="shared" ca="1" si="204"/>
        <v>0</v>
      </c>
      <c r="CG111" s="173">
        <f t="shared" ca="1" si="204"/>
        <v>0</v>
      </c>
      <c r="CH111" s="289">
        <f t="shared" ca="1" si="204"/>
        <v>0</v>
      </c>
      <c r="CI111" s="344"/>
      <c r="CJ111" s="344"/>
      <c r="CK111" s="312"/>
      <c r="CM111" s="291" t="s">
        <v>100</v>
      </c>
      <c r="CN111" s="7">
        <f t="shared" ref="CN111:CX111" ca="1" si="205" xml:space="preserve">  IF(ISNUMBER($A110),$BV112*(1-CN$1) + $BV115*CN$1  + CN$1*(1-CN$1)*$F110*$D110^2/2,0)</f>
        <v>0</v>
      </c>
      <c r="CO111" s="1">
        <f t="shared" ca="1" si="205"/>
        <v>0</v>
      </c>
      <c r="CP111" s="1">
        <f t="shared" ca="1" si="205"/>
        <v>0</v>
      </c>
      <c r="CQ111" s="1">
        <f t="shared" ca="1" si="205"/>
        <v>0</v>
      </c>
      <c r="CR111" s="1">
        <f t="shared" ca="1" si="205"/>
        <v>0</v>
      </c>
      <c r="CS111" s="1">
        <f t="shared" ca="1" si="205"/>
        <v>0</v>
      </c>
      <c r="CT111" s="1">
        <f t="shared" ca="1" si="205"/>
        <v>0</v>
      </c>
      <c r="CU111" s="1">
        <f t="shared" ca="1" si="205"/>
        <v>0</v>
      </c>
      <c r="CV111" s="1">
        <f t="shared" ca="1" si="205"/>
        <v>0</v>
      </c>
      <c r="CW111" s="1">
        <f t="shared" ca="1" si="205"/>
        <v>0</v>
      </c>
      <c r="CX111" s="1">
        <f t="shared" ca="1" si="205"/>
        <v>0</v>
      </c>
      <c r="CY111" s="1"/>
      <c r="CZ111" s="1"/>
      <c r="DA111" s="26"/>
      <c r="DB111" s="309"/>
      <c r="DC111" s="310"/>
      <c r="DD111" s="345"/>
      <c r="DF111" s="291" t="s">
        <v>100</v>
      </c>
      <c r="DG111" s="7">
        <f t="shared" ref="DG111:DQ111" ca="1" si="206" xml:space="preserve">  IF(ISNUMBER($A110),$BV111*(1-DG$1) + $BV114*DG$1,0)</f>
        <v>0</v>
      </c>
      <c r="DH111" s="1">
        <f t="shared" ca="1" si="206"/>
        <v>0</v>
      </c>
      <c r="DI111" s="1">
        <f t="shared" ca="1" si="206"/>
        <v>0</v>
      </c>
      <c r="DJ111" s="1">
        <f t="shared" ca="1" si="206"/>
        <v>0</v>
      </c>
      <c r="DK111" s="1">
        <f t="shared" ca="1" si="206"/>
        <v>0</v>
      </c>
      <c r="DL111" s="1">
        <f t="shared" ca="1" si="206"/>
        <v>0</v>
      </c>
      <c r="DM111" s="1">
        <f t="shared" ca="1" si="206"/>
        <v>0</v>
      </c>
      <c r="DN111" s="1">
        <f t="shared" ca="1" si="206"/>
        <v>0</v>
      </c>
      <c r="DO111" s="1">
        <f t="shared" ca="1" si="206"/>
        <v>0</v>
      </c>
      <c r="DP111" s="1">
        <f t="shared" ca="1" si="206"/>
        <v>0</v>
      </c>
      <c r="DQ111" s="1">
        <f t="shared" ca="1" si="206"/>
        <v>0</v>
      </c>
      <c r="DR111" s="1"/>
      <c r="DS111" s="1"/>
      <c r="DT111" s="8"/>
      <c r="DU111" s="12"/>
      <c r="DV111" s="310"/>
      <c r="DW111" s="345"/>
      <c r="DY111" s="291" t="s">
        <v>100</v>
      </c>
      <c r="DZ111" s="7">
        <f t="shared" ref="DZ111:EJ111" ca="1" si="207" xml:space="preserve">  IF(ISNUMBER($A110),$BV110*(1-DZ$1) + $BV113*DZ$1,0)</f>
        <v>0</v>
      </c>
      <c r="EA111" s="1">
        <f t="shared" ca="1" si="207"/>
        <v>0</v>
      </c>
      <c r="EB111" s="1">
        <f t="shared" ca="1" si="207"/>
        <v>0</v>
      </c>
      <c r="EC111" s="1">
        <f t="shared" ca="1" si="207"/>
        <v>0</v>
      </c>
      <c r="ED111" s="1">
        <f t="shared" ca="1" si="207"/>
        <v>0</v>
      </c>
      <c r="EE111" s="1">
        <f t="shared" ca="1" si="207"/>
        <v>0</v>
      </c>
      <c r="EF111" s="1">
        <f t="shared" ca="1" si="207"/>
        <v>0</v>
      </c>
      <c r="EG111" s="1">
        <f t="shared" ca="1" si="207"/>
        <v>0</v>
      </c>
      <c r="EH111" s="1">
        <f t="shared" ca="1" si="207"/>
        <v>0</v>
      </c>
      <c r="EI111" s="1">
        <f t="shared" ca="1" si="207"/>
        <v>0</v>
      </c>
      <c r="EJ111" s="1">
        <f t="shared" ca="1" si="207"/>
        <v>0</v>
      </c>
      <c r="EK111" s="1"/>
      <c r="EL111" s="1"/>
      <c r="EM111" s="8"/>
      <c r="EN111" s="309"/>
      <c r="EO111" s="310"/>
      <c r="EP111" s="345"/>
    </row>
    <row r="112" spans="1:146" ht="13.5" thickBot="1" x14ac:dyDescent="0.25">
      <c r="B112" s="1">
        <f ca="1">IF(ISNUMBER($A110),INDIRECT("System!" &amp; ADDRESS($A110 +1,COLUMN(System!Y109))),0)</f>
        <v>0</v>
      </c>
      <c r="C112" s="1">
        <f ca="1">IF(ISNUMBER($A110),INDIRECT("System!" &amp; ADDRESS($A110 +1,COLUMN(System!Z109))),0)</f>
        <v>0</v>
      </c>
      <c r="D112" s="1">
        <f ca="1">IF(ISNUMBER($A110),INDIRECT("System!" &amp; ADDRESS($A110 +1,COLUMN(System!AA109))),0)</f>
        <v>0</v>
      </c>
      <c r="E112" s="1">
        <f ca="1">IF(ISNUMBER($A110),INDIRECT("System!" &amp; ADDRESS($A110 +1,COLUMN(System!AB109))),0)</f>
        <v>0</v>
      </c>
      <c r="F112" s="1">
        <f ca="1">IF(ISNUMBER($A110),INDIRECT("System!" &amp; ADDRESS($A110 +1,COLUMN(System!AC109))),0)</f>
        <v>0</v>
      </c>
      <c r="G112" s="1">
        <f ca="1">IF(ISNUMBER($A110),INDIRECT("System!" &amp; ADDRESS($A110 +1,COLUMN(System!AD109))),0)</f>
        <v>0</v>
      </c>
      <c r="J112" s="9">
        <v>0</v>
      </c>
      <c r="K112" s="10">
        <f ca="1">IF(G110=1,-6*B110/D110^2,IF(G110="2a",0,IF(G110="2b",-3*B110/D110^2,0)))</f>
        <v>0</v>
      </c>
      <c r="L112" s="181">
        <f ca="1">IF(G110=1,4*B110/D110,IF(G110="2a",0,IF(G110="2b",3*B110/D110,0)))</f>
        <v>0</v>
      </c>
      <c r="M112" s="9">
        <v>0</v>
      </c>
      <c r="N112" s="10">
        <f ca="1">L114</f>
        <v>0</v>
      </c>
      <c r="O112" s="146">
        <f ca="1">L115</f>
        <v>0</v>
      </c>
      <c r="P112" s="143">
        <v>0</v>
      </c>
      <c r="Q112" s="99">
        <v>0</v>
      </c>
      <c r="R112" s="99">
        <v>1</v>
      </c>
      <c r="S112" s="101">
        <v>0</v>
      </c>
      <c r="T112" s="101">
        <v>0</v>
      </c>
      <c r="U112" s="110">
        <v>0</v>
      </c>
      <c r="V112" s="9">
        <f ca="1"/>
        <v>0</v>
      </c>
      <c r="W112" s="10">
        <f ca="1"/>
        <v>0</v>
      </c>
      <c r="X112" s="181">
        <f ca="1"/>
        <v>0</v>
      </c>
      <c r="Y112" s="9">
        <f ca="1"/>
        <v>0</v>
      </c>
      <c r="Z112" s="10">
        <f ca="1"/>
        <v>0</v>
      </c>
      <c r="AA112" s="146">
        <f ca="1"/>
        <v>0</v>
      </c>
      <c r="AB112" s="61">
        <f ca="1">IF(ISNUMBER($A110),INDIRECT("System!" &amp; ADDRESS(A110+1,COLUMN(System!U109))),0)</f>
        <v>0</v>
      </c>
      <c r="AC112" s="301">
        <f ca="1">IF(G110=1,-F110*D110^2/12,IF(G110="2a",0,IF(G110="2b",-F110*D110^2/8,0)))</f>
        <v>0</v>
      </c>
      <c r="AD112" s="61">
        <f ca="1"/>
        <v>0</v>
      </c>
      <c r="AE112" s="7">
        <f t="shared" ref="AE112:BR112" ca="1" si="208">IF(ABS($D112)=AE$1,SIGN($D112),0)</f>
        <v>0</v>
      </c>
      <c r="AF112" s="1">
        <f t="shared" ca="1" si="208"/>
        <v>0</v>
      </c>
      <c r="AG112" s="1">
        <f t="shared" ca="1" si="208"/>
        <v>0</v>
      </c>
      <c r="AH112" s="1">
        <f t="shared" ca="1" si="208"/>
        <v>0</v>
      </c>
      <c r="AI112" s="1">
        <f t="shared" ca="1" si="208"/>
        <v>0</v>
      </c>
      <c r="AJ112" s="26">
        <f t="shared" ca="1" si="208"/>
        <v>0</v>
      </c>
      <c r="AK112" s="26">
        <f t="shared" ca="1" si="208"/>
        <v>0</v>
      </c>
      <c r="AL112" s="26">
        <f t="shared" ca="1" si="208"/>
        <v>0</v>
      </c>
      <c r="AM112" s="26">
        <f t="shared" ca="1" si="208"/>
        <v>0</v>
      </c>
      <c r="AN112" s="26">
        <f t="shared" ca="1" si="208"/>
        <v>0</v>
      </c>
      <c r="AO112" s="26">
        <f t="shared" ca="1" si="208"/>
        <v>0</v>
      </c>
      <c r="AP112" s="26">
        <f t="shared" ca="1" si="208"/>
        <v>0</v>
      </c>
      <c r="AQ112" s="26">
        <f t="shared" ca="1" si="208"/>
        <v>0</v>
      </c>
      <c r="AR112" s="26">
        <f t="shared" ca="1" si="208"/>
        <v>0</v>
      </c>
      <c r="AS112" s="26">
        <f t="shared" ca="1" si="208"/>
        <v>0</v>
      </c>
      <c r="AT112" s="26">
        <f t="shared" ca="1" si="208"/>
        <v>0</v>
      </c>
      <c r="AU112" s="26">
        <f t="shared" ca="1" si="208"/>
        <v>0</v>
      </c>
      <c r="AV112" s="26">
        <f t="shared" ca="1" si="208"/>
        <v>0</v>
      </c>
      <c r="AW112" s="26">
        <f t="shared" ca="1" si="208"/>
        <v>0</v>
      </c>
      <c r="AX112" s="26">
        <f t="shared" ca="1" si="208"/>
        <v>0</v>
      </c>
      <c r="AY112" s="26">
        <f t="shared" ca="1" si="208"/>
        <v>0</v>
      </c>
      <c r="AZ112" s="26">
        <f t="shared" ca="1" si="208"/>
        <v>0</v>
      </c>
      <c r="BA112" s="26">
        <f t="shared" ca="1" si="208"/>
        <v>0</v>
      </c>
      <c r="BB112" s="26">
        <f t="shared" ca="1" si="208"/>
        <v>0</v>
      </c>
      <c r="BC112" s="26">
        <f t="shared" ca="1" si="208"/>
        <v>0</v>
      </c>
      <c r="BD112" s="26">
        <f t="shared" ca="1" si="208"/>
        <v>0</v>
      </c>
      <c r="BE112" s="26">
        <f t="shared" ca="1" si="208"/>
        <v>0</v>
      </c>
      <c r="BF112" s="26">
        <f t="shared" ca="1" si="208"/>
        <v>0</v>
      </c>
      <c r="BG112" s="26">
        <f t="shared" ca="1" si="208"/>
        <v>0</v>
      </c>
      <c r="BH112" s="26">
        <f t="shared" ca="1" si="208"/>
        <v>0</v>
      </c>
      <c r="BI112" s="26">
        <f t="shared" ca="1" si="208"/>
        <v>0</v>
      </c>
      <c r="BJ112" s="26">
        <f t="shared" ca="1" si="208"/>
        <v>0</v>
      </c>
      <c r="BK112" s="26">
        <f t="shared" ca="1" si="208"/>
        <v>0</v>
      </c>
      <c r="BL112" s="26">
        <f t="shared" ca="1" si="208"/>
        <v>0</v>
      </c>
      <c r="BM112" s="26">
        <f t="shared" ca="1" si="208"/>
        <v>0</v>
      </c>
      <c r="BN112" s="26">
        <f t="shared" ca="1" si="208"/>
        <v>0</v>
      </c>
      <c r="BO112" s="26">
        <f t="shared" ca="1" si="208"/>
        <v>0</v>
      </c>
      <c r="BP112" s="26">
        <f t="shared" ca="1" si="208"/>
        <v>0</v>
      </c>
      <c r="BQ112" s="26">
        <f t="shared" ca="1" si="208"/>
        <v>0</v>
      </c>
      <c r="BR112" s="26">
        <f t="shared" ca="1" si="208"/>
        <v>0</v>
      </c>
      <c r="BS112" s="282">
        <f ca="1">IF(ISNUMBER($A110),IF(INDEX(B112:G112,3)&lt;&gt;0,SIGN(INDEX(B112:G112,3))*INDIRECT(ADDRESS(1+ABS(INDEX(B112:G112,3)),COLUMN(Ksys!$B$1),1,TRUE,"Ksys")),0)+AB112,0)</f>
        <v>0</v>
      </c>
      <c r="BT112" s="61">
        <f ca="1"/>
        <v>0</v>
      </c>
      <c r="BU112" s="61">
        <f ca="1"/>
        <v>0</v>
      </c>
      <c r="BV112" s="61">
        <f ca="1"/>
        <v>0</v>
      </c>
      <c r="BW112" s="287" t="s">
        <v>96</v>
      </c>
      <c r="BX112" s="7">
        <f t="array" aca="1" ref="BX112:BX113" ca="1">IF(ISNUMBER($A110),MMULT(TRANSPOSE($P110:$Q111),BX110:BX111),0)</f>
        <v>0</v>
      </c>
      <c r="BY112" s="1">
        <f t="array" aca="1" ref="BY112:BY113" ca="1">IF(ISNUMBER($A110),MMULT(TRANSPOSE($P110:$Q111),BY110:BY111),0)</f>
        <v>0</v>
      </c>
      <c r="BZ112" s="1">
        <f t="array" aca="1" ref="BZ112:BZ113" ca="1">IF(ISNUMBER($A110),MMULT(TRANSPOSE($P110:$Q111),BZ110:BZ111),0)</f>
        <v>0</v>
      </c>
      <c r="CA112" s="1">
        <f t="array" aca="1" ref="CA112:CA113" ca="1">IF(ISNUMBER($A110),MMULT(TRANSPOSE($P110:$Q111),CA110:CA111),0)</f>
        <v>0</v>
      </c>
      <c r="CB112" s="1">
        <f t="array" aca="1" ref="CB112:CB113" ca="1">IF(ISNUMBER($A110),MMULT(TRANSPOSE($P110:$Q111),CB110:CB111),0)</f>
        <v>0</v>
      </c>
      <c r="CC112" s="1">
        <f t="array" aca="1" ref="CC112:CC113" ca="1">IF(ISNUMBER($A110),MMULT(TRANSPOSE($P110:$Q111),CC110:CC111),0)</f>
        <v>0</v>
      </c>
      <c r="CD112" s="1">
        <f t="array" aca="1" ref="CD112:CD113" ca="1">IF(ISNUMBER($A110),MMULT(TRANSPOSE($P110:$Q111),CD110:CD111),0)</f>
        <v>0</v>
      </c>
      <c r="CE112" s="1">
        <f t="array" aca="1" ref="CE112:CE113" ca="1">IF(ISNUMBER($A110),MMULT(TRANSPOSE($P110:$Q111),CE110:CE111),0)</f>
        <v>0</v>
      </c>
      <c r="CF112" s="1">
        <f t="array" aca="1" ref="CF112:CF113" ca="1">IF(ISNUMBER($A110),MMULT(TRANSPOSE($P110:$Q111),CF110:CF111),0)</f>
        <v>0</v>
      </c>
      <c r="CG112" s="1">
        <f t="array" aca="1" ref="CG112:CG113" ca="1">IF(ISNUMBER($A110),MMULT(TRANSPOSE($P110:$Q111),CG110:CG111),0)</f>
        <v>0</v>
      </c>
      <c r="CH112" s="8">
        <f t="array" aca="1" ref="CH112:CH113" ca="1">IF(ISNUMBER($A110),MMULT(TRANSPOSE($P110:$Q111),CH110:CH111),0)</f>
        <v>0</v>
      </c>
      <c r="CI112" s="345"/>
      <c r="CJ112" s="345"/>
      <c r="CK112" s="444">
        <f ca="1">MAX(MAX(BX112:CH113),ABS(MIN(BX112:CH113)))</f>
        <v>0</v>
      </c>
      <c r="CM112" s="291" t="s">
        <v>96</v>
      </c>
      <c r="CN112" s="7">
        <f t="array" aca="1" ref="CN112:CN113" ca="1">IF(ISNUMBER($A110),MMULT(TRANSPOSE($P110:$Q111),CN110:CN111),0)</f>
        <v>0</v>
      </c>
      <c r="CO112" s="1">
        <f t="array" aca="1" ref="CO112:CO113" ca="1">IF(ISNUMBER($A110),MMULT(TRANSPOSE($P110:$Q111),CO110:CO111),0)</f>
        <v>0</v>
      </c>
      <c r="CP112" s="1">
        <f t="array" aca="1" ref="CP112:CP113" ca="1">IF(ISNUMBER($A110),MMULT(TRANSPOSE($P110:$Q111),CP110:CP111),0)</f>
        <v>0</v>
      </c>
      <c r="CQ112" s="1">
        <f t="array" aca="1" ref="CQ112:CQ113" ca="1">IF(ISNUMBER($A110),MMULT(TRANSPOSE($P110:$Q111),CQ110:CQ111),0)</f>
        <v>0</v>
      </c>
      <c r="CR112" s="1">
        <f t="array" aca="1" ref="CR112:CR113" ca="1">IF(ISNUMBER($A110),MMULT(TRANSPOSE($P110:$Q111),CR110:CR111),0)</f>
        <v>0</v>
      </c>
      <c r="CS112" s="1">
        <f t="array" aca="1" ref="CS112:CS113" ca="1">IF(ISNUMBER($A110),MMULT(TRANSPOSE($P110:$Q111),CS110:CS111),0)</f>
        <v>0</v>
      </c>
      <c r="CT112" s="1">
        <f t="array" aca="1" ref="CT112:CT113" ca="1">IF(ISNUMBER($A110),MMULT(TRANSPOSE($P110:$Q111),CT110:CT111),0)</f>
        <v>0</v>
      </c>
      <c r="CU112" s="1">
        <f t="array" aca="1" ref="CU112:CU113" ca="1">IF(ISNUMBER($A110),MMULT(TRANSPOSE($P110:$Q111),CU110:CU111),0)</f>
        <v>0</v>
      </c>
      <c r="CV112" s="1">
        <f t="array" aca="1" ref="CV112:CV113" ca="1">IF(ISNUMBER($A110),MMULT(TRANSPOSE($P110:$Q111),CV110:CV111),0)</f>
        <v>0</v>
      </c>
      <c r="CW112" s="1">
        <f t="array" aca="1" ref="CW112:CW113" ca="1">IF(ISNUMBER($A110),MMULT(TRANSPOSE($P110:$Q111),CW110:CW111),0)</f>
        <v>0</v>
      </c>
      <c r="CX112" s="1">
        <f t="array" aca="1" ref="CX112:CX113" ca="1">IF(ISNUMBER($A110),MMULT(TRANSPOSE($P110:$Q111),CX110:CX111),0)</f>
        <v>0</v>
      </c>
      <c r="CY112" s="1"/>
      <c r="CZ112" s="1"/>
      <c r="DA112" s="26"/>
      <c r="DB112" s="309"/>
      <c r="DC112" s="310"/>
      <c r="DD112" s="345"/>
      <c r="DF112" s="291" t="s">
        <v>96</v>
      </c>
      <c r="DG112" s="7">
        <f t="array" aca="1" ref="DG112:DG113" ca="1">IF(ISNUMBER($A110),MMULT(TRANSPOSE($P110:$Q111),DG110:DG111),0)</f>
        <v>0</v>
      </c>
      <c r="DH112" s="1">
        <f t="array" aca="1" ref="DH112:DH113" ca="1">IF(ISNUMBER($A110),MMULT(TRANSPOSE($P110:$Q111),DH110:DH111),0)</f>
        <v>0</v>
      </c>
      <c r="DI112" s="1">
        <f t="array" aca="1" ref="DI112:DI113" ca="1">IF(ISNUMBER($A110),MMULT(TRANSPOSE($P110:$Q111),DI110:DI111),0)</f>
        <v>0</v>
      </c>
      <c r="DJ112" s="1">
        <f t="array" aca="1" ref="DJ112:DJ113" ca="1">IF(ISNUMBER($A110),MMULT(TRANSPOSE($P110:$Q111),DJ110:DJ111),0)</f>
        <v>0</v>
      </c>
      <c r="DK112" s="1">
        <f t="array" aca="1" ref="DK112:DK113" ca="1">IF(ISNUMBER($A110),MMULT(TRANSPOSE($P110:$Q111),DK110:DK111),0)</f>
        <v>0</v>
      </c>
      <c r="DL112" s="1">
        <f t="array" aca="1" ref="DL112:DL113" ca="1">IF(ISNUMBER($A110),MMULT(TRANSPOSE($P110:$Q111),DL110:DL111),0)</f>
        <v>0</v>
      </c>
      <c r="DM112" s="1">
        <f t="array" aca="1" ref="DM112:DM113" ca="1">IF(ISNUMBER($A110),MMULT(TRANSPOSE($P110:$Q111),DM110:DM111),0)</f>
        <v>0</v>
      </c>
      <c r="DN112" s="1">
        <f t="array" aca="1" ref="DN112:DN113" ca="1">IF(ISNUMBER($A110),MMULT(TRANSPOSE($P110:$Q111),DN110:DN111),0)</f>
        <v>0</v>
      </c>
      <c r="DO112" s="1">
        <f t="array" aca="1" ref="DO112:DO113" ca="1">IF(ISNUMBER($A110),MMULT(TRANSPOSE($P110:$Q111),DO110:DO111),0)</f>
        <v>0</v>
      </c>
      <c r="DP112" s="1">
        <f t="array" aca="1" ref="DP112:DP113" ca="1">IF(ISNUMBER($A110),MMULT(TRANSPOSE($P110:$Q111),DP110:DP111),0)</f>
        <v>0</v>
      </c>
      <c r="DQ112" s="1">
        <f t="array" aca="1" ref="DQ112:DQ113" ca="1">IF(ISNUMBER($A110),MMULT(TRANSPOSE($P110:$Q111),DQ110:DQ111),0)</f>
        <v>0</v>
      </c>
      <c r="DR112" s="1"/>
      <c r="DS112" s="1"/>
      <c r="DT112" s="8"/>
      <c r="DU112" s="12"/>
      <c r="DV112" s="310"/>
      <c r="DW112" s="345"/>
      <c r="DY112" s="291" t="s">
        <v>96</v>
      </c>
      <c r="DZ112" s="7">
        <f t="array" aca="1" ref="DZ112:DZ113" ca="1">IF(ISNUMBER($A110),MMULT(TRANSPOSE($P110:$Q111),DZ110:DZ111),0)</f>
        <v>0</v>
      </c>
      <c r="EA112" s="1">
        <f t="array" aca="1" ref="EA112:EA113" ca="1">IF(ISNUMBER($A110),MMULT(TRANSPOSE($P110:$Q111),EA110:EA111),0)</f>
        <v>0</v>
      </c>
      <c r="EB112" s="1">
        <f t="array" aca="1" ref="EB112:EB113" ca="1">IF(ISNUMBER($A110),MMULT(TRANSPOSE($P110:$Q111),EB110:EB111),0)</f>
        <v>0</v>
      </c>
      <c r="EC112" s="1">
        <f t="array" aca="1" ref="EC112:EC113" ca="1">IF(ISNUMBER($A110),MMULT(TRANSPOSE($P110:$Q111),EC110:EC111),0)</f>
        <v>0</v>
      </c>
      <c r="ED112" s="1">
        <f t="array" aca="1" ref="ED112:ED113" ca="1">IF(ISNUMBER($A110),MMULT(TRANSPOSE($P110:$Q111),ED110:ED111),0)</f>
        <v>0</v>
      </c>
      <c r="EE112" s="1">
        <f t="array" aca="1" ref="EE112:EE113" ca="1">IF(ISNUMBER($A110),MMULT(TRANSPOSE($P110:$Q111),EE110:EE111),0)</f>
        <v>0</v>
      </c>
      <c r="EF112" s="1">
        <f t="array" aca="1" ref="EF112:EF113" ca="1">IF(ISNUMBER($A110),MMULT(TRANSPOSE($P110:$Q111),EF110:EF111),0)</f>
        <v>0</v>
      </c>
      <c r="EG112" s="1">
        <f t="array" aca="1" ref="EG112:EG113" ca="1">IF(ISNUMBER($A110),MMULT(TRANSPOSE($P110:$Q111),EG110:EG111),0)</f>
        <v>0</v>
      </c>
      <c r="EH112" s="1">
        <f t="array" aca="1" ref="EH112:EH113" ca="1">IF(ISNUMBER($A110),MMULT(TRANSPOSE($P110:$Q111),EH110:EH111),0)</f>
        <v>0</v>
      </c>
      <c r="EI112" s="1">
        <f t="array" aca="1" ref="EI112:EI113" ca="1">IF(ISNUMBER($A110),MMULT(TRANSPOSE($P110:$Q111),EI110:EI111),0)</f>
        <v>0</v>
      </c>
      <c r="EJ112" s="1">
        <f t="array" aca="1" ref="EJ112:EJ113" ca="1">IF(ISNUMBER($A110),MMULT(TRANSPOSE($P110:$Q111),EJ110:EJ111),0)</f>
        <v>0</v>
      </c>
      <c r="EK112" s="1"/>
      <c r="EL112" s="1"/>
      <c r="EM112" s="8"/>
      <c r="EN112" s="309"/>
      <c r="EO112" s="310"/>
      <c r="EP112" s="345"/>
    </row>
    <row r="113" spans="1:146" x14ac:dyDescent="0.2">
      <c r="E113" s="12"/>
      <c r="F113" s="12"/>
      <c r="J113" s="4">
        <f ca="1">-J110</f>
        <v>0</v>
      </c>
      <c r="K113" s="5">
        <v>0</v>
      </c>
      <c r="L113" s="6">
        <v>0</v>
      </c>
      <c r="M113" s="179">
        <f ca="1">J110</f>
        <v>0</v>
      </c>
      <c r="N113" s="5">
        <v>0</v>
      </c>
      <c r="O113" s="6">
        <v>0</v>
      </c>
      <c r="P113" s="184">
        <v>0</v>
      </c>
      <c r="Q113" s="101">
        <v>0</v>
      </c>
      <c r="R113" s="101">
        <v>0</v>
      </c>
      <c r="S113" s="99">
        <f ca="1">I110</f>
        <v>0</v>
      </c>
      <c r="T113" s="99">
        <f ca="1">-H110</f>
        <v>0</v>
      </c>
      <c r="U113" s="100">
        <v>0</v>
      </c>
      <c r="V113" s="4">
        <f ca="1"/>
        <v>0</v>
      </c>
      <c r="W113" s="5">
        <f ca="1"/>
        <v>0</v>
      </c>
      <c r="X113" s="6">
        <f ca="1"/>
        <v>0</v>
      </c>
      <c r="Y113" s="179">
        <f ca="1"/>
        <v>0</v>
      </c>
      <c r="Z113" s="5">
        <f ca="1"/>
        <v>0</v>
      </c>
      <c r="AA113" s="6">
        <f ca="1"/>
        <v>0</v>
      </c>
      <c r="AB113" s="61">
        <f ca="1">IF(ISNUMBER($A110),INDIRECT("System!" &amp; ADDRESS(A110+1,COLUMN(System!V109))),0)</f>
        <v>0</v>
      </c>
      <c r="AC113" s="301">
        <f ca="1">IF(ISNUMBER(E110),E110*D110/2,0)</f>
        <v>0</v>
      </c>
      <c r="AD113" s="61">
        <f ca="1"/>
        <v>0</v>
      </c>
      <c r="AE113" s="7">
        <f t="shared" ref="AE113:BR113" ca="1" si="209">IF(ABS($E112)=AE$1,SIGN($E112),0)</f>
        <v>0</v>
      </c>
      <c r="AF113" s="1">
        <f t="shared" ca="1" si="209"/>
        <v>0</v>
      </c>
      <c r="AG113" s="1">
        <f t="shared" ca="1" si="209"/>
        <v>0</v>
      </c>
      <c r="AH113" s="1">
        <f t="shared" ca="1" si="209"/>
        <v>0</v>
      </c>
      <c r="AI113" s="1">
        <f t="shared" ca="1" si="209"/>
        <v>0</v>
      </c>
      <c r="AJ113" s="26">
        <f t="shared" ca="1" si="209"/>
        <v>0</v>
      </c>
      <c r="AK113" s="26">
        <f t="shared" ca="1" si="209"/>
        <v>0</v>
      </c>
      <c r="AL113" s="26">
        <f t="shared" ca="1" si="209"/>
        <v>0</v>
      </c>
      <c r="AM113" s="26">
        <f t="shared" ca="1" si="209"/>
        <v>0</v>
      </c>
      <c r="AN113" s="26">
        <f t="shared" ca="1" si="209"/>
        <v>0</v>
      </c>
      <c r="AO113" s="26">
        <f t="shared" ca="1" si="209"/>
        <v>0</v>
      </c>
      <c r="AP113" s="26">
        <f t="shared" ca="1" si="209"/>
        <v>0</v>
      </c>
      <c r="AQ113" s="26">
        <f t="shared" ca="1" si="209"/>
        <v>0</v>
      </c>
      <c r="AR113" s="26">
        <f t="shared" ca="1" si="209"/>
        <v>0</v>
      </c>
      <c r="AS113" s="26">
        <f t="shared" ca="1" si="209"/>
        <v>0</v>
      </c>
      <c r="AT113" s="26">
        <f t="shared" ca="1" si="209"/>
        <v>0</v>
      </c>
      <c r="AU113" s="26">
        <f t="shared" ca="1" si="209"/>
        <v>0</v>
      </c>
      <c r="AV113" s="26">
        <f t="shared" ca="1" si="209"/>
        <v>0</v>
      </c>
      <c r="AW113" s="26">
        <f t="shared" ca="1" si="209"/>
        <v>0</v>
      </c>
      <c r="AX113" s="26">
        <f t="shared" ca="1" si="209"/>
        <v>0</v>
      </c>
      <c r="AY113" s="26">
        <f t="shared" ca="1" si="209"/>
        <v>0</v>
      </c>
      <c r="AZ113" s="26">
        <f t="shared" ca="1" si="209"/>
        <v>0</v>
      </c>
      <c r="BA113" s="26">
        <f t="shared" ca="1" si="209"/>
        <v>0</v>
      </c>
      <c r="BB113" s="26">
        <f t="shared" ca="1" si="209"/>
        <v>0</v>
      </c>
      <c r="BC113" s="26">
        <f t="shared" ca="1" si="209"/>
        <v>0</v>
      </c>
      <c r="BD113" s="26">
        <f t="shared" ca="1" si="209"/>
        <v>0</v>
      </c>
      <c r="BE113" s="26">
        <f t="shared" ca="1" si="209"/>
        <v>0</v>
      </c>
      <c r="BF113" s="26">
        <f t="shared" ca="1" si="209"/>
        <v>0</v>
      </c>
      <c r="BG113" s="26">
        <f t="shared" ca="1" si="209"/>
        <v>0</v>
      </c>
      <c r="BH113" s="26">
        <f t="shared" ca="1" si="209"/>
        <v>0</v>
      </c>
      <c r="BI113" s="26">
        <f t="shared" ca="1" si="209"/>
        <v>0</v>
      </c>
      <c r="BJ113" s="26">
        <f t="shared" ca="1" si="209"/>
        <v>0</v>
      </c>
      <c r="BK113" s="26">
        <f t="shared" ca="1" si="209"/>
        <v>0</v>
      </c>
      <c r="BL113" s="26">
        <f t="shared" ca="1" si="209"/>
        <v>0</v>
      </c>
      <c r="BM113" s="26">
        <f t="shared" ca="1" si="209"/>
        <v>0</v>
      </c>
      <c r="BN113" s="26">
        <f t="shared" ca="1" si="209"/>
        <v>0</v>
      </c>
      <c r="BO113" s="26">
        <f t="shared" ca="1" si="209"/>
        <v>0</v>
      </c>
      <c r="BP113" s="26">
        <f t="shared" ca="1" si="209"/>
        <v>0</v>
      </c>
      <c r="BQ113" s="26">
        <f t="shared" ca="1" si="209"/>
        <v>0</v>
      </c>
      <c r="BR113" s="26">
        <f t="shared" ca="1" si="209"/>
        <v>0</v>
      </c>
      <c r="BS113" s="282">
        <f ca="1">IF(ISNUMBER($A110),IF(INDEX(B112:G112,4)&lt;&gt;0,SIGN(INDEX(B112:G112,4))*INDIRECT(ADDRESS(1+ABS(INDEX(B112:G112,4)),COLUMN(Ksys!$B$1),1,TRUE,"Ksys")),0)+AB113,0)</f>
        <v>0</v>
      </c>
      <c r="BT113" s="61">
        <f ca="1"/>
        <v>0</v>
      </c>
      <c r="BU113" s="61">
        <f ca="1"/>
        <v>0</v>
      </c>
      <c r="BV113" s="61">
        <f t="array" aca="1" ref="BV113:BV115" ca="1">MMULT(J113:O115,BT110:BT115)-AC113:AC115</f>
        <v>0</v>
      </c>
      <c r="BW113" s="288" t="s">
        <v>101</v>
      </c>
      <c r="BX113" s="7">
        <f ca="1"/>
        <v>0</v>
      </c>
      <c r="BY113" s="1">
        <f ca="1"/>
        <v>0</v>
      </c>
      <c r="BZ113" s="1">
        <f ca="1"/>
        <v>0</v>
      </c>
      <c r="CA113" s="1">
        <f ca="1"/>
        <v>0</v>
      </c>
      <c r="CB113" s="1">
        <f ca="1"/>
        <v>0</v>
      </c>
      <c r="CC113" s="1">
        <f ca="1"/>
        <v>0</v>
      </c>
      <c r="CD113" s="1">
        <f ca="1"/>
        <v>0</v>
      </c>
      <c r="CE113" s="1">
        <f ca="1"/>
        <v>0</v>
      </c>
      <c r="CF113" s="1">
        <f ca="1"/>
        <v>0</v>
      </c>
      <c r="CG113" s="1">
        <f ca="1"/>
        <v>0</v>
      </c>
      <c r="CH113" s="8">
        <f ca="1"/>
        <v>0</v>
      </c>
      <c r="CI113" s="344" t="s">
        <v>1</v>
      </c>
      <c r="CJ113" s="344" t="s">
        <v>111</v>
      </c>
      <c r="CK113" s="310"/>
      <c r="CM113" s="292" t="s">
        <v>101</v>
      </c>
      <c r="CN113" s="7">
        <f ca="1"/>
        <v>0</v>
      </c>
      <c r="CO113" s="1">
        <f ca="1"/>
        <v>0</v>
      </c>
      <c r="CP113" s="1">
        <f ca="1"/>
        <v>0</v>
      </c>
      <c r="CQ113" s="1">
        <f ca="1"/>
        <v>0</v>
      </c>
      <c r="CR113" s="1">
        <f ca="1"/>
        <v>0</v>
      </c>
      <c r="CS113" s="1">
        <f ca="1"/>
        <v>0</v>
      </c>
      <c r="CT113" s="1">
        <f ca="1"/>
        <v>0</v>
      </c>
      <c r="CU113" s="1">
        <f ca="1"/>
        <v>0</v>
      </c>
      <c r="CV113" s="1">
        <f ca="1"/>
        <v>0</v>
      </c>
      <c r="CW113" s="1">
        <f ca="1"/>
        <v>0</v>
      </c>
      <c r="CX113" s="1">
        <f ca="1"/>
        <v>0</v>
      </c>
      <c r="CY113" s="1"/>
      <c r="CZ113" s="1"/>
      <c r="DA113" s="26"/>
      <c r="DB113" s="311" t="s">
        <v>1</v>
      </c>
      <c r="DC113" s="312" t="s">
        <v>111</v>
      </c>
      <c r="DD113" s="61">
        <f ca="1">MAX(MAX(CN112:CX113),ABS(MIN(CN112:CX113)))</f>
        <v>0</v>
      </c>
      <c r="DF113" s="292" t="s">
        <v>101</v>
      </c>
      <c r="DG113" s="7">
        <f ca="1"/>
        <v>0</v>
      </c>
      <c r="DH113" s="1">
        <f ca="1"/>
        <v>0</v>
      </c>
      <c r="DI113" s="1">
        <f ca="1"/>
        <v>0</v>
      </c>
      <c r="DJ113" s="1">
        <f ca="1"/>
        <v>0</v>
      </c>
      <c r="DK113" s="1">
        <f ca="1"/>
        <v>0</v>
      </c>
      <c r="DL113" s="1">
        <f ca="1"/>
        <v>0</v>
      </c>
      <c r="DM113" s="1">
        <f ca="1"/>
        <v>0</v>
      </c>
      <c r="DN113" s="1">
        <f ca="1"/>
        <v>0</v>
      </c>
      <c r="DO113" s="1">
        <f ca="1"/>
        <v>0</v>
      </c>
      <c r="DP113" s="1">
        <f ca="1"/>
        <v>0</v>
      </c>
      <c r="DQ113" s="1">
        <f ca="1"/>
        <v>0</v>
      </c>
      <c r="DR113" s="1"/>
      <c r="DS113" s="1"/>
      <c r="DT113" s="8"/>
      <c r="DU113" s="314" t="s">
        <v>1</v>
      </c>
      <c r="DV113" s="312" t="s">
        <v>111</v>
      </c>
      <c r="DW113" s="349">
        <f ca="1">MAX(MAX(DG112:DQ113),ABS(MIN(DG112:DQ113)))</f>
        <v>0</v>
      </c>
      <c r="DY113" s="292" t="s">
        <v>101</v>
      </c>
      <c r="DZ113" s="7">
        <f ca="1"/>
        <v>0</v>
      </c>
      <c r="EA113" s="1">
        <f ca="1"/>
        <v>0</v>
      </c>
      <c r="EB113" s="1">
        <f ca="1"/>
        <v>0</v>
      </c>
      <c r="EC113" s="1">
        <f ca="1"/>
        <v>0</v>
      </c>
      <c r="ED113" s="1">
        <f ca="1"/>
        <v>0</v>
      </c>
      <c r="EE113" s="1">
        <f ca="1"/>
        <v>0</v>
      </c>
      <c r="EF113" s="1">
        <f ca="1"/>
        <v>0</v>
      </c>
      <c r="EG113" s="1">
        <f ca="1"/>
        <v>0</v>
      </c>
      <c r="EH113" s="1">
        <f ca="1"/>
        <v>0</v>
      </c>
      <c r="EI113" s="1">
        <f ca="1"/>
        <v>0</v>
      </c>
      <c r="EJ113" s="1">
        <f ca="1"/>
        <v>0</v>
      </c>
      <c r="EK113" s="1"/>
      <c r="EL113" s="1"/>
      <c r="EM113" s="8"/>
      <c r="EN113" s="311" t="s">
        <v>1</v>
      </c>
      <c r="EO113" s="312" t="s">
        <v>111</v>
      </c>
      <c r="EP113" s="61">
        <f ca="1">MAX(MAX(DZ112:EJ113),ABS(MIN(DZ112:EJ113)))</f>
        <v>0</v>
      </c>
    </row>
    <row r="114" spans="1:146" x14ac:dyDescent="0.2">
      <c r="E114" s="1" t="str">
        <f ca="1">IF(ISNUMBER(A110),"" &amp; ADDRESS(ROW(A110),COLUMN($AD$1)) &amp; ":" &amp; ADDRESS(ROW(A115),COLUMN($AD$1)) &amp; "","")</f>
        <v/>
      </c>
      <c r="F114" s="1" t="str">
        <f ca="1">IF(ISNUMBER(A110),"" &amp; ADDRESS(ROW(A110),COLUMN($V$1)) &amp; ":" &amp; ADDRESS(ROW(A115),COLUMN($AA$1)) &amp; "","")</f>
        <v/>
      </c>
      <c r="G114" s="1" t="str">
        <f ca="1">IF(ISNUMBER(A110),"" &amp; ADDRESS(ROW(A110),COLUMN($AE$1)) &amp; ":" &amp; ADDRESS(ROW(A115),COLUMN($AD$1)+$C$6) &amp; "","")</f>
        <v/>
      </c>
      <c r="J114" s="7">
        <v>0</v>
      </c>
      <c r="K114" s="1">
        <f ca="1">-K111</f>
        <v>0</v>
      </c>
      <c r="L114" s="8">
        <f ca="1">IF(G110=1,6*B110/D110^2,IF(G110="2a",0,IF(G110="2b",3*B110/D110^2,0)))</f>
        <v>0</v>
      </c>
      <c r="M114" s="7">
        <v>0</v>
      </c>
      <c r="N114" s="180">
        <f ca="1">K111</f>
        <v>0</v>
      </c>
      <c r="O114" s="8">
        <f ca="1">N115</f>
        <v>0</v>
      </c>
      <c r="P114" s="184">
        <v>0</v>
      </c>
      <c r="Q114" s="101">
        <v>0</v>
      </c>
      <c r="R114" s="101">
        <v>0</v>
      </c>
      <c r="S114" s="99">
        <f ca="1">H110</f>
        <v>0</v>
      </c>
      <c r="T114" s="99">
        <f ca="1">I110</f>
        <v>0</v>
      </c>
      <c r="U114" s="100">
        <v>0</v>
      </c>
      <c r="V114" s="7">
        <f ca="1"/>
        <v>0</v>
      </c>
      <c r="W114" s="1">
        <f ca="1"/>
        <v>0</v>
      </c>
      <c r="X114" s="8">
        <f ca="1"/>
        <v>0</v>
      </c>
      <c r="Y114" s="7">
        <f ca="1"/>
        <v>0</v>
      </c>
      <c r="Z114" s="180">
        <f ca="1"/>
        <v>0</v>
      </c>
      <c r="AA114" s="8">
        <f ca="1"/>
        <v>0</v>
      </c>
      <c r="AB114" s="61">
        <f ca="1">IF(ISNUMBER($A110),INDIRECT("System!" &amp; ADDRESS(A110+1,COLUMN(System!W109))),0)</f>
        <v>0</v>
      </c>
      <c r="AC114" s="301">
        <f ca="1">IF(G110=1,F110*D110/2,IF(G110="2a",F110*5/8*D110,IF(G110="2b",F110*3/8*D110,0)))</f>
        <v>0</v>
      </c>
      <c r="AD114" s="61">
        <f ca="1"/>
        <v>0</v>
      </c>
      <c r="AE114" s="7">
        <f t="shared" ref="AE114:BR114" ca="1" si="210">IF(ABS($F112)=AE$1,SIGN($F112),0)</f>
        <v>0</v>
      </c>
      <c r="AF114" s="1">
        <f t="shared" ca="1" si="210"/>
        <v>0</v>
      </c>
      <c r="AG114" s="1">
        <f t="shared" ca="1" si="210"/>
        <v>0</v>
      </c>
      <c r="AH114" s="1">
        <f t="shared" ca="1" si="210"/>
        <v>0</v>
      </c>
      <c r="AI114" s="1">
        <f t="shared" ca="1" si="210"/>
        <v>0</v>
      </c>
      <c r="AJ114" s="26">
        <f t="shared" ca="1" si="210"/>
        <v>0</v>
      </c>
      <c r="AK114" s="26">
        <f t="shared" ca="1" si="210"/>
        <v>0</v>
      </c>
      <c r="AL114" s="26">
        <f t="shared" ca="1" si="210"/>
        <v>0</v>
      </c>
      <c r="AM114" s="26">
        <f t="shared" ca="1" si="210"/>
        <v>0</v>
      </c>
      <c r="AN114" s="26">
        <f t="shared" ca="1" si="210"/>
        <v>0</v>
      </c>
      <c r="AO114" s="26">
        <f t="shared" ca="1" si="210"/>
        <v>0</v>
      </c>
      <c r="AP114" s="26">
        <f t="shared" ca="1" si="210"/>
        <v>0</v>
      </c>
      <c r="AQ114" s="26">
        <f t="shared" ca="1" si="210"/>
        <v>0</v>
      </c>
      <c r="AR114" s="26">
        <f t="shared" ca="1" si="210"/>
        <v>0</v>
      </c>
      <c r="AS114" s="26">
        <f t="shared" ca="1" si="210"/>
        <v>0</v>
      </c>
      <c r="AT114" s="26">
        <f t="shared" ca="1" si="210"/>
        <v>0</v>
      </c>
      <c r="AU114" s="26">
        <f t="shared" ca="1" si="210"/>
        <v>0</v>
      </c>
      <c r="AV114" s="26">
        <f t="shared" ca="1" si="210"/>
        <v>0</v>
      </c>
      <c r="AW114" s="26">
        <f t="shared" ca="1" si="210"/>
        <v>0</v>
      </c>
      <c r="AX114" s="26">
        <f t="shared" ca="1" si="210"/>
        <v>0</v>
      </c>
      <c r="AY114" s="26">
        <f t="shared" ca="1" si="210"/>
        <v>0</v>
      </c>
      <c r="AZ114" s="26">
        <f t="shared" ca="1" si="210"/>
        <v>0</v>
      </c>
      <c r="BA114" s="26">
        <f t="shared" ca="1" si="210"/>
        <v>0</v>
      </c>
      <c r="BB114" s="26">
        <f t="shared" ca="1" si="210"/>
        <v>0</v>
      </c>
      <c r="BC114" s="26">
        <f t="shared" ca="1" si="210"/>
        <v>0</v>
      </c>
      <c r="BD114" s="26">
        <f t="shared" ca="1" si="210"/>
        <v>0</v>
      </c>
      <c r="BE114" s="26">
        <f t="shared" ca="1" si="210"/>
        <v>0</v>
      </c>
      <c r="BF114" s="26">
        <f t="shared" ca="1" si="210"/>
        <v>0</v>
      </c>
      <c r="BG114" s="26">
        <f t="shared" ca="1" si="210"/>
        <v>0</v>
      </c>
      <c r="BH114" s="26">
        <f t="shared" ca="1" si="210"/>
        <v>0</v>
      </c>
      <c r="BI114" s="26">
        <f t="shared" ca="1" si="210"/>
        <v>0</v>
      </c>
      <c r="BJ114" s="26">
        <f t="shared" ca="1" si="210"/>
        <v>0</v>
      </c>
      <c r="BK114" s="26">
        <f t="shared" ca="1" si="210"/>
        <v>0</v>
      </c>
      <c r="BL114" s="26">
        <f t="shared" ca="1" si="210"/>
        <v>0</v>
      </c>
      <c r="BM114" s="26">
        <f t="shared" ca="1" si="210"/>
        <v>0</v>
      </c>
      <c r="BN114" s="26">
        <f t="shared" ca="1" si="210"/>
        <v>0</v>
      </c>
      <c r="BO114" s="26">
        <f t="shared" ca="1" si="210"/>
        <v>0</v>
      </c>
      <c r="BP114" s="26">
        <f t="shared" ca="1" si="210"/>
        <v>0</v>
      </c>
      <c r="BQ114" s="26">
        <f t="shared" ca="1" si="210"/>
        <v>0</v>
      </c>
      <c r="BR114" s="26">
        <f t="shared" ca="1" si="210"/>
        <v>0</v>
      </c>
      <c r="BS114" s="282">
        <f ca="1">IF(ISNUMBER($A110),IF(INDEX(B112:G112,5)&lt;&gt;0,SIGN(INDEX(B112:G112,5))*INDIRECT(ADDRESS(1+ABS(INDEX(B112:G112,5)),COLUMN(Ksys!$B$1),1,TRUE,"Ksys")),0)+AB114,0)</f>
        <v>0</v>
      </c>
      <c r="BT114" s="61">
        <f ca="1"/>
        <v>0</v>
      </c>
      <c r="BU114" s="61">
        <f ca="1"/>
        <v>0</v>
      </c>
      <c r="BV114" s="61">
        <f ca="1"/>
        <v>0</v>
      </c>
      <c r="BW114" s="296" t="s">
        <v>102</v>
      </c>
      <c r="BX114" s="216">
        <f ca="1">IF(ISNUMBER($A110),$B111*(1-BX$1) + $C111*BX$1 + Knoten!$S$5*BX112,KnotenData!$H$2)</f>
        <v>0.5</v>
      </c>
      <c r="BY114" s="206">
        <f ca="1">IF(ISNUMBER($A110),$B111*(1-BY$1) + $C111*BY$1 + Knoten!$S$5*BY112,KnotenData!$H$2)</f>
        <v>0.5</v>
      </c>
      <c r="BZ114" s="206">
        <f ca="1">IF(ISNUMBER($A110),$B111*(1-BZ$1) + $C111*BZ$1 + Knoten!$S$5*BZ112,KnotenData!$H$2)</f>
        <v>0.5</v>
      </c>
      <c r="CA114" s="206">
        <f ca="1">IF(ISNUMBER($A110),$B111*(1-CA$1) + $C111*CA$1 + Knoten!$S$5*CA112,KnotenData!$H$2)</f>
        <v>0.5</v>
      </c>
      <c r="CB114" s="206">
        <f ca="1">IF(ISNUMBER($A110),$B111*(1-CB$1) + $C111*CB$1 + Knoten!$S$5*CB112,KnotenData!$H$2)</f>
        <v>0.5</v>
      </c>
      <c r="CC114" s="206">
        <f ca="1">IF(ISNUMBER($A110),$B111*(1-CC$1) + $C111*CC$1 + Knoten!$S$5*CC112,KnotenData!$H$2)</f>
        <v>0.5</v>
      </c>
      <c r="CD114" s="206">
        <f ca="1">IF(ISNUMBER($A110),$B111*(1-CD$1) + $C111*CD$1 + Knoten!$S$5*CD112,KnotenData!$H$2)</f>
        <v>0.5</v>
      </c>
      <c r="CE114" s="206">
        <f ca="1">IF(ISNUMBER($A110),$B111*(1-CE$1) + $C111*CE$1 + Knoten!$S$5*CE112,KnotenData!$H$2)</f>
        <v>0.5</v>
      </c>
      <c r="CF114" s="206">
        <f ca="1">IF(ISNUMBER($A110),$B111*(1-CF$1) + $C111*CF$1 + Knoten!$S$5*CF112,KnotenData!$H$2)</f>
        <v>0.5</v>
      </c>
      <c r="CG114" s="206">
        <f ca="1">IF(ISNUMBER($A110),$B111*(1-CG$1) + $C111*CG$1 + Knoten!$S$5*CG112,KnotenData!$H$2)</f>
        <v>0.5</v>
      </c>
      <c r="CH114" s="217">
        <f ca="1">IF(ISNUMBER($A110),$B111*(1-CH$1) + $C111*CH$1 + Knoten!$S$5*CH112,KnotenData!$H$2)</f>
        <v>0.5</v>
      </c>
      <c r="CI114" s="447">
        <f ca="1">MIN(BX114:CH114)</f>
        <v>0.5</v>
      </c>
      <c r="CJ114" s="447">
        <f ca="1">MIN(BX115:CH115)</f>
        <v>0.47499999999999998</v>
      </c>
      <c r="CK114" s="445"/>
      <c r="CM114" s="293" t="s">
        <v>102</v>
      </c>
      <c r="CN114" s="216">
        <f ca="1">IF(ISNUMBER($A110),$B111*(1-CN$1) + $C111*CN$1 + Momente!$D$6*CN112,KnotenData!$H$2)</f>
        <v>0.5</v>
      </c>
      <c r="CO114" s="206">
        <f ca="1">IF(ISNUMBER($A110),$B111*(1-CO$1) + $C111*CO$1 + Momente!$D$6*CO112,KnotenData!$H$2)</f>
        <v>0.5</v>
      </c>
      <c r="CP114" s="206">
        <f ca="1">IF(ISNUMBER($A110),$B111*(1-CP$1) + $C111*CP$1 + Momente!$D$6*CP112,KnotenData!$H$2)</f>
        <v>0.5</v>
      </c>
      <c r="CQ114" s="206">
        <f ca="1">IF(ISNUMBER($A110),$B111*(1-CQ$1) + $C111*CQ$1 + Momente!$D$6*CQ112,KnotenData!$H$2)</f>
        <v>0.5</v>
      </c>
      <c r="CR114" s="206">
        <f ca="1">IF(ISNUMBER($A110),$B111*(1-CR$1) + $C111*CR$1 + Momente!$D$6*CR112,KnotenData!$H$2)</f>
        <v>0.5</v>
      </c>
      <c r="CS114" s="206">
        <f ca="1">IF(ISNUMBER($A110),$B111*(1-CS$1) + $C111*CS$1 + Momente!$D$6*CS112,KnotenData!$H$2)</f>
        <v>0.5</v>
      </c>
      <c r="CT114" s="206">
        <f ca="1">IF(ISNUMBER($A110),$B111*(1-CT$1) + $C111*CT$1 + Momente!$D$6*CT112,KnotenData!$H$2)</f>
        <v>0.5</v>
      </c>
      <c r="CU114" s="206">
        <f ca="1">IF(ISNUMBER($A110),$B111*(1-CU$1) + $C111*CU$1 + Momente!$D$6*CU112,KnotenData!$H$2)</f>
        <v>0.5</v>
      </c>
      <c r="CV114" s="206">
        <f ca="1">IF(ISNUMBER($A110),$B111*(1-CV$1) + $C111*CV$1 + Momente!$D$6*CV112,KnotenData!$H$2)</f>
        <v>0.5</v>
      </c>
      <c r="CW114" s="206">
        <f ca="1">IF(ISNUMBER($A110),$B111*(1-CW$1) + $C111*CW$1 + Momente!$D$6*CW112,KnotenData!$H$2)</f>
        <v>0.5</v>
      </c>
      <c r="CX114" s="206">
        <f ca="1">IF(ISNUMBER($A110),$B111*(1-CX$1) + $C111*CX$1 + Momente!$D$6*CX112,KnotenData!$H$2)</f>
        <v>0.5</v>
      </c>
      <c r="CY114" s="206">
        <f ca="1">IF(ISNUMBER($A110),$C111,KnotenData!$H$2)</f>
        <v>0.5</v>
      </c>
      <c r="CZ114" s="206">
        <f ca="1">IF(ISNUMBER($A110),$B111,KnotenData!$H$2)</f>
        <v>0.5</v>
      </c>
      <c r="DA114" s="305">
        <f ca="1">IF(ISNUMBER($A110),CN114,KnotenData!$H$2)</f>
        <v>0.5</v>
      </c>
      <c r="DB114" s="7">
        <f ca="1">MIN(CN114:DA114)</f>
        <v>0.5</v>
      </c>
      <c r="DC114" s="8">
        <f ca="1">MIN(CN115:DA115)</f>
        <v>0.47499999999999998</v>
      </c>
      <c r="DD114" s="345"/>
      <c r="DF114" s="293" t="s">
        <v>102</v>
      </c>
      <c r="DG114" s="216">
        <f ca="1">IF(ISNUMBER($A110),$B111*(1-DG$1) + $C111*DG$1 + Querkräfte!$D$6*DG112,KnotenData!$H$2)</f>
        <v>0.5</v>
      </c>
      <c r="DH114" s="206">
        <f ca="1">IF(ISNUMBER($A110),$B111*(1-DH$1) + $C111*DH$1 + Querkräfte!$D$6*DH112,KnotenData!$H$2)</f>
        <v>0.5</v>
      </c>
      <c r="DI114" s="206">
        <f ca="1">IF(ISNUMBER($A110),$B111*(1-DI$1) + $C111*DI$1 + Querkräfte!$D$6*DI112,KnotenData!$H$2)</f>
        <v>0.5</v>
      </c>
      <c r="DJ114" s="206">
        <f ca="1">IF(ISNUMBER($A110),$B111*(1-DJ$1) + $C111*DJ$1 + Querkräfte!$D$6*DJ112,KnotenData!$H$2)</f>
        <v>0.5</v>
      </c>
      <c r="DK114" s="206">
        <f ca="1">IF(ISNUMBER($A110),$B111*(1-DK$1) + $C111*DK$1 + Querkräfte!$D$6*DK112,KnotenData!$H$2)</f>
        <v>0.5</v>
      </c>
      <c r="DL114" s="206">
        <f ca="1">IF(ISNUMBER($A110),$B111*(1-DL$1) + $C111*DL$1 + Querkräfte!$D$6*DL112,KnotenData!$H$2)</f>
        <v>0.5</v>
      </c>
      <c r="DM114" s="206">
        <f ca="1">IF(ISNUMBER($A110),$B111*(1-DM$1) + $C111*DM$1 + Querkräfte!$D$6*DM112,KnotenData!$H$2)</f>
        <v>0.5</v>
      </c>
      <c r="DN114" s="206">
        <f ca="1">IF(ISNUMBER($A110),$B111*(1-DN$1) + $C111*DN$1 + Querkräfte!$D$6*DN112,KnotenData!$H$2)</f>
        <v>0.5</v>
      </c>
      <c r="DO114" s="206">
        <f ca="1">IF(ISNUMBER($A110),$B111*(1-DO$1) + $C111*DO$1 + Querkräfte!$D$6*DO112,KnotenData!$H$2)</f>
        <v>0.5</v>
      </c>
      <c r="DP114" s="206">
        <f ca="1">IF(ISNUMBER($A110),$B111*(1-DP$1) + $C111*DP$1 + Querkräfte!$D$6*DP112,KnotenData!$H$2)</f>
        <v>0.5</v>
      </c>
      <c r="DQ114" s="206">
        <f ca="1">IF(ISNUMBER($A110),$B111*(1-DQ$1) + $C111*DQ$1 + Querkräfte!$D$6*DQ112,KnotenData!$H$2)</f>
        <v>0.5</v>
      </c>
      <c r="DR114" s="206">
        <f ca="1">IF(ISNUMBER($A110),$C111,KnotenData!$H$2)</f>
        <v>0.5</v>
      </c>
      <c r="DS114" s="206">
        <f ca="1">IF(ISNUMBER($A110),$B111,KnotenData!$H$2)</f>
        <v>0.5</v>
      </c>
      <c r="DT114" s="217">
        <f ca="1">IF(ISNUMBER($A110),DG114,KnotenData!$H$2)</f>
        <v>0.5</v>
      </c>
      <c r="DU114" s="145">
        <f ca="1">MIN(DG114:DQ114)</f>
        <v>0.5</v>
      </c>
      <c r="DV114" s="8">
        <f ca="1">MIN(DG115:DQ115)</f>
        <v>0.47499999999999998</v>
      </c>
      <c r="DW114" s="345"/>
      <c r="DY114" s="293" t="s">
        <v>102</v>
      </c>
      <c r="DZ114" s="216">
        <f ca="1">IF(ISNUMBER($A110),$B111*(1-DZ$1) + $C111*DZ$1 + Normalkräfte!$D$6*DZ112,KnotenData!$H$2)</f>
        <v>0.5</v>
      </c>
      <c r="EA114" s="206">
        <f ca="1">IF(ISNUMBER($A110),$B111*(1-EA$1) + $C111*EA$1 + Normalkräfte!$D$6*EA112,KnotenData!$H$2)</f>
        <v>0.5</v>
      </c>
      <c r="EB114" s="206">
        <f ca="1">IF(ISNUMBER($A110),$B111*(1-EB$1) + $C111*EB$1 + Normalkräfte!$D$6*EB112,KnotenData!$H$2)</f>
        <v>0.5</v>
      </c>
      <c r="EC114" s="206">
        <f ca="1">IF(ISNUMBER($A110),$B111*(1-EC$1) + $C111*EC$1 + Normalkräfte!$D$6*EC112,KnotenData!$H$2)</f>
        <v>0.5</v>
      </c>
      <c r="ED114" s="206">
        <f ca="1">IF(ISNUMBER($A110),$B111*(1-ED$1) + $C111*ED$1 + Normalkräfte!$D$6*ED112,KnotenData!$H$2)</f>
        <v>0.5</v>
      </c>
      <c r="EE114" s="206">
        <f ca="1">IF(ISNUMBER($A110),$B111*(1-EE$1) + $C111*EE$1 + Normalkräfte!$D$6*EE112,KnotenData!$H$2)</f>
        <v>0.5</v>
      </c>
      <c r="EF114" s="206">
        <f ca="1">IF(ISNUMBER($A110),$B111*(1-EF$1) + $C111*EF$1 + Normalkräfte!$D$6*EF112,KnotenData!$H$2)</f>
        <v>0.5</v>
      </c>
      <c r="EG114" s="206">
        <f ca="1">IF(ISNUMBER($A110),$B111*(1-EG$1) + $C111*EG$1 + Normalkräfte!$D$6*EG112,KnotenData!$H$2)</f>
        <v>0.5</v>
      </c>
      <c r="EH114" s="206">
        <f ca="1">IF(ISNUMBER($A110),$B111*(1-EH$1) + $C111*EH$1 + Normalkräfte!$D$6*EH112,KnotenData!$H$2)</f>
        <v>0.5</v>
      </c>
      <c r="EI114" s="206">
        <f ca="1">IF(ISNUMBER($A110),$B111*(1-EI$1) + $C111*EI$1 + Normalkräfte!$D$6*EI112,KnotenData!$H$2)</f>
        <v>0.5</v>
      </c>
      <c r="EJ114" s="206">
        <f ca="1">IF(ISNUMBER($A110),$B111*(1-EJ$1) + $C111*EJ$1 + Normalkräfte!$D$6*EJ112,KnotenData!$H$2)</f>
        <v>0.5</v>
      </c>
      <c r="EK114" s="256">
        <f ca="1">IF(ISNUMBER($A110),$C111,KnotenData!$H$2)</f>
        <v>0.5</v>
      </c>
      <c r="EL114" s="206">
        <f ca="1">IF(ISNUMBER($A110),$B111,KnotenData!$H$2)</f>
        <v>0.5</v>
      </c>
      <c r="EM114" s="217">
        <f ca="1">IF(ISNUMBER($A110),DZ114,KnotenData!$H$2)</f>
        <v>0.5</v>
      </c>
      <c r="EN114" s="7">
        <f ca="1">MIN(DZ114:EJ114)</f>
        <v>0.5</v>
      </c>
      <c r="EO114" s="8">
        <f ca="1">MIN(DZ115:EJ115)</f>
        <v>0.47499999999999998</v>
      </c>
      <c r="EP114" s="345"/>
    </row>
    <row r="115" spans="1:146" ht="13.5" thickBot="1" x14ac:dyDescent="0.25">
      <c r="E115" s="12"/>
      <c r="F115" s="12"/>
      <c r="J115" s="9">
        <v>0</v>
      </c>
      <c r="K115" s="10">
        <f ca="1">IF(G110=1,-6*B110/D110^2,IF(G110="2a",-3*B110/D110^2,IF(G110="2b",0,0)))</f>
        <v>0</v>
      </c>
      <c r="L115" s="146">
        <f ca="1">IF(G110=1,2*B110/D110,IF(G110="2a",0,IF(G110="2b",0,0)))</f>
        <v>0</v>
      </c>
      <c r="M115" s="9">
        <v>0</v>
      </c>
      <c r="N115" s="10">
        <f ca="1">-K115</f>
        <v>0</v>
      </c>
      <c r="O115" s="181">
        <f ca="1">IF(G110=1,4*B110/D110,IF(G110="2a",3*B110/D110,IF(G110="2b",0,0)))</f>
        <v>0</v>
      </c>
      <c r="P115" s="185">
        <v>0</v>
      </c>
      <c r="Q115" s="103">
        <v>0</v>
      </c>
      <c r="R115" s="103">
        <v>0</v>
      </c>
      <c r="S115" s="111">
        <v>0</v>
      </c>
      <c r="T115" s="111">
        <v>0</v>
      </c>
      <c r="U115" s="112">
        <v>1</v>
      </c>
      <c r="V115" s="9">
        <f ca="1"/>
        <v>0</v>
      </c>
      <c r="W115" s="10">
        <f ca="1"/>
        <v>0</v>
      </c>
      <c r="X115" s="146">
        <f ca="1"/>
        <v>0</v>
      </c>
      <c r="Y115" s="9">
        <f ca="1"/>
        <v>0</v>
      </c>
      <c r="Z115" s="10">
        <f ca="1"/>
        <v>0</v>
      </c>
      <c r="AA115" s="181">
        <f ca="1"/>
        <v>0</v>
      </c>
      <c r="AB115" s="62">
        <f ca="1">IF(ISNUMBER($A110),INDIRECT("System!" &amp; ADDRESS(A110+1,COLUMN(System!X109))),0)</f>
        <v>0</v>
      </c>
      <c r="AC115" s="302">
        <f ca="1">IF(G110=1,F110*D110^2/12,IF(G110="2a",F110*D110^2/8,IF(G110="2b",0,0)))</f>
        <v>0</v>
      </c>
      <c r="AD115" s="62">
        <f ca="1"/>
        <v>0</v>
      </c>
      <c r="AE115" s="9">
        <f t="shared" ref="AE115:BR115" ca="1" si="211">IF(ABS($G112)=AE$1,SIGN($G112),0)</f>
        <v>0</v>
      </c>
      <c r="AF115" s="10">
        <f t="shared" ca="1" si="211"/>
        <v>0</v>
      </c>
      <c r="AG115" s="10">
        <f t="shared" ca="1" si="211"/>
        <v>0</v>
      </c>
      <c r="AH115" s="10">
        <f t="shared" ca="1" si="211"/>
        <v>0</v>
      </c>
      <c r="AI115" s="10">
        <f t="shared" ca="1" si="211"/>
        <v>0</v>
      </c>
      <c r="AJ115" s="188">
        <f t="shared" ca="1" si="211"/>
        <v>0</v>
      </c>
      <c r="AK115" s="188">
        <f t="shared" ca="1" si="211"/>
        <v>0</v>
      </c>
      <c r="AL115" s="188">
        <f t="shared" ca="1" si="211"/>
        <v>0</v>
      </c>
      <c r="AM115" s="188">
        <f t="shared" ca="1" si="211"/>
        <v>0</v>
      </c>
      <c r="AN115" s="188">
        <f t="shared" ca="1" si="211"/>
        <v>0</v>
      </c>
      <c r="AO115" s="188">
        <f t="shared" ca="1" si="211"/>
        <v>0</v>
      </c>
      <c r="AP115" s="188">
        <f t="shared" ca="1" si="211"/>
        <v>0</v>
      </c>
      <c r="AQ115" s="188">
        <f t="shared" ca="1" si="211"/>
        <v>0</v>
      </c>
      <c r="AR115" s="188">
        <f t="shared" ca="1" si="211"/>
        <v>0</v>
      </c>
      <c r="AS115" s="188">
        <f t="shared" ca="1" si="211"/>
        <v>0</v>
      </c>
      <c r="AT115" s="188">
        <f t="shared" ca="1" si="211"/>
        <v>0</v>
      </c>
      <c r="AU115" s="188">
        <f t="shared" ca="1" si="211"/>
        <v>0</v>
      </c>
      <c r="AV115" s="188">
        <f t="shared" ca="1" si="211"/>
        <v>0</v>
      </c>
      <c r="AW115" s="188">
        <f t="shared" ca="1" si="211"/>
        <v>0</v>
      </c>
      <c r="AX115" s="188">
        <f t="shared" ca="1" si="211"/>
        <v>0</v>
      </c>
      <c r="AY115" s="188">
        <f t="shared" ca="1" si="211"/>
        <v>0</v>
      </c>
      <c r="AZ115" s="188">
        <f t="shared" ca="1" si="211"/>
        <v>0</v>
      </c>
      <c r="BA115" s="188">
        <f t="shared" ca="1" si="211"/>
        <v>0</v>
      </c>
      <c r="BB115" s="188">
        <f t="shared" ca="1" si="211"/>
        <v>0</v>
      </c>
      <c r="BC115" s="188">
        <f t="shared" ca="1" si="211"/>
        <v>0</v>
      </c>
      <c r="BD115" s="188">
        <f t="shared" ca="1" si="211"/>
        <v>0</v>
      </c>
      <c r="BE115" s="188">
        <f t="shared" ca="1" si="211"/>
        <v>0</v>
      </c>
      <c r="BF115" s="188">
        <f t="shared" ca="1" si="211"/>
        <v>0</v>
      </c>
      <c r="BG115" s="188">
        <f t="shared" ca="1" si="211"/>
        <v>0</v>
      </c>
      <c r="BH115" s="188">
        <f t="shared" ca="1" si="211"/>
        <v>0</v>
      </c>
      <c r="BI115" s="188">
        <f t="shared" ca="1" si="211"/>
        <v>0</v>
      </c>
      <c r="BJ115" s="188">
        <f t="shared" ca="1" si="211"/>
        <v>0</v>
      </c>
      <c r="BK115" s="188">
        <f t="shared" ca="1" si="211"/>
        <v>0</v>
      </c>
      <c r="BL115" s="188">
        <f t="shared" ca="1" si="211"/>
        <v>0</v>
      </c>
      <c r="BM115" s="188">
        <f t="shared" ca="1" si="211"/>
        <v>0</v>
      </c>
      <c r="BN115" s="188">
        <f t="shared" ca="1" si="211"/>
        <v>0</v>
      </c>
      <c r="BO115" s="188">
        <f t="shared" ca="1" si="211"/>
        <v>0</v>
      </c>
      <c r="BP115" s="188">
        <f t="shared" ca="1" si="211"/>
        <v>0</v>
      </c>
      <c r="BQ115" s="188">
        <f t="shared" ca="1" si="211"/>
        <v>0</v>
      </c>
      <c r="BR115" s="188">
        <f t="shared" ca="1" si="211"/>
        <v>0</v>
      </c>
      <c r="BS115" s="283">
        <f ca="1">IF(ISNUMBER($A110),IF(INDEX(B112:G112,6)&lt;&gt;0,SIGN(INDEX(B112:G112,6))*INDIRECT(ADDRESS(1+ABS(INDEX(B112:G112,6)),COLUMN(Ksys!$B$1),1,TRUE,"Ksys")),0)+AB115,0)</f>
        <v>0</v>
      </c>
      <c r="BT115" s="62">
        <f ca="1"/>
        <v>0</v>
      </c>
      <c r="BU115" s="62">
        <f ca="1"/>
        <v>0</v>
      </c>
      <c r="BV115" s="62">
        <f ca="1"/>
        <v>0</v>
      </c>
      <c r="BW115" s="297" t="s">
        <v>103</v>
      </c>
      <c r="BX115" s="218">
        <f ca="1">IF(ISNUMBER($A110),$D111*(1-BX$1) + $E111*BX$1 + Knoten!$S$5*BX113,KnotenData!$H$3)</f>
        <v>0.47499999999999998</v>
      </c>
      <c r="BY115" s="295">
        <f ca="1">IF(ISNUMBER($A110),$D111*(1-BY$1) + $E111*BY$1 + Knoten!$S$5*BY113,KnotenData!$H$3)</f>
        <v>0.47499999999999998</v>
      </c>
      <c r="BZ115" s="295">
        <f ca="1">IF(ISNUMBER($A110),$D111*(1-BZ$1) + $E111*BZ$1 + Knoten!$S$5*BZ113,KnotenData!$H$3)</f>
        <v>0.47499999999999998</v>
      </c>
      <c r="CA115" s="295">
        <f ca="1">IF(ISNUMBER($A110),$D111*(1-CA$1) + $E111*CA$1 + Knoten!$S$5*CA113,KnotenData!$H$3)</f>
        <v>0.47499999999999998</v>
      </c>
      <c r="CB115" s="295">
        <f ca="1">IF(ISNUMBER($A110),$D111*(1-CB$1) + $E111*CB$1 + Knoten!$S$5*CB113,KnotenData!$H$3)</f>
        <v>0.47499999999999998</v>
      </c>
      <c r="CC115" s="295">
        <f ca="1">IF(ISNUMBER($A110),$D111*(1-CC$1) + $E111*CC$1 + Knoten!$S$5*CC113,KnotenData!$H$3)</f>
        <v>0.47499999999999998</v>
      </c>
      <c r="CD115" s="295">
        <f ca="1">IF(ISNUMBER($A110),$D111*(1-CD$1) + $E111*CD$1 + Knoten!$S$5*CD113,KnotenData!$H$3)</f>
        <v>0.47499999999999998</v>
      </c>
      <c r="CE115" s="295">
        <f ca="1">IF(ISNUMBER($A110),$D111*(1-CE$1) + $E111*CE$1 + Knoten!$S$5*CE113,KnotenData!$H$3)</f>
        <v>0.47499999999999998</v>
      </c>
      <c r="CF115" s="295">
        <f ca="1">IF(ISNUMBER($A110),$D111*(1-CF$1) + $E111*CF$1 + Knoten!$S$5*CF113,KnotenData!$H$3)</f>
        <v>0.47499999999999998</v>
      </c>
      <c r="CG115" s="295">
        <f ca="1">IF(ISNUMBER($A110),$D111*(1-CG$1) + $E111*CG$1 + Knoten!$S$5*CG113,KnotenData!$H$3)</f>
        <v>0.47499999999999998</v>
      </c>
      <c r="CH115" s="219">
        <f ca="1">IF(ISNUMBER($A110),$D111*(1-CH$1) + $E111*CH$1 + Knoten!$S$5*CH113,KnotenData!$H$3)</f>
        <v>0.47499999999999998</v>
      </c>
      <c r="CI115" s="449">
        <f ca="1">MAX(BX114:CH114)</f>
        <v>0.5</v>
      </c>
      <c r="CJ115" s="448">
        <f ca="1">MAX(BX115:CH115)</f>
        <v>0.47499999999999998</v>
      </c>
      <c r="CK115" s="446"/>
      <c r="CL115">
        <v>19</v>
      </c>
      <c r="CM115" s="294" t="s">
        <v>103</v>
      </c>
      <c r="CN115" s="218">
        <f ca="1">IF(ISNUMBER($A110),$D111*(1-CN$1) + $E111*CN$1 + Momente!$D$6*CN113,KnotenData!$H$3)</f>
        <v>0.47499999999999998</v>
      </c>
      <c r="CO115" s="295">
        <f ca="1">IF(ISNUMBER($A110),$D111*(1-CO$1) + $E111*CO$1 + Momente!$D$6*CO113,KnotenData!$H$3)</f>
        <v>0.47499999999999998</v>
      </c>
      <c r="CP115" s="295">
        <f ca="1">IF(ISNUMBER($A110),$D111*(1-CP$1) + $E111*CP$1 + Momente!$D$6*CP113,KnotenData!$H$3)</f>
        <v>0.47499999999999998</v>
      </c>
      <c r="CQ115" s="295">
        <f ca="1">IF(ISNUMBER($A110),$D111*(1-CQ$1) + $E111*CQ$1 + Momente!$D$6*CQ113,KnotenData!$H$3)</f>
        <v>0.47499999999999998</v>
      </c>
      <c r="CR115" s="295">
        <f ca="1">IF(ISNUMBER($A110),$D111*(1-CR$1) + $E111*CR$1 + Momente!$D$6*CR113,KnotenData!$H$3)</f>
        <v>0.47499999999999998</v>
      </c>
      <c r="CS115" s="295">
        <f ca="1">IF(ISNUMBER($A110),$D111*(1-CS$1) + $E111*CS$1 + Momente!$D$6*CS113,KnotenData!$H$3)</f>
        <v>0.47499999999999998</v>
      </c>
      <c r="CT115" s="295">
        <f ca="1">IF(ISNUMBER($A110),$D111*(1-CT$1) + $E111*CT$1 + Momente!$D$6*CT113,KnotenData!$H$3)</f>
        <v>0.47499999999999998</v>
      </c>
      <c r="CU115" s="295">
        <f ca="1">IF(ISNUMBER($A110),$D111*(1-CU$1) + $E111*CU$1 + Momente!$D$6*CU113,KnotenData!$H$3)</f>
        <v>0.47499999999999998</v>
      </c>
      <c r="CV115" s="295">
        <f ca="1">IF(ISNUMBER($A110),$D111*(1-CV$1) + $E111*CV$1 + Momente!$D$6*CV113,KnotenData!$H$3)</f>
        <v>0.47499999999999998</v>
      </c>
      <c r="CW115" s="295">
        <f ca="1">IF(ISNUMBER($A110),$D111*(1-CW$1) + $E111*CW$1 + Momente!$D$6*CW113,KnotenData!$H$3)</f>
        <v>0.47499999999999998</v>
      </c>
      <c r="CX115" s="295">
        <f ca="1">IF(ISNUMBER($A110),$D111*(1-CX$1) + $E111*CX$1 + Momente!$D$6*CX113,KnotenData!$H$3)</f>
        <v>0.47499999999999998</v>
      </c>
      <c r="CY115" s="295">
        <f ca="1">IF(ISNUMBER($A110),$E111,KnotenData!$H$3)</f>
        <v>0.47499999999999998</v>
      </c>
      <c r="CZ115" s="295">
        <f ca="1">IF(ISNUMBER($A110),$D111,KnotenData!$H$3)</f>
        <v>0.47499999999999998</v>
      </c>
      <c r="DA115" s="306">
        <f ca="1">IF(ISNUMBER($A110),CN115,KnotenData!$H$3)</f>
        <v>0.47499999999999998</v>
      </c>
      <c r="DB115" s="9">
        <f ca="1">MAX(CN114:DA114)</f>
        <v>0.5</v>
      </c>
      <c r="DC115" s="146">
        <f ca="1">MAX(CN115:DA115)</f>
        <v>0.47499999999999998</v>
      </c>
      <c r="DD115" s="346"/>
      <c r="DE115">
        <v>19</v>
      </c>
      <c r="DF115" s="294" t="s">
        <v>103</v>
      </c>
      <c r="DG115" s="218">
        <f ca="1">IF(ISNUMBER($A110),$D111*(1-DG$1) + $E111*DG$1 + Querkräfte!$D$6*DG113,KnotenData!$H$3)</f>
        <v>0.47499999999999998</v>
      </c>
      <c r="DH115" s="295">
        <f ca="1">IF(ISNUMBER($A110),$D111*(1-DH$1) + $E111*DH$1 + Querkräfte!$D$6*DH113,KnotenData!$H$3)</f>
        <v>0.47499999999999998</v>
      </c>
      <c r="DI115" s="295">
        <f ca="1">IF(ISNUMBER($A110),$D111*(1-DI$1) + $E111*DI$1 + Querkräfte!$D$6*DI113,KnotenData!$H$3)</f>
        <v>0.47499999999999998</v>
      </c>
      <c r="DJ115" s="295">
        <f ca="1">IF(ISNUMBER($A110),$D111*(1-DJ$1) + $E111*DJ$1 + Querkräfte!$D$6*DJ113,KnotenData!$H$3)</f>
        <v>0.47499999999999998</v>
      </c>
      <c r="DK115" s="295">
        <f ca="1">IF(ISNUMBER($A110),$D111*(1-DK$1) + $E111*DK$1 + Querkräfte!$D$6*DK113,KnotenData!$H$3)</f>
        <v>0.47499999999999998</v>
      </c>
      <c r="DL115" s="295">
        <f ca="1">IF(ISNUMBER($A110),$D111*(1-DL$1) + $E111*DL$1 + Querkräfte!$D$6*DL113,KnotenData!$H$3)</f>
        <v>0.47499999999999998</v>
      </c>
      <c r="DM115" s="295">
        <f ca="1">IF(ISNUMBER($A110),$D111*(1-DM$1) + $E111*DM$1 + Querkräfte!$D$6*DM113,KnotenData!$H$3)</f>
        <v>0.47499999999999998</v>
      </c>
      <c r="DN115" s="295">
        <f ca="1">IF(ISNUMBER($A110),$D111*(1-DN$1) + $E111*DN$1 + Querkräfte!$D$6*DN113,KnotenData!$H$3)</f>
        <v>0.47499999999999998</v>
      </c>
      <c r="DO115" s="295">
        <f ca="1">IF(ISNUMBER($A110),$D111*(1-DO$1) + $E111*DO$1 + Querkräfte!$D$6*DO113,KnotenData!$H$3)</f>
        <v>0.47499999999999998</v>
      </c>
      <c r="DP115" s="295">
        <f ca="1">IF(ISNUMBER($A110),$D111*(1-DP$1) + $E111*DP$1 + Querkräfte!$D$6*DP113,KnotenData!$H$3)</f>
        <v>0.47499999999999998</v>
      </c>
      <c r="DQ115" s="295">
        <f ca="1">IF(ISNUMBER($A110),$D111*(1-DQ$1) + $E111*DQ$1 + Querkräfte!$D$6*DQ113,KnotenData!$H$3)</f>
        <v>0.47499999999999998</v>
      </c>
      <c r="DR115" s="295">
        <f ca="1">IF(ISNUMBER($A110),$E111,KnotenData!$H$3)</f>
        <v>0.47499999999999998</v>
      </c>
      <c r="DS115" s="295">
        <f ca="1">IF(ISNUMBER($A110),$D111,KnotenData!$H$3)</f>
        <v>0.47499999999999998</v>
      </c>
      <c r="DT115" s="219">
        <f ca="1">IF(ISNUMBER($A110),DG115,KnotenData!$H$3)</f>
        <v>0.47499999999999998</v>
      </c>
      <c r="DU115" s="11">
        <f ca="1">MAX(DG114:DQ114)</f>
        <v>0.5</v>
      </c>
      <c r="DV115" s="146">
        <f ca="1">MAX(DG115:DQ115)</f>
        <v>0.47499999999999998</v>
      </c>
      <c r="DW115" s="346"/>
      <c r="DX115">
        <v>19</v>
      </c>
      <c r="DY115" s="294" t="s">
        <v>103</v>
      </c>
      <c r="DZ115" s="218">
        <f ca="1">IF(ISNUMBER($A110),$D111*(1-DZ$1) + $E111*DZ$1 + Normalkräfte!$D$6*DZ113,KnotenData!$H$3)</f>
        <v>0.47499999999999998</v>
      </c>
      <c r="EA115" s="295">
        <f ca="1">IF(ISNUMBER($A110),$D111*(1-EA$1) + $E111*EA$1 + Normalkräfte!$D$6*EA113,KnotenData!$H$3)</f>
        <v>0.47499999999999998</v>
      </c>
      <c r="EB115" s="295">
        <f ca="1">IF(ISNUMBER($A110),$D111*(1-EB$1) + $E111*EB$1 + Normalkräfte!$D$6*EB113,KnotenData!$H$3)</f>
        <v>0.47499999999999998</v>
      </c>
      <c r="EC115" s="295">
        <f ca="1">IF(ISNUMBER($A110),$D111*(1-EC$1) + $E111*EC$1 + Normalkräfte!$D$6*EC113,KnotenData!$H$3)</f>
        <v>0.47499999999999998</v>
      </c>
      <c r="ED115" s="295">
        <f ca="1">IF(ISNUMBER($A110),$D111*(1-ED$1) + $E111*ED$1 + Normalkräfte!$D$6*ED113,KnotenData!$H$3)</f>
        <v>0.47499999999999998</v>
      </c>
      <c r="EE115" s="295">
        <f ca="1">IF(ISNUMBER($A110),$D111*(1-EE$1) + $E111*EE$1 + Normalkräfte!$D$6*EE113,KnotenData!$H$3)</f>
        <v>0.47499999999999998</v>
      </c>
      <c r="EF115" s="295">
        <f ca="1">IF(ISNUMBER($A110),$D111*(1-EF$1) + $E111*EF$1 + Normalkräfte!$D$6*EF113,KnotenData!$H$3)</f>
        <v>0.47499999999999998</v>
      </c>
      <c r="EG115" s="295">
        <f ca="1">IF(ISNUMBER($A110),$D111*(1-EG$1) + $E111*EG$1 + Normalkräfte!$D$6*EG113,KnotenData!$H$3)</f>
        <v>0.47499999999999998</v>
      </c>
      <c r="EH115" s="295">
        <f ca="1">IF(ISNUMBER($A110),$D111*(1-EH$1) + $E111*EH$1 + Normalkräfte!$D$6*EH113,KnotenData!$H$3)</f>
        <v>0.47499999999999998</v>
      </c>
      <c r="EI115" s="295">
        <f ca="1">IF(ISNUMBER($A110),$D111*(1-EI$1) + $E111*EI$1 + Normalkräfte!$D$6*EI113,KnotenData!$H$3)</f>
        <v>0.47499999999999998</v>
      </c>
      <c r="EJ115" s="295">
        <f ca="1">IF(ISNUMBER($A110),$D111*(1-EJ$1) + $E111*EJ$1 + Normalkräfte!$D$6*EJ113,KnotenData!$H$3)</f>
        <v>0.47499999999999998</v>
      </c>
      <c r="EK115" s="295">
        <f ca="1">IF(ISNUMBER($A110),$E111,KnotenData!$H$3)</f>
        <v>0.47499999999999998</v>
      </c>
      <c r="EL115" s="295">
        <f ca="1">IF(ISNUMBER($A110),$D111,KnotenData!$H$3)</f>
        <v>0.47499999999999998</v>
      </c>
      <c r="EM115" s="219">
        <f ca="1">IF(ISNUMBER($A110),DZ115,KnotenData!$H$3)</f>
        <v>0.47499999999999998</v>
      </c>
      <c r="EN115" s="9">
        <f ca="1">MAX(DZ114:EJ114)</f>
        <v>0.5</v>
      </c>
      <c r="EO115" s="146">
        <f ca="1">MAX(DZ115:EJ115)</f>
        <v>0.47499999999999998</v>
      </c>
      <c r="EP115" s="346"/>
    </row>
    <row r="116" spans="1:146" x14ac:dyDescent="0.2">
      <c r="A116" s="205" t="str">
        <f ca="1">IF(ISNUMBER(INDIRECT("System!C" &amp;(ROW(A116)+4)/6+1)),INDIRECT("System!B"&amp;(ROW(A116)+4)/6+1),"")</f>
        <v/>
      </c>
      <c r="B116" s="206">
        <f ca="1">IF(ISNUMBER(A116),INDIRECT("System!" &amp; ADDRESS(A116 +1,COLUMN(System!E115))),0)</f>
        <v>0</v>
      </c>
      <c r="C116" s="206">
        <f ca="1">IF(ISNUMBER(A116),INDIRECT("System!" &amp; ADDRESS(A116 +1,COLUMN(System!F115))),0)</f>
        <v>0</v>
      </c>
      <c r="D116" s="209">
        <f ca="1">IF(ISNUMBER(A116),INDIRECT("System!" &amp; ADDRESS(A116 +1,COLUMN(System!O115))),0)</f>
        <v>0</v>
      </c>
      <c r="E116" s="208" t="str">
        <f ca="1">IF(ISNUMBER(A116),INDIRECT("System!" &amp; ADDRESS(A116 +1,COLUMN(System!G115))),"")</f>
        <v/>
      </c>
      <c r="F116" s="208" t="str">
        <f ca="1">IF(ISNUMBER(A116),INDIRECT("System!" &amp; ADDRESS(A116 +1,COLUMN(System!H115))),"")</f>
        <v/>
      </c>
      <c r="G116" s="261" t="str">
        <f ca="1">IF(ISNUMBER(A116),INDIRECT("System!" &amp; ADDRESS(A116 +1,COLUMN(System!I115))),"")</f>
        <v/>
      </c>
      <c r="H116" s="207">
        <f ca="1">IF(ISNUMBER($A116),INDIRECT("System!" &amp; ADDRESS($A116 +1,COLUMN(System!Q115))),0)</f>
        <v>0</v>
      </c>
      <c r="I116" s="207">
        <f ca="1">IF(ISNUMBER($A116),INDIRECT("System!" &amp; ADDRESS($A116 +1,COLUMN(System!R115))),0)</f>
        <v>0</v>
      </c>
      <c r="J116" s="179">
        <f ca="1">IF(ISNUMBER(A116),C116/D116,0)</f>
        <v>0</v>
      </c>
      <c r="K116" s="5">
        <v>0</v>
      </c>
      <c r="L116" s="6">
        <v>0</v>
      </c>
      <c r="M116" s="4">
        <f ca="1">-J116</f>
        <v>0</v>
      </c>
      <c r="N116" s="5">
        <v>0</v>
      </c>
      <c r="O116" s="6">
        <v>0</v>
      </c>
      <c r="P116" s="141">
        <f ca="1">I116</f>
        <v>0</v>
      </c>
      <c r="Q116" s="142">
        <f ca="1">-H116</f>
        <v>0</v>
      </c>
      <c r="R116" s="142">
        <v>0</v>
      </c>
      <c r="S116" s="182">
        <v>0</v>
      </c>
      <c r="T116" s="182">
        <v>0</v>
      </c>
      <c r="U116" s="183">
        <v>0</v>
      </c>
      <c r="V116" s="179">
        <f t="array" aca="1" ref="V116:AA121" ca="1">MMULT(TRANSPOSE(P116:U121),MMULT(J116:O121,P116:U121))</f>
        <v>0</v>
      </c>
      <c r="W116" s="5">
        <f ca="1"/>
        <v>0</v>
      </c>
      <c r="X116" s="6">
        <f ca="1"/>
        <v>0</v>
      </c>
      <c r="Y116" s="4">
        <f ca="1"/>
        <v>0</v>
      </c>
      <c r="Z116" s="5">
        <f ca="1"/>
        <v>0</v>
      </c>
      <c r="AA116" s="6">
        <f ca="1"/>
        <v>0</v>
      </c>
      <c r="AB116" s="60">
        <f ca="1">IF(ISNUMBER($A116),INDIRECT("System!" &amp; ADDRESS(A116+1,COLUMN(System!S115))),0)</f>
        <v>0</v>
      </c>
      <c r="AC116" s="299">
        <f ca="1">IF(ISNUMBER(E116),E116*D116/2,0)</f>
        <v>0</v>
      </c>
      <c r="AD116" s="60">
        <f t="array" aca="1" ref="AD116:AD121" ca="1">MMULT(TRANSPOSE(P116:U121),AC116:AC121) - MMULT(V116:AA121,AB116:AB121)</f>
        <v>0</v>
      </c>
      <c r="AE116" s="4">
        <f t="shared" ref="AE116:BR116" ca="1" si="212">IF(ABS($B118)=AE$1,SIGN($B118),0)</f>
        <v>0</v>
      </c>
      <c r="AF116" s="5">
        <f t="shared" ca="1" si="212"/>
        <v>0</v>
      </c>
      <c r="AG116" s="5">
        <f t="shared" ca="1" si="212"/>
        <v>0</v>
      </c>
      <c r="AH116" s="5">
        <f t="shared" ca="1" si="212"/>
        <v>0</v>
      </c>
      <c r="AI116" s="5">
        <f t="shared" ca="1" si="212"/>
        <v>0</v>
      </c>
      <c r="AJ116" s="189">
        <f t="shared" ca="1" si="212"/>
        <v>0</v>
      </c>
      <c r="AK116" s="189">
        <f t="shared" ca="1" si="212"/>
        <v>0</v>
      </c>
      <c r="AL116" s="189">
        <f t="shared" ca="1" si="212"/>
        <v>0</v>
      </c>
      <c r="AM116" s="189">
        <f t="shared" ca="1" si="212"/>
        <v>0</v>
      </c>
      <c r="AN116" s="189">
        <f t="shared" ca="1" si="212"/>
        <v>0</v>
      </c>
      <c r="AO116" s="189">
        <f t="shared" ca="1" si="212"/>
        <v>0</v>
      </c>
      <c r="AP116" s="189">
        <f t="shared" ca="1" si="212"/>
        <v>0</v>
      </c>
      <c r="AQ116" s="189">
        <f t="shared" ca="1" si="212"/>
        <v>0</v>
      </c>
      <c r="AR116" s="189">
        <f t="shared" ca="1" si="212"/>
        <v>0</v>
      </c>
      <c r="AS116" s="189">
        <f t="shared" ca="1" si="212"/>
        <v>0</v>
      </c>
      <c r="AT116" s="189">
        <f t="shared" ca="1" si="212"/>
        <v>0</v>
      </c>
      <c r="AU116" s="189">
        <f t="shared" ca="1" si="212"/>
        <v>0</v>
      </c>
      <c r="AV116" s="189">
        <f t="shared" ca="1" si="212"/>
        <v>0</v>
      </c>
      <c r="AW116" s="189">
        <f t="shared" ca="1" si="212"/>
        <v>0</v>
      </c>
      <c r="AX116" s="189">
        <f t="shared" ca="1" si="212"/>
        <v>0</v>
      </c>
      <c r="AY116" s="189">
        <f t="shared" ca="1" si="212"/>
        <v>0</v>
      </c>
      <c r="AZ116" s="189">
        <f t="shared" ca="1" si="212"/>
        <v>0</v>
      </c>
      <c r="BA116" s="189">
        <f t="shared" ca="1" si="212"/>
        <v>0</v>
      </c>
      <c r="BB116" s="189">
        <f t="shared" ca="1" si="212"/>
        <v>0</v>
      </c>
      <c r="BC116" s="189">
        <f t="shared" ca="1" si="212"/>
        <v>0</v>
      </c>
      <c r="BD116" s="189">
        <f t="shared" ca="1" si="212"/>
        <v>0</v>
      </c>
      <c r="BE116" s="189">
        <f t="shared" ca="1" si="212"/>
        <v>0</v>
      </c>
      <c r="BF116" s="189">
        <f t="shared" ca="1" si="212"/>
        <v>0</v>
      </c>
      <c r="BG116" s="189">
        <f t="shared" ca="1" si="212"/>
        <v>0</v>
      </c>
      <c r="BH116" s="189">
        <f t="shared" ca="1" si="212"/>
        <v>0</v>
      </c>
      <c r="BI116" s="189">
        <f t="shared" ca="1" si="212"/>
        <v>0</v>
      </c>
      <c r="BJ116" s="189">
        <f t="shared" ca="1" si="212"/>
        <v>0</v>
      </c>
      <c r="BK116" s="189">
        <f t="shared" ca="1" si="212"/>
        <v>0</v>
      </c>
      <c r="BL116" s="189">
        <f t="shared" ca="1" si="212"/>
        <v>0</v>
      </c>
      <c r="BM116" s="189">
        <f t="shared" ca="1" si="212"/>
        <v>0</v>
      </c>
      <c r="BN116" s="189">
        <f t="shared" ca="1" si="212"/>
        <v>0</v>
      </c>
      <c r="BO116" s="189">
        <f t="shared" ca="1" si="212"/>
        <v>0</v>
      </c>
      <c r="BP116" s="189">
        <f t="shared" ca="1" si="212"/>
        <v>0</v>
      </c>
      <c r="BQ116" s="189">
        <f t="shared" ca="1" si="212"/>
        <v>0</v>
      </c>
      <c r="BR116" s="189">
        <f t="shared" ca="1" si="212"/>
        <v>0</v>
      </c>
      <c r="BS116" s="281">
        <f ca="1">IF(ISNUMBER($A116),IF(INDEX(B118:G118,1)&lt;&gt;0,SIGN(INDEX(B118:G118,1))*INDIRECT(ADDRESS(1+ABS(INDEX(B118:G118,1)),COLUMN(Ksys!$B$1),1,TRUE,"Ksys")),0)+AB116,0)</f>
        <v>0</v>
      </c>
      <c r="BT116" s="60">
        <f t="array" aca="1" ref="BT116:BT121" ca="1">MMULT(P116:U121,BS116:BS121)</f>
        <v>0</v>
      </c>
      <c r="BU116" s="60">
        <f t="array" aca="1" ref="BU116:BU121" ca="1">MMULT(J116:O121,BT116:BT121)-AC116:AC121</f>
        <v>0</v>
      </c>
      <c r="BV116" s="60">
        <f t="array" aca="1" ref="BV116:BV118" ca="1">-(MMULT(J116:O118,BT116:BT121)-AC116:AC118)</f>
        <v>0</v>
      </c>
      <c r="BW116" s="286" t="s">
        <v>97</v>
      </c>
      <c r="BX116" s="4">
        <f t="shared" ref="BX116:CH116" ca="1" si="213">IF(ISNUMBER($A116),$BT116*(1-BX$1) + $BT119*BX$1,0)</f>
        <v>0</v>
      </c>
      <c r="BY116" s="5">
        <f t="shared" ca="1" si="213"/>
        <v>0</v>
      </c>
      <c r="BZ116" s="5">
        <f t="shared" ca="1" si="213"/>
        <v>0</v>
      </c>
      <c r="CA116" s="5">
        <f t="shared" ca="1" si="213"/>
        <v>0</v>
      </c>
      <c r="CB116" s="5">
        <f t="shared" ca="1" si="213"/>
        <v>0</v>
      </c>
      <c r="CC116" s="5">
        <f t="shared" ca="1" si="213"/>
        <v>0</v>
      </c>
      <c r="CD116" s="5">
        <f t="shared" ca="1" si="213"/>
        <v>0</v>
      </c>
      <c r="CE116" s="5">
        <f t="shared" ca="1" si="213"/>
        <v>0</v>
      </c>
      <c r="CF116" s="5">
        <f t="shared" ca="1" si="213"/>
        <v>0</v>
      </c>
      <c r="CG116" s="5">
        <f t="shared" ca="1" si="213"/>
        <v>0</v>
      </c>
      <c r="CH116" s="6">
        <f t="shared" ca="1" si="213"/>
        <v>0</v>
      </c>
      <c r="CI116" s="343"/>
      <c r="CJ116" s="343"/>
      <c r="CK116" s="308"/>
      <c r="CM116" s="290" t="s">
        <v>97</v>
      </c>
      <c r="CN116" s="4">
        <v>0</v>
      </c>
      <c r="CO116" s="5">
        <v>0</v>
      </c>
      <c r="CP116" s="5">
        <v>0</v>
      </c>
      <c r="CQ116" s="5">
        <v>0</v>
      </c>
      <c r="CR116" s="5">
        <v>0</v>
      </c>
      <c r="CS116" s="5">
        <v>0</v>
      </c>
      <c r="CT116" s="5">
        <v>0</v>
      </c>
      <c r="CU116" s="5">
        <v>0</v>
      </c>
      <c r="CV116" s="5">
        <v>0</v>
      </c>
      <c r="CW116" s="5">
        <v>0</v>
      </c>
      <c r="CX116" s="5">
        <v>0</v>
      </c>
      <c r="CY116" s="5"/>
      <c r="CZ116" s="5"/>
      <c r="DA116" s="189"/>
      <c r="DB116" s="307"/>
      <c r="DC116" s="308"/>
      <c r="DD116" s="343"/>
      <c r="DF116" s="290" t="s">
        <v>97</v>
      </c>
      <c r="DG116" s="4">
        <v>0</v>
      </c>
      <c r="DH116" s="5">
        <v>0</v>
      </c>
      <c r="DI116" s="5">
        <v>0</v>
      </c>
      <c r="DJ116" s="5">
        <v>0</v>
      </c>
      <c r="DK116" s="5">
        <v>0</v>
      </c>
      <c r="DL116" s="5">
        <v>0</v>
      </c>
      <c r="DM116" s="5">
        <v>0</v>
      </c>
      <c r="DN116" s="5">
        <v>0</v>
      </c>
      <c r="DO116" s="5">
        <v>0</v>
      </c>
      <c r="DP116" s="5">
        <v>0</v>
      </c>
      <c r="DQ116" s="5">
        <v>0</v>
      </c>
      <c r="DR116" s="5"/>
      <c r="DS116" s="5"/>
      <c r="DT116" s="6"/>
      <c r="DU116" s="325"/>
      <c r="DV116" s="308"/>
      <c r="DW116" s="343"/>
      <c r="DY116" s="290" t="s">
        <v>97</v>
      </c>
      <c r="DZ116" s="4">
        <v>0</v>
      </c>
      <c r="EA116" s="5">
        <v>0</v>
      </c>
      <c r="EB116" s="5">
        <v>0</v>
      </c>
      <c r="EC116" s="5">
        <v>0</v>
      </c>
      <c r="ED116" s="5">
        <v>0</v>
      </c>
      <c r="EE116" s="5">
        <v>0</v>
      </c>
      <c r="EF116" s="5">
        <v>0</v>
      </c>
      <c r="EG116" s="5">
        <v>0</v>
      </c>
      <c r="EH116" s="5">
        <v>0</v>
      </c>
      <c r="EI116" s="5">
        <v>0</v>
      </c>
      <c r="EJ116" s="5">
        <v>0</v>
      </c>
      <c r="EK116" s="5"/>
      <c r="EL116" s="5"/>
      <c r="EM116" s="6"/>
      <c r="EN116" s="307"/>
      <c r="EO116" s="308"/>
      <c r="EP116" s="343"/>
    </row>
    <row r="117" spans="1:146" x14ac:dyDescent="0.2">
      <c r="B117" s="1">
        <f ca="1">IF(ISNUMBER($A116),INDIRECT(ADDRESS($A116+1,COLUMN(System!K$2),1,TRUE,"System")),0)</f>
        <v>0</v>
      </c>
      <c r="C117" s="1">
        <f ca="1">IF(ISNUMBER($A116),INDIRECT(ADDRESS($A116+1,COLUMN(System!L$2),1,TRUE,"System")),0)</f>
        <v>0</v>
      </c>
      <c r="D117" s="1">
        <f ca="1">IF(ISNUMBER($A116),INDIRECT(ADDRESS($A116+1,COLUMN(System!M$2),1,TRUE,"System")),0)</f>
        <v>0</v>
      </c>
      <c r="E117" s="1">
        <f ca="1">IF(ISNUMBER($A116),INDIRECT(ADDRESS($A116+1,COLUMN(System!N$2),1,TRUE,"System")),0)</f>
        <v>0</v>
      </c>
      <c r="F117" s="12"/>
      <c r="J117" s="7">
        <v>0</v>
      </c>
      <c r="K117" s="180">
        <f ca="1">IF(G116=1,12*B116/D116^3,IF(G116="2a",3*B116/D116^3,IF(G116="2b",3*B116/D116^3,0)))</f>
        <v>0</v>
      </c>
      <c r="L117" s="8">
        <f ca="1">K118</f>
        <v>0</v>
      </c>
      <c r="M117" s="7">
        <v>0</v>
      </c>
      <c r="N117" s="1">
        <f ca="1">-K117</f>
        <v>0</v>
      </c>
      <c r="O117" s="8">
        <f ca="1">K121</f>
        <v>0</v>
      </c>
      <c r="P117" s="143">
        <f ca="1">H116</f>
        <v>0</v>
      </c>
      <c r="Q117" s="99">
        <f ca="1">I116</f>
        <v>0</v>
      </c>
      <c r="R117" s="99">
        <v>0</v>
      </c>
      <c r="S117" s="101">
        <v>0</v>
      </c>
      <c r="T117" s="101">
        <v>0</v>
      </c>
      <c r="U117" s="110">
        <v>0</v>
      </c>
      <c r="V117" s="7">
        <f ca="1"/>
        <v>0</v>
      </c>
      <c r="W117" s="180">
        <f ca="1"/>
        <v>0</v>
      </c>
      <c r="X117" s="8">
        <f ca="1"/>
        <v>0</v>
      </c>
      <c r="Y117" s="7">
        <f ca="1"/>
        <v>0</v>
      </c>
      <c r="Z117" s="1">
        <f ca="1"/>
        <v>0</v>
      </c>
      <c r="AA117" s="8">
        <f ca="1"/>
        <v>0</v>
      </c>
      <c r="AB117" s="61">
        <f ca="1">IF(ISNUMBER($A116),INDIRECT("System!" &amp; ADDRESS(A116+1,COLUMN(System!T115))),0)</f>
        <v>0</v>
      </c>
      <c r="AC117" s="301">
        <f ca="1">IF(G116=1,F116*D116/2,IF(G116="2a",F116*3/8*D116,IF(G116="2b",F116*5/8*D116,0)))</f>
        <v>0</v>
      </c>
      <c r="AD117" s="61">
        <f ca="1"/>
        <v>0</v>
      </c>
      <c r="AE117" s="7">
        <f t="shared" ref="AE117:BR117" ca="1" si="214">IF(ABS($C118)=AE$1,SIGN($C118),0)</f>
        <v>0</v>
      </c>
      <c r="AF117" s="1">
        <f t="shared" ca="1" si="214"/>
        <v>0</v>
      </c>
      <c r="AG117" s="1">
        <f t="shared" ca="1" si="214"/>
        <v>0</v>
      </c>
      <c r="AH117" s="1">
        <f t="shared" ca="1" si="214"/>
        <v>0</v>
      </c>
      <c r="AI117" s="1">
        <f t="shared" ca="1" si="214"/>
        <v>0</v>
      </c>
      <c r="AJ117" s="26">
        <f t="shared" ca="1" si="214"/>
        <v>0</v>
      </c>
      <c r="AK117" s="26">
        <f t="shared" ca="1" si="214"/>
        <v>0</v>
      </c>
      <c r="AL117" s="26">
        <f t="shared" ca="1" si="214"/>
        <v>0</v>
      </c>
      <c r="AM117" s="26">
        <f t="shared" ca="1" si="214"/>
        <v>0</v>
      </c>
      <c r="AN117" s="26">
        <f t="shared" ca="1" si="214"/>
        <v>0</v>
      </c>
      <c r="AO117" s="26">
        <f t="shared" ca="1" si="214"/>
        <v>0</v>
      </c>
      <c r="AP117" s="26">
        <f t="shared" ca="1" si="214"/>
        <v>0</v>
      </c>
      <c r="AQ117" s="26">
        <f t="shared" ca="1" si="214"/>
        <v>0</v>
      </c>
      <c r="AR117" s="26">
        <f t="shared" ca="1" si="214"/>
        <v>0</v>
      </c>
      <c r="AS117" s="26">
        <f t="shared" ca="1" si="214"/>
        <v>0</v>
      </c>
      <c r="AT117" s="26">
        <f t="shared" ca="1" si="214"/>
        <v>0</v>
      </c>
      <c r="AU117" s="26">
        <f t="shared" ca="1" si="214"/>
        <v>0</v>
      </c>
      <c r="AV117" s="26">
        <f t="shared" ca="1" si="214"/>
        <v>0</v>
      </c>
      <c r="AW117" s="26">
        <f t="shared" ca="1" si="214"/>
        <v>0</v>
      </c>
      <c r="AX117" s="26">
        <f t="shared" ca="1" si="214"/>
        <v>0</v>
      </c>
      <c r="AY117" s="26">
        <f t="shared" ca="1" si="214"/>
        <v>0</v>
      </c>
      <c r="AZ117" s="26">
        <f t="shared" ca="1" si="214"/>
        <v>0</v>
      </c>
      <c r="BA117" s="26">
        <f t="shared" ca="1" si="214"/>
        <v>0</v>
      </c>
      <c r="BB117" s="26">
        <f t="shared" ca="1" si="214"/>
        <v>0</v>
      </c>
      <c r="BC117" s="26">
        <f t="shared" ca="1" si="214"/>
        <v>0</v>
      </c>
      <c r="BD117" s="26">
        <f t="shared" ca="1" si="214"/>
        <v>0</v>
      </c>
      <c r="BE117" s="26">
        <f t="shared" ca="1" si="214"/>
        <v>0</v>
      </c>
      <c r="BF117" s="26">
        <f t="shared" ca="1" si="214"/>
        <v>0</v>
      </c>
      <c r="BG117" s="26">
        <f t="shared" ca="1" si="214"/>
        <v>0</v>
      </c>
      <c r="BH117" s="26">
        <f t="shared" ca="1" si="214"/>
        <v>0</v>
      </c>
      <c r="BI117" s="26">
        <f t="shared" ca="1" si="214"/>
        <v>0</v>
      </c>
      <c r="BJ117" s="26">
        <f t="shared" ca="1" si="214"/>
        <v>0</v>
      </c>
      <c r="BK117" s="26">
        <f t="shared" ca="1" si="214"/>
        <v>0</v>
      </c>
      <c r="BL117" s="26">
        <f t="shared" ca="1" si="214"/>
        <v>0</v>
      </c>
      <c r="BM117" s="26">
        <f t="shared" ca="1" si="214"/>
        <v>0</v>
      </c>
      <c r="BN117" s="26">
        <f t="shared" ca="1" si="214"/>
        <v>0</v>
      </c>
      <c r="BO117" s="26">
        <f t="shared" ca="1" si="214"/>
        <v>0</v>
      </c>
      <c r="BP117" s="26">
        <f t="shared" ca="1" si="214"/>
        <v>0</v>
      </c>
      <c r="BQ117" s="26">
        <f t="shared" ca="1" si="214"/>
        <v>0</v>
      </c>
      <c r="BR117" s="26">
        <f t="shared" ca="1" si="214"/>
        <v>0</v>
      </c>
      <c r="BS117" s="282">
        <f ca="1">IF(ISNUMBER($A116),IF(INDEX(B118:G118,2)&lt;&gt;0,SIGN(INDEX(B118:G118,2))*INDIRECT(ADDRESS(1+ABS(INDEX(B118:G118,2)),COLUMN(Ksys!$B$1),1,TRUE,"Ksys")),0)+AB117,0)</f>
        <v>0</v>
      </c>
      <c r="BT117" s="61">
        <f ca="1"/>
        <v>0</v>
      </c>
      <c r="BU117" s="61">
        <f ca="1"/>
        <v>0</v>
      </c>
      <c r="BV117" s="61">
        <f ca="1"/>
        <v>0</v>
      </c>
      <c r="BW117" s="287" t="s">
        <v>100</v>
      </c>
      <c r="BX117" s="272">
        <f t="shared" ref="BX117:CH117" ca="1" si="215" xml:space="preserve">  IF(ISNUMBER($A116),$BT117*(1-BX$1) + $BT120*BX$1 + ((1-BX$1)-(1-BX$1)^3)*$D116^2/6*$BV118/$B116 + (BX$1-(BX$1)^3)*$D116^2/6*$BV121/$B116 + (BX$1-2*(BX$1)^3+(BX$1)^4)*$D116^2/3*$F116*$D116^2/8/$B116,0)</f>
        <v>0</v>
      </c>
      <c r="BY117" s="173">
        <f t="shared" ca="1" si="215"/>
        <v>0</v>
      </c>
      <c r="BZ117" s="173">
        <f t="shared" ca="1" si="215"/>
        <v>0</v>
      </c>
      <c r="CA117" s="173">
        <f t="shared" ca="1" si="215"/>
        <v>0</v>
      </c>
      <c r="CB117" s="173">
        <f t="shared" ca="1" si="215"/>
        <v>0</v>
      </c>
      <c r="CC117" s="173">
        <f t="shared" ca="1" si="215"/>
        <v>0</v>
      </c>
      <c r="CD117" s="173">
        <f t="shared" ca="1" si="215"/>
        <v>0</v>
      </c>
      <c r="CE117" s="173">
        <f t="shared" ca="1" si="215"/>
        <v>0</v>
      </c>
      <c r="CF117" s="173">
        <f t="shared" ca="1" si="215"/>
        <v>0</v>
      </c>
      <c r="CG117" s="173">
        <f t="shared" ca="1" si="215"/>
        <v>0</v>
      </c>
      <c r="CH117" s="289">
        <f t="shared" ca="1" si="215"/>
        <v>0</v>
      </c>
      <c r="CI117" s="344"/>
      <c r="CJ117" s="344"/>
      <c r="CK117" s="312"/>
      <c r="CM117" s="291" t="s">
        <v>100</v>
      </c>
      <c r="CN117" s="7">
        <f t="shared" ref="CN117:CX117" ca="1" si="216" xml:space="preserve">  IF(ISNUMBER($A116),$BV118*(1-CN$1) + $BV121*CN$1  + CN$1*(1-CN$1)*$F116*$D116^2/2,0)</f>
        <v>0</v>
      </c>
      <c r="CO117" s="1">
        <f t="shared" ca="1" si="216"/>
        <v>0</v>
      </c>
      <c r="CP117" s="1">
        <f t="shared" ca="1" si="216"/>
        <v>0</v>
      </c>
      <c r="CQ117" s="1">
        <f t="shared" ca="1" si="216"/>
        <v>0</v>
      </c>
      <c r="CR117" s="1">
        <f t="shared" ca="1" si="216"/>
        <v>0</v>
      </c>
      <c r="CS117" s="1">
        <f t="shared" ca="1" si="216"/>
        <v>0</v>
      </c>
      <c r="CT117" s="1">
        <f t="shared" ca="1" si="216"/>
        <v>0</v>
      </c>
      <c r="CU117" s="1">
        <f t="shared" ca="1" si="216"/>
        <v>0</v>
      </c>
      <c r="CV117" s="1">
        <f t="shared" ca="1" si="216"/>
        <v>0</v>
      </c>
      <c r="CW117" s="1">
        <f t="shared" ca="1" si="216"/>
        <v>0</v>
      </c>
      <c r="CX117" s="1">
        <f t="shared" ca="1" si="216"/>
        <v>0</v>
      </c>
      <c r="CY117" s="1"/>
      <c r="CZ117" s="1"/>
      <c r="DA117" s="26"/>
      <c r="DB117" s="309"/>
      <c r="DC117" s="310"/>
      <c r="DD117" s="345"/>
      <c r="DF117" s="291" t="s">
        <v>100</v>
      </c>
      <c r="DG117" s="7">
        <f t="shared" ref="DG117:DQ117" ca="1" si="217" xml:space="preserve">  IF(ISNUMBER($A116),$BV117*(1-DG$1) + $BV120*DG$1,0)</f>
        <v>0</v>
      </c>
      <c r="DH117" s="1">
        <f t="shared" ca="1" si="217"/>
        <v>0</v>
      </c>
      <c r="DI117" s="1">
        <f t="shared" ca="1" si="217"/>
        <v>0</v>
      </c>
      <c r="DJ117" s="1">
        <f t="shared" ca="1" si="217"/>
        <v>0</v>
      </c>
      <c r="DK117" s="1">
        <f t="shared" ca="1" si="217"/>
        <v>0</v>
      </c>
      <c r="DL117" s="1">
        <f t="shared" ca="1" si="217"/>
        <v>0</v>
      </c>
      <c r="DM117" s="1">
        <f t="shared" ca="1" si="217"/>
        <v>0</v>
      </c>
      <c r="DN117" s="1">
        <f t="shared" ca="1" si="217"/>
        <v>0</v>
      </c>
      <c r="DO117" s="1">
        <f t="shared" ca="1" si="217"/>
        <v>0</v>
      </c>
      <c r="DP117" s="1">
        <f t="shared" ca="1" si="217"/>
        <v>0</v>
      </c>
      <c r="DQ117" s="1">
        <f t="shared" ca="1" si="217"/>
        <v>0</v>
      </c>
      <c r="DR117" s="1"/>
      <c r="DS117" s="1"/>
      <c r="DT117" s="8"/>
      <c r="DU117" s="12"/>
      <c r="DV117" s="310"/>
      <c r="DW117" s="345"/>
      <c r="DY117" s="291" t="s">
        <v>100</v>
      </c>
      <c r="DZ117" s="7">
        <f t="shared" ref="DZ117:EJ117" ca="1" si="218" xml:space="preserve">  IF(ISNUMBER($A116),$BV116*(1-DZ$1) + $BV119*DZ$1,0)</f>
        <v>0</v>
      </c>
      <c r="EA117" s="1">
        <f t="shared" ca="1" si="218"/>
        <v>0</v>
      </c>
      <c r="EB117" s="1">
        <f t="shared" ca="1" si="218"/>
        <v>0</v>
      </c>
      <c r="EC117" s="1">
        <f t="shared" ca="1" si="218"/>
        <v>0</v>
      </c>
      <c r="ED117" s="1">
        <f t="shared" ca="1" si="218"/>
        <v>0</v>
      </c>
      <c r="EE117" s="1">
        <f t="shared" ca="1" si="218"/>
        <v>0</v>
      </c>
      <c r="EF117" s="1">
        <f t="shared" ca="1" si="218"/>
        <v>0</v>
      </c>
      <c r="EG117" s="1">
        <f t="shared" ca="1" si="218"/>
        <v>0</v>
      </c>
      <c r="EH117" s="1">
        <f t="shared" ca="1" si="218"/>
        <v>0</v>
      </c>
      <c r="EI117" s="1">
        <f t="shared" ca="1" si="218"/>
        <v>0</v>
      </c>
      <c r="EJ117" s="1">
        <f t="shared" ca="1" si="218"/>
        <v>0</v>
      </c>
      <c r="EK117" s="1"/>
      <c r="EL117" s="1"/>
      <c r="EM117" s="8"/>
      <c r="EN117" s="309"/>
      <c r="EO117" s="310"/>
      <c r="EP117" s="345"/>
    </row>
    <row r="118" spans="1:146" ht="13.5" thickBot="1" x14ac:dyDescent="0.25">
      <c r="B118" s="1">
        <f ca="1">IF(ISNUMBER($A116),INDIRECT("System!" &amp; ADDRESS($A116 +1,COLUMN(System!Y115))),0)</f>
        <v>0</v>
      </c>
      <c r="C118" s="1">
        <f ca="1">IF(ISNUMBER($A116),INDIRECT("System!" &amp; ADDRESS($A116 +1,COLUMN(System!Z115))),0)</f>
        <v>0</v>
      </c>
      <c r="D118" s="1">
        <f ca="1">IF(ISNUMBER($A116),INDIRECT("System!" &amp; ADDRESS($A116 +1,COLUMN(System!AA115))),0)</f>
        <v>0</v>
      </c>
      <c r="E118" s="1">
        <f ca="1">IF(ISNUMBER($A116),INDIRECT("System!" &amp; ADDRESS($A116 +1,COLUMN(System!AB115))),0)</f>
        <v>0</v>
      </c>
      <c r="F118" s="1">
        <f ca="1">IF(ISNUMBER($A116),INDIRECT("System!" &amp; ADDRESS($A116 +1,COLUMN(System!AC115))),0)</f>
        <v>0</v>
      </c>
      <c r="G118" s="1">
        <f ca="1">IF(ISNUMBER($A116),INDIRECT("System!" &amp; ADDRESS($A116 +1,COLUMN(System!AD115))),0)</f>
        <v>0</v>
      </c>
      <c r="J118" s="9">
        <v>0</v>
      </c>
      <c r="K118" s="10">
        <f ca="1">IF(G116=1,-6*B116/D116^2,IF(G116="2a",0,IF(G116="2b",-3*B116/D116^2,0)))</f>
        <v>0</v>
      </c>
      <c r="L118" s="181">
        <f ca="1">IF(G116=1,4*B116/D116,IF(G116="2a",0,IF(G116="2b",3*B116/D116,0)))</f>
        <v>0</v>
      </c>
      <c r="M118" s="9">
        <v>0</v>
      </c>
      <c r="N118" s="10">
        <f ca="1">L120</f>
        <v>0</v>
      </c>
      <c r="O118" s="146">
        <f ca="1">L121</f>
        <v>0</v>
      </c>
      <c r="P118" s="143">
        <v>0</v>
      </c>
      <c r="Q118" s="99">
        <v>0</v>
      </c>
      <c r="R118" s="99">
        <v>1</v>
      </c>
      <c r="S118" s="101">
        <v>0</v>
      </c>
      <c r="T118" s="101">
        <v>0</v>
      </c>
      <c r="U118" s="110">
        <v>0</v>
      </c>
      <c r="V118" s="9">
        <f ca="1"/>
        <v>0</v>
      </c>
      <c r="W118" s="10">
        <f ca="1"/>
        <v>0</v>
      </c>
      <c r="X118" s="181">
        <f ca="1"/>
        <v>0</v>
      </c>
      <c r="Y118" s="9">
        <f ca="1"/>
        <v>0</v>
      </c>
      <c r="Z118" s="10">
        <f ca="1"/>
        <v>0</v>
      </c>
      <c r="AA118" s="146">
        <f ca="1"/>
        <v>0</v>
      </c>
      <c r="AB118" s="61">
        <f ca="1">IF(ISNUMBER($A116),INDIRECT("System!" &amp; ADDRESS(A116+1,COLUMN(System!U115))),0)</f>
        <v>0</v>
      </c>
      <c r="AC118" s="301">
        <f ca="1">IF(G116=1,-F116*D116^2/12,IF(G116="2a",0,IF(G116="2b",-F116*D116^2/8,0)))</f>
        <v>0</v>
      </c>
      <c r="AD118" s="61">
        <f ca="1"/>
        <v>0</v>
      </c>
      <c r="AE118" s="7">
        <f t="shared" ref="AE118:BR118" ca="1" si="219">IF(ABS($D118)=AE$1,SIGN($D118),0)</f>
        <v>0</v>
      </c>
      <c r="AF118" s="1">
        <f t="shared" ca="1" si="219"/>
        <v>0</v>
      </c>
      <c r="AG118" s="1">
        <f t="shared" ca="1" si="219"/>
        <v>0</v>
      </c>
      <c r="AH118" s="1">
        <f t="shared" ca="1" si="219"/>
        <v>0</v>
      </c>
      <c r="AI118" s="1">
        <f t="shared" ca="1" si="219"/>
        <v>0</v>
      </c>
      <c r="AJ118" s="26">
        <f t="shared" ca="1" si="219"/>
        <v>0</v>
      </c>
      <c r="AK118" s="26">
        <f t="shared" ca="1" si="219"/>
        <v>0</v>
      </c>
      <c r="AL118" s="26">
        <f t="shared" ca="1" si="219"/>
        <v>0</v>
      </c>
      <c r="AM118" s="26">
        <f t="shared" ca="1" si="219"/>
        <v>0</v>
      </c>
      <c r="AN118" s="26">
        <f t="shared" ca="1" si="219"/>
        <v>0</v>
      </c>
      <c r="AO118" s="26">
        <f t="shared" ca="1" si="219"/>
        <v>0</v>
      </c>
      <c r="AP118" s="26">
        <f t="shared" ca="1" si="219"/>
        <v>0</v>
      </c>
      <c r="AQ118" s="26">
        <f t="shared" ca="1" si="219"/>
        <v>0</v>
      </c>
      <c r="AR118" s="26">
        <f t="shared" ca="1" si="219"/>
        <v>0</v>
      </c>
      <c r="AS118" s="26">
        <f t="shared" ca="1" si="219"/>
        <v>0</v>
      </c>
      <c r="AT118" s="26">
        <f t="shared" ca="1" si="219"/>
        <v>0</v>
      </c>
      <c r="AU118" s="26">
        <f t="shared" ca="1" si="219"/>
        <v>0</v>
      </c>
      <c r="AV118" s="26">
        <f t="shared" ca="1" si="219"/>
        <v>0</v>
      </c>
      <c r="AW118" s="26">
        <f t="shared" ca="1" si="219"/>
        <v>0</v>
      </c>
      <c r="AX118" s="26">
        <f t="shared" ca="1" si="219"/>
        <v>0</v>
      </c>
      <c r="AY118" s="26">
        <f t="shared" ca="1" si="219"/>
        <v>0</v>
      </c>
      <c r="AZ118" s="26">
        <f t="shared" ca="1" si="219"/>
        <v>0</v>
      </c>
      <c r="BA118" s="26">
        <f t="shared" ca="1" si="219"/>
        <v>0</v>
      </c>
      <c r="BB118" s="26">
        <f t="shared" ca="1" si="219"/>
        <v>0</v>
      </c>
      <c r="BC118" s="26">
        <f t="shared" ca="1" si="219"/>
        <v>0</v>
      </c>
      <c r="BD118" s="26">
        <f t="shared" ca="1" si="219"/>
        <v>0</v>
      </c>
      <c r="BE118" s="26">
        <f t="shared" ca="1" si="219"/>
        <v>0</v>
      </c>
      <c r="BF118" s="26">
        <f t="shared" ca="1" si="219"/>
        <v>0</v>
      </c>
      <c r="BG118" s="26">
        <f t="shared" ca="1" si="219"/>
        <v>0</v>
      </c>
      <c r="BH118" s="26">
        <f t="shared" ca="1" si="219"/>
        <v>0</v>
      </c>
      <c r="BI118" s="26">
        <f t="shared" ca="1" si="219"/>
        <v>0</v>
      </c>
      <c r="BJ118" s="26">
        <f t="shared" ca="1" si="219"/>
        <v>0</v>
      </c>
      <c r="BK118" s="26">
        <f t="shared" ca="1" si="219"/>
        <v>0</v>
      </c>
      <c r="BL118" s="26">
        <f t="shared" ca="1" si="219"/>
        <v>0</v>
      </c>
      <c r="BM118" s="26">
        <f t="shared" ca="1" si="219"/>
        <v>0</v>
      </c>
      <c r="BN118" s="26">
        <f t="shared" ca="1" si="219"/>
        <v>0</v>
      </c>
      <c r="BO118" s="26">
        <f t="shared" ca="1" si="219"/>
        <v>0</v>
      </c>
      <c r="BP118" s="26">
        <f t="shared" ca="1" si="219"/>
        <v>0</v>
      </c>
      <c r="BQ118" s="26">
        <f t="shared" ca="1" si="219"/>
        <v>0</v>
      </c>
      <c r="BR118" s="26">
        <f t="shared" ca="1" si="219"/>
        <v>0</v>
      </c>
      <c r="BS118" s="282">
        <f ca="1">IF(ISNUMBER($A116),IF(INDEX(B118:G118,3)&lt;&gt;0,SIGN(INDEX(B118:G118,3))*INDIRECT(ADDRESS(1+ABS(INDEX(B118:G118,3)),COLUMN(Ksys!$B$1),1,TRUE,"Ksys")),0)+AB118,0)</f>
        <v>0</v>
      </c>
      <c r="BT118" s="61">
        <f ca="1"/>
        <v>0</v>
      </c>
      <c r="BU118" s="61">
        <f ca="1"/>
        <v>0</v>
      </c>
      <c r="BV118" s="61">
        <f ca="1"/>
        <v>0</v>
      </c>
      <c r="BW118" s="287" t="s">
        <v>96</v>
      </c>
      <c r="BX118" s="7">
        <f t="array" aca="1" ref="BX118:BX119" ca="1">IF(ISNUMBER($A116),MMULT(TRANSPOSE($P116:$Q117),BX116:BX117),0)</f>
        <v>0</v>
      </c>
      <c r="BY118" s="1">
        <f t="array" aca="1" ref="BY118:BY119" ca="1">IF(ISNUMBER($A116),MMULT(TRANSPOSE($P116:$Q117),BY116:BY117),0)</f>
        <v>0</v>
      </c>
      <c r="BZ118" s="1">
        <f t="array" aca="1" ref="BZ118:BZ119" ca="1">IF(ISNUMBER($A116),MMULT(TRANSPOSE($P116:$Q117),BZ116:BZ117),0)</f>
        <v>0</v>
      </c>
      <c r="CA118" s="1">
        <f t="array" aca="1" ref="CA118:CA119" ca="1">IF(ISNUMBER($A116),MMULT(TRANSPOSE($P116:$Q117),CA116:CA117),0)</f>
        <v>0</v>
      </c>
      <c r="CB118" s="1">
        <f t="array" aca="1" ref="CB118:CB119" ca="1">IF(ISNUMBER($A116),MMULT(TRANSPOSE($P116:$Q117),CB116:CB117),0)</f>
        <v>0</v>
      </c>
      <c r="CC118" s="1">
        <f t="array" aca="1" ref="CC118:CC119" ca="1">IF(ISNUMBER($A116),MMULT(TRANSPOSE($P116:$Q117),CC116:CC117),0)</f>
        <v>0</v>
      </c>
      <c r="CD118" s="1">
        <f t="array" aca="1" ref="CD118:CD119" ca="1">IF(ISNUMBER($A116),MMULT(TRANSPOSE($P116:$Q117),CD116:CD117),0)</f>
        <v>0</v>
      </c>
      <c r="CE118" s="1">
        <f t="array" aca="1" ref="CE118:CE119" ca="1">IF(ISNUMBER($A116),MMULT(TRANSPOSE($P116:$Q117),CE116:CE117),0)</f>
        <v>0</v>
      </c>
      <c r="CF118" s="1">
        <f t="array" aca="1" ref="CF118:CF119" ca="1">IF(ISNUMBER($A116),MMULT(TRANSPOSE($P116:$Q117),CF116:CF117),0)</f>
        <v>0</v>
      </c>
      <c r="CG118" s="1">
        <f t="array" aca="1" ref="CG118:CG119" ca="1">IF(ISNUMBER($A116),MMULT(TRANSPOSE($P116:$Q117),CG116:CG117),0)</f>
        <v>0</v>
      </c>
      <c r="CH118" s="8">
        <f t="array" aca="1" ref="CH118:CH119" ca="1">IF(ISNUMBER($A116),MMULT(TRANSPOSE($P116:$Q117),CH116:CH117),0)</f>
        <v>0</v>
      </c>
      <c r="CI118" s="345"/>
      <c r="CJ118" s="345"/>
      <c r="CK118" s="444">
        <f ca="1">MAX(MAX(BX118:CH119),ABS(MIN(BX118:CH119)))</f>
        <v>0</v>
      </c>
      <c r="CM118" s="291" t="s">
        <v>96</v>
      </c>
      <c r="CN118" s="7">
        <f t="array" aca="1" ref="CN118:CN119" ca="1">IF(ISNUMBER($A116),MMULT(TRANSPOSE($P116:$Q117),CN116:CN117),0)</f>
        <v>0</v>
      </c>
      <c r="CO118" s="1">
        <f t="array" aca="1" ref="CO118:CO119" ca="1">IF(ISNUMBER($A116),MMULT(TRANSPOSE($P116:$Q117),CO116:CO117),0)</f>
        <v>0</v>
      </c>
      <c r="CP118" s="1">
        <f t="array" aca="1" ref="CP118:CP119" ca="1">IF(ISNUMBER($A116),MMULT(TRANSPOSE($P116:$Q117),CP116:CP117),0)</f>
        <v>0</v>
      </c>
      <c r="CQ118" s="1">
        <f t="array" aca="1" ref="CQ118:CQ119" ca="1">IF(ISNUMBER($A116),MMULT(TRANSPOSE($P116:$Q117),CQ116:CQ117),0)</f>
        <v>0</v>
      </c>
      <c r="CR118" s="1">
        <f t="array" aca="1" ref="CR118:CR119" ca="1">IF(ISNUMBER($A116),MMULT(TRANSPOSE($P116:$Q117),CR116:CR117),0)</f>
        <v>0</v>
      </c>
      <c r="CS118" s="1">
        <f t="array" aca="1" ref="CS118:CS119" ca="1">IF(ISNUMBER($A116),MMULT(TRANSPOSE($P116:$Q117),CS116:CS117),0)</f>
        <v>0</v>
      </c>
      <c r="CT118" s="1">
        <f t="array" aca="1" ref="CT118:CT119" ca="1">IF(ISNUMBER($A116),MMULT(TRANSPOSE($P116:$Q117),CT116:CT117),0)</f>
        <v>0</v>
      </c>
      <c r="CU118" s="1">
        <f t="array" aca="1" ref="CU118:CU119" ca="1">IF(ISNUMBER($A116),MMULT(TRANSPOSE($P116:$Q117),CU116:CU117),0)</f>
        <v>0</v>
      </c>
      <c r="CV118" s="1">
        <f t="array" aca="1" ref="CV118:CV119" ca="1">IF(ISNUMBER($A116),MMULT(TRANSPOSE($P116:$Q117),CV116:CV117),0)</f>
        <v>0</v>
      </c>
      <c r="CW118" s="1">
        <f t="array" aca="1" ref="CW118:CW119" ca="1">IF(ISNUMBER($A116),MMULT(TRANSPOSE($P116:$Q117),CW116:CW117),0)</f>
        <v>0</v>
      </c>
      <c r="CX118" s="1">
        <f t="array" aca="1" ref="CX118:CX119" ca="1">IF(ISNUMBER($A116),MMULT(TRANSPOSE($P116:$Q117),CX116:CX117),0)</f>
        <v>0</v>
      </c>
      <c r="CY118" s="1"/>
      <c r="CZ118" s="1"/>
      <c r="DA118" s="26"/>
      <c r="DB118" s="309"/>
      <c r="DC118" s="310"/>
      <c r="DD118" s="345"/>
      <c r="DF118" s="291" t="s">
        <v>96</v>
      </c>
      <c r="DG118" s="7">
        <f t="array" aca="1" ref="DG118:DG119" ca="1">IF(ISNUMBER($A116),MMULT(TRANSPOSE($P116:$Q117),DG116:DG117),0)</f>
        <v>0</v>
      </c>
      <c r="DH118" s="1">
        <f t="array" aca="1" ref="DH118:DH119" ca="1">IF(ISNUMBER($A116),MMULT(TRANSPOSE($P116:$Q117),DH116:DH117),0)</f>
        <v>0</v>
      </c>
      <c r="DI118" s="1">
        <f t="array" aca="1" ref="DI118:DI119" ca="1">IF(ISNUMBER($A116),MMULT(TRANSPOSE($P116:$Q117),DI116:DI117),0)</f>
        <v>0</v>
      </c>
      <c r="DJ118" s="1">
        <f t="array" aca="1" ref="DJ118:DJ119" ca="1">IF(ISNUMBER($A116),MMULT(TRANSPOSE($P116:$Q117),DJ116:DJ117),0)</f>
        <v>0</v>
      </c>
      <c r="DK118" s="1">
        <f t="array" aca="1" ref="DK118:DK119" ca="1">IF(ISNUMBER($A116),MMULT(TRANSPOSE($P116:$Q117),DK116:DK117),0)</f>
        <v>0</v>
      </c>
      <c r="DL118" s="1">
        <f t="array" aca="1" ref="DL118:DL119" ca="1">IF(ISNUMBER($A116),MMULT(TRANSPOSE($P116:$Q117),DL116:DL117),0)</f>
        <v>0</v>
      </c>
      <c r="DM118" s="1">
        <f t="array" aca="1" ref="DM118:DM119" ca="1">IF(ISNUMBER($A116),MMULT(TRANSPOSE($P116:$Q117),DM116:DM117),0)</f>
        <v>0</v>
      </c>
      <c r="DN118" s="1">
        <f t="array" aca="1" ref="DN118:DN119" ca="1">IF(ISNUMBER($A116),MMULT(TRANSPOSE($P116:$Q117),DN116:DN117),0)</f>
        <v>0</v>
      </c>
      <c r="DO118" s="1">
        <f t="array" aca="1" ref="DO118:DO119" ca="1">IF(ISNUMBER($A116),MMULT(TRANSPOSE($P116:$Q117),DO116:DO117),0)</f>
        <v>0</v>
      </c>
      <c r="DP118" s="1">
        <f t="array" aca="1" ref="DP118:DP119" ca="1">IF(ISNUMBER($A116),MMULT(TRANSPOSE($P116:$Q117),DP116:DP117),0)</f>
        <v>0</v>
      </c>
      <c r="DQ118" s="1">
        <f t="array" aca="1" ref="DQ118:DQ119" ca="1">IF(ISNUMBER($A116),MMULT(TRANSPOSE($P116:$Q117),DQ116:DQ117),0)</f>
        <v>0</v>
      </c>
      <c r="DR118" s="1"/>
      <c r="DS118" s="1"/>
      <c r="DT118" s="8"/>
      <c r="DU118" s="12"/>
      <c r="DV118" s="310"/>
      <c r="DW118" s="345"/>
      <c r="DY118" s="291" t="s">
        <v>96</v>
      </c>
      <c r="DZ118" s="7">
        <f t="array" aca="1" ref="DZ118:DZ119" ca="1">IF(ISNUMBER($A116),MMULT(TRANSPOSE($P116:$Q117),DZ116:DZ117),0)</f>
        <v>0</v>
      </c>
      <c r="EA118" s="1">
        <f t="array" aca="1" ref="EA118:EA119" ca="1">IF(ISNUMBER($A116),MMULT(TRANSPOSE($P116:$Q117),EA116:EA117),0)</f>
        <v>0</v>
      </c>
      <c r="EB118" s="1">
        <f t="array" aca="1" ref="EB118:EB119" ca="1">IF(ISNUMBER($A116),MMULT(TRANSPOSE($P116:$Q117),EB116:EB117),0)</f>
        <v>0</v>
      </c>
      <c r="EC118" s="1">
        <f t="array" aca="1" ref="EC118:EC119" ca="1">IF(ISNUMBER($A116),MMULT(TRANSPOSE($P116:$Q117),EC116:EC117),0)</f>
        <v>0</v>
      </c>
      <c r="ED118" s="1">
        <f t="array" aca="1" ref="ED118:ED119" ca="1">IF(ISNUMBER($A116),MMULT(TRANSPOSE($P116:$Q117),ED116:ED117),0)</f>
        <v>0</v>
      </c>
      <c r="EE118" s="1">
        <f t="array" aca="1" ref="EE118:EE119" ca="1">IF(ISNUMBER($A116),MMULT(TRANSPOSE($P116:$Q117),EE116:EE117),0)</f>
        <v>0</v>
      </c>
      <c r="EF118" s="1">
        <f t="array" aca="1" ref="EF118:EF119" ca="1">IF(ISNUMBER($A116),MMULT(TRANSPOSE($P116:$Q117),EF116:EF117),0)</f>
        <v>0</v>
      </c>
      <c r="EG118" s="1">
        <f t="array" aca="1" ref="EG118:EG119" ca="1">IF(ISNUMBER($A116),MMULT(TRANSPOSE($P116:$Q117),EG116:EG117),0)</f>
        <v>0</v>
      </c>
      <c r="EH118" s="1">
        <f t="array" aca="1" ref="EH118:EH119" ca="1">IF(ISNUMBER($A116),MMULT(TRANSPOSE($P116:$Q117),EH116:EH117),0)</f>
        <v>0</v>
      </c>
      <c r="EI118" s="1">
        <f t="array" aca="1" ref="EI118:EI119" ca="1">IF(ISNUMBER($A116),MMULT(TRANSPOSE($P116:$Q117),EI116:EI117),0)</f>
        <v>0</v>
      </c>
      <c r="EJ118" s="1">
        <f t="array" aca="1" ref="EJ118:EJ119" ca="1">IF(ISNUMBER($A116),MMULT(TRANSPOSE($P116:$Q117),EJ116:EJ117),0)</f>
        <v>0</v>
      </c>
      <c r="EK118" s="1"/>
      <c r="EL118" s="1"/>
      <c r="EM118" s="8"/>
      <c r="EN118" s="309"/>
      <c r="EO118" s="310"/>
      <c r="EP118" s="345"/>
    </row>
    <row r="119" spans="1:146" x14ac:dyDescent="0.2">
      <c r="E119" s="12"/>
      <c r="F119" s="12"/>
      <c r="J119" s="4">
        <f ca="1">-J116</f>
        <v>0</v>
      </c>
      <c r="K119" s="5">
        <v>0</v>
      </c>
      <c r="L119" s="6">
        <v>0</v>
      </c>
      <c r="M119" s="179">
        <f ca="1">J116</f>
        <v>0</v>
      </c>
      <c r="N119" s="5">
        <v>0</v>
      </c>
      <c r="O119" s="6">
        <v>0</v>
      </c>
      <c r="P119" s="184">
        <v>0</v>
      </c>
      <c r="Q119" s="101">
        <v>0</v>
      </c>
      <c r="R119" s="101">
        <v>0</v>
      </c>
      <c r="S119" s="99">
        <f ca="1">I116</f>
        <v>0</v>
      </c>
      <c r="T119" s="99">
        <f ca="1">-H116</f>
        <v>0</v>
      </c>
      <c r="U119" s="100">
        <v>0</v>
      </c>
      <c r="V119" s="4">
        <f ca="1"/>
        <v>0</v>
      </c>
      <c r="W119" s="5">
        <f ca="1"/>
        <v>0</v>
      </c>
      <c r="X119" s="6">
        <f ca="1"/>
        <v>0</v>
      </c>
      <c r="Y119" s="179">
        <f ca="1"/>
        <v>0</v>
      </c>
      <c r="Z119" s="5">
        <f ca="1"/>
        <v>0</v>
      </c>
      <c r="AA119" s="6">
        <f ca="1"/>
        <v>0</v>
      </c>
      <c r="AB119" s="61">
        <f ca="1">IF(ISNUMBER($A116),INDIRECT("System!" &amp; ADDRESS(A116+1,COLUMN(System!V115))),0)</f>
        <v>0</v>
      </c>
      <c r="AC119" s="301">
        <f ca="1">IF(ISNUMBER(E116),E116*D116/2,0)</f>
        <v>0</v>
      </c>
      <c r="AD119" s="61">
        <f ca="1"/>
        <v>0</v>
      </c>
      <c r="AE119" s="7">
        <f t="shared" ref="AE119:BR119" ca="1" si="220">IF(ABS($E118)=AE$1,SIGN($E118),0)</f>
        <v>0</v>
      </c>
      <c r="AF119" s="1">
        <f t="shared" ca="1" si="220"/>
        <v>0</v>
      </c>
      <c r="AG119" s="1">
        <f t="shared" ca="1" si="220"/>
        <v>0</v>
      </c>
      <c r="AH119" s="1">
        <f t="shared" ca="1" si="220"/>
        <v>0</v>
      </c>
      <c r="AI119" s="1">
        <f t="shared" ca="1" si="220"/>
        <v>0</v>
      </c>
      <c r="AJ119" s="26">
        <f t="shared" ca="1" si="220"/>
        <v>0</v>
      </c>
      <c r="AK119" s="26">
        <f t="shared" ca="1" si="220"/>
        <v>0</v>
      </c>
      <c r="AL119" s="26">
        <f t="shared" ca="1" si="220"/>
        <v>0</v>
      </c>
      <c r="AM119" s="26">
        <f t="shared" ca="1" si="220"/>
        <v>0</v>
      </c>
      <c r="AN119" s="26">
        <f t="shared" ca="1" si="220"/>
        <v>0</v>
      </c>
      <c r="AO119" s="26">
        <f t="shared" ca="1" si="220"/>
        <v>0</v>
      </c>
      <c r="AP119" s="26">
        <f t="shared" ca="1" si="220"/>
        <v>0</v>
      </c>
      <c r="AQ119" s="26">
        <f t="shared" ca="1" si="220"/>
        <v>0</v>
      </c>
      <c r="AR119" s="26">
        <f t="shared" ca="1" si="220"/>
        <v>0</v>
      </c>
      <c r="AS119" s="26">
        <f t="shared" ca="1" si="220"/>
        <v>0</v>
      </c>
      <c r="AT119" s="26">
        <f t="shared" ca="1" si="220"/>
        <v>0</v>
      </c>
      <c r="AU119" s="26">
        <f t="shared" ca="1" si="220"/>
        <v>0</v>
      </c>
      <c r="AV119" s="26">
        <f t="shared" ca="1" si="220"/>
        <v>0</v>
      </c>
      <c r="AW119" s="26">
        <f t="shared" ca="1" si="220"/>
        <v>0</v>
      </c>
      <c r="AX119" s="26">
        <f t="shared" ca="1" si="220"/>
        <v>0</v>
      </c>
      <c r="AY119" s="26">
        <f t="shared" ca="1" si="220"/>
        <v>0</v>
      </c>
      <c r="AZ119" s="26">
        <f t="shared" ca="1" si="220"/>
        <v>0</v>
      </c>
      <c r="BA119" s="26">
        <f t="shared" ca="1" si="220"/>
        <v>0</v>
      </c>
      <c r="BB119" s="26">
        <f t="shared" ca="1" si="220"/>
        <v>0</v>
      </c>
      <c r="BC119" s="26">
        <f t="shared" ca="1" si="220"/>
        <v>0</v>
      </c>
      <c r="BD119" s="26">
        <f t="shared" ca="1" si="220"/>
        <v>0</v>
      </c>
      <c r="BE119" s="26">
        <f t="shared" ca="1" si="220"/>
        <v>0</v>
      </c>
      <c r="BF119" s="26">
        <f t="shared" ca="1" si="220"/>
        <v>0</v>
      </c>
      <c r="BG119" s="26">
        <f t="shared" ca="1" si="220"/>
        <v>0</v>
      </c>
      <c r="BH119" s="26">
        <f t="shared" ca="1" si="220"/>
        <v>0</v>
      </c>
      <c r="BI119" s="26">
        <f t="shared" ca="1" si="220"/>
        <v>0</v>
      </c>
      <c r="BJ119" s="26">
        <f t="shared" ca="1" si="220"/>
        <v>0</v>
      </c>
      <c r="BK119" s="26">
        <f t="shared" ca="1" si="220"/>
        <v>0</v>
      </c>
      <c r="BL119" s="26">
        <f t="shared" ca="1" si="220"/>
        <v>0</v>
      </c>
      <c r="BM119" s="26">
        <f t="shared" ca="1" si="220"/>
        <v>0</v>
      </c>
      <c r="BN119" s="26">
        <f t="shared" ca="1" si="220"/>
        <v>0</v>
      </c>
      <c r="BO119" s="26">
        <f t="shared" ca="1" si="220"/>
        <v>0</v>
      </c>
      <c r="BP119" s="26">
        <f t="shared" ca="1" si="220"/>
        <v>0</v>
      </c>
      <c r="BQ119" s="26">
        <f t="shared" ca="1" si="220"/>
        <v>0</v>
      </c>
      <c r="BR119" s="26">
        <f t="shared" ca="1" si="220"/>
        <v>0</v>
      </c>
      <c r="BS119" s="282">
        <f ca="1">IF(ISNUMBER($A116),IF(INDEX(B118:G118,4)&lt;&gt;0,SIGN(INDEX(B118:G118,4))*INDIRECT(ADDRESS(1+ABS(INDEX(B118:G118,4)),COLUMN(Ksys!$B$1),1,TRUE,"Ksys")),0)+AB119,0)</f>
        <v>0</v>
      </c>
      <c r="BT119" s="61">
        <f ca="1"/>
        <v>0</v>
      </c>
      <c r="BU119" s="61">
        <f ca="1"/>
        <v>0</v>
      </c>
      <c r="BV119" s="61">
        <f t="array" aca="1" ref="BV119:BV121" ca="1">MMULT(J119:O121,BT116:BT121)-AC119:AC121</f>
        <v>0</v>
      </c>
      <c r="BW119" s="288" t="s">
        <v>101</v>
      </c>
      <c r="BX119" s="7">
        <f ca="1"/>
        <v>0</v>
      </c>
      <c r="BY119" s="1">
        <f ca="1"/>
        <v>0</v>
      </c>
      <c r="BZ119" s="1">
        <f ca="1"/>
        <v>0</v>
      </c>
      <c r="CA119" s="1">
        <f ca="1"/>
        <v>0</v>
      </c>
      <c r="CB119" s="1">
        <f ca="1"/>
        <v>0</v>
      </c>
      <c r="CC119" s="1">
        <f ca="1"/>
        <v>0</v>
      </c>
      <c r="CD119" s="1">
        <f ca="1"/>
        <v>0</v>
      </c>
      <c r="CE119" s="1">
        <f ca="1"/>
        <v>0</v>
      </c>
      <c r="CF119" s="1">
        <f ca="1"/>
        <v>0</v>
      </c>
      <c r="CG119" s="1">
        <f ca="1"/>
        <v>0</v>
      </c>
      <c r="CH119" s="8">
        <f ca="1"/>
        <v>0</v>
      </c>
      <c r="CI119" s="344" t="s">
        <v>1</v>
      </c>
      <c r="CJ119" s="344" t="s">
        <v>111</v>
      </c>
      <c r="CK119" s="310"/>
      <c r="CM119" s="292" t="s">
        <v>101</v>
      </c>
      <c r="CN119" s="7">
        <f ca="1"/>
        <v>0</v>
      </c>
      <c r="CO119" s="1">
        <f ca="1"/>
        <v>0</v>
      </c>
      <c r="CP119" s="1">
        <f ca="1"/>
        <v>0</v>
      </c>
      <c r="CQ119" s="1">
        <f ca="1"/>
        <v>0</v>
      </c>
      <c r="CR119" s="1">
        <f ca="1"/>
        <v>0</v>
      </c>
      <c r="CS119" s="1">
        <f ca="1"/>
        <v>0</v>
      </c>
      <c r="CT119" s="1">
        <f ca="1"/>
        <v>0</v>
      </c>
      <c r="CU119" s="1">
        <f ca="1"/>
        <v>0</v>
      </c>
      <c r="CV119" s="1">
        <f ca="1"/>
        <v>0</v>
      </c>
      <c r="CW119" s="1">
        <f ca="1"/>
        <v>0</v>
      </c>
      <c r="CX119" s="1">
        <f ca="1"/>
        <v>0</v>
      </c>
      <c r="CY119" s="1"/>
      <c r="CZ119" s="1"/>
      <c r="DA119" s="26"/>
      <c r="DB119" s="311" t="s">
        <v>1</v>
      </c>
      <c r="DC119" s="312" t="s">
        <v>111</v>
      </c>
      <c r="DD119" s="61">
        <f ca="1">MAX(MAX(CN118:CX119),ABS(MIN(CN118:CX119)))</f>
        <v>0</v>
      </c>
      <c r="DF119" s="292" t="s">
        <v>101</v>
      </c>
      <c r="DG119" s="7">
        <f ca="1"/>
        <v>0</v>
      </c>
      <c r="DH119" s="1">
        <f ca="1"/>
        <v>0</v>
      </c>
      <c r="DI119" s="1">
        <f ca="1"/>
        <v>0</v>
      </c>
      <c r="DJ119" s="1">
        <f ca="1"/>
        <v>0</v>
      </c>
      <c r="DK119" s="1">
        <f ca="1"/>
        <v>0</v>
      </c>
      <c r="DL119" s="1">
        <f ca="1"/>
        <v>0</v>
      </c>
      <c r="DM119" s="1">
        <f ca="1"/>
        <v>0</v>
      </c>
      <c r="DN119" s="1">
        <f ca="1"/>
        <v>0</v>
      </c>
      <c r="DO119" s="1">
        <f ca="1"/>
        <v>0</v>
      </c>
      <c r="DP119" s="1">
        <f ca="1"/>
        <v>0</v>
      </c>
      <c r="DQ119" s="1">
        <f ca="1"/>
        <v>0</v>
      </c>
      <c r="DR119" s="1"/>
      <c r="DS119" s="1"/>
      <c r="DT119" s="8"/>
      <c r="DU119" s="314" t="s">
        <v>1</v>
      </c>
      <c r="DV119" s="312" t="s">
        <v>111</v>
      </c>
      <c r="DW119" s="349">
        <f ca="1">MAX(MAX(DG118:DQ119),ABS(MIN(DG118:DQ119)))</f>
        <v>0</v>
      </c>
      <c r="DY119" s="292" t="s">
        <v>101</v>
      </c>
      <c r="DZ119" s="7">
        <f ca="1"/>
        <v>0</v>
      </c>
      <c r="EA119" s="1">
        <f ca="1"/>
        <v>0</v>
      </c>
      <c r="EB119" s="1">
        <f ca="1"/>
        <v>0</v>
      </c>
      <c r="EC119" s="1">
        <f ca="1"/>
        <v>0</v>
      </c>
      <c r="ED119" s="1">
        <f ca="1"/>
        <v>0</v>
      </c>
      <c r="EE119" s="1">
        <f ca="1"/>
        <v>0</v>
      </c>
      <c r="EF119" s="1">
        <f ca="1"/>
        <v>0</v>
      </c>
      <c r="EG119" s="1">
        <f ca="1"/>
        <v>0</v>
      </c>
      <c r="EH119" s="1">
        <f ca="1"/>
        <v>0</v>
      </c>
      <c r="EI119" s="1">
        <f ca="1"/>
        <v>0</v>
      </c>
      <c r="EJ119" s="1">
        <f ca="1"/>
        <v>0</v>
      </c>
      <c r="EK119" s="1"/>
      <c r="EL119" s="1"/>
      <c r="EM119" s="8"/>
      <c r="EN119" s="311" t="s">
        <v>1</v>
      </c>
      <c r="EO119" s="312" t="s">
        <v>111</v>
      </c>
      <c r="EP119" s="61">
        <f ca="1">MAX(MAX(DZ118:EJ119),ABS(MIN(DZ118:EJ119)))</f>
        <v>0</v>
      </c>
    </row>
    <row r="120" spans="1:146" x14ac:dyDescent="0.2">
      <c r="E120" s="1" t="str">
        <f ca="1">IF(ISNUMBER(A116),"" &amp; ADDRESS(ROW(A116),COLUMN($AD$1)) &amp; ":" &amp; ADDRESS(ROW(A121),COLUMN($AD$1)) &amp; "","")</f>
        <v/>
      </c>
      <c r="F120" s="1" t="str">
        <f ca="1">IF(ISNUMBER(A116),"" &amp; ADDRESS(ROW(A116),COLUMN($V$1)) &amp; ":" &amp; ADDRESS(ROW(A121),COLUMN($AA$1)) &amp; "","")</f>
        <v/>
      </c>
      <c r="G120" s="1" t="str">
        <f ca="1">IF(ISNUMBER(A116),"" &amp; ADDRESS(ROW(A116),COLUMN($AE$1)) &amp; ":" &amp; ADDRESS(ROW(A121),COLUMN($AD$1)+$C$6) &amp; "","")</f>
        <v/>
      </c>
      <c r="J120" s="7">
        <v>0</v>
      </c>
      <c r="K120" s="1">
        <f ca="1">-K117</f>
        <v>0</v>
      </c>
      <c r="L120" s="8">
        <f ca="1">IF(G116=1,6*B116/D116^2,IF(G116="2a",0,IF(G116="2b",3*B116/D116^2,0)))</f>
        <v>0</v>
      </c>
      <c r="M120" s="7">
        <v>0</v>
      </c>
      <c r="N120" s="180">
        <f ca="1">K117</f>
        <v>0</v>
      </c>
      <c r="O120" s="8">
        <f ca="1">N121</f>
        <v>0</v>
      </c>
      <c r="P120" s="184">
        <v>0</v>
      </c>
      <c r="Q120" s="101">
        <v>0</v>
      </c>
      <c r="R120" s="101">
        <v>0</v>
      </c>
      <c r="S120" s="99">
        <f ca="1">H116</f>
        <v>0</v>
      </c>
      <c r="T120" s="99">
        <f ca="1">I116</f>
        <v>0</v>
      </c>
      <c r="U120" s="100">
        <v>0</v>
      </c>
      <c r="V120" s="7">
        <f ca="1"/>
        <v>0</v>
      </c>
      <c r="W120" s="1">
        <f ca="1"/>
        <v>0</v>
      </c>
      <c r="X120" s="8">
        <f ca="1"/>
        <v>0</v>
      </c>
      <c r="Y120" s="7">
        <f ca="1"/>
        <v>0</v>
      </c>
      <c r="Z120" s="180">
        <f ca="1"/>
        <v>0</v>
      </c>
      <c r="AA120" s="8">
        <f ca="1"/>
        <v>0</v>
      </c>
      <c r="AB120" s="61">
        <f ca="1">IF(ISNUMBER($A116),INDIRECT("System!" &amp; ADDRESS(A116+1,COLUMN(System!W115))),0)</f>
        <v>0</v>
      </c>
      <c r="AC120" s="301">
        <f ca="1">IF(G116=1,F116*D116/2,IF(G116="2a",F116*5/8*D116,IF(G116="2b",F116*3/8*D116,0)))</f>
        <v>0</v>
      </c>
      <c r="AD120" s="61">
        <f ca="1"/>
        <v>0</v>
      </c>
      <c r="AE120" s="7">
        <f t="shared" ref="AE120:BR120" ca="1" si="221">IF(ABS($F118)=AE$1,SIGN($F118),0)</f>
        <v>0</v>
      </c>
      <c r="AF120" s="1">
        <f t="shared" ca="1" si="221"/>
        <v>0</v>
      </c>
      <c r="AG120" s="1">
        <f t="shared" ca="1" si="221"/>
        <v>0</v>
      </c>
      <c r="AH120" s="1">
        <f t="shared" ca="1" si="221"/>
        <v>0</v>
      </c>
      <c r="AI120" s="1">
        <f t="shared" ca="1" si="221"/>
        <v>0</v>
      </c>
      <c r="AJ120" s="26">
        <f t="shared" ca="1" si="221"/>
        <v>0</v>
      </c>
      <c r="AK120" s="26">
        <f t="shared" ca="1" si="221"/>
        <v>0</v>
      </c>
      <c r="AL120" s="26">
        <f t="shared" ca="1" si="221"/>
        <v>0</v>
      </c>
      <c r="AM120" s="26">
        <f t="shared" ca="1" si="221"/>
        <v>0</v>
      </c>
      <c r="AN120" s="26">
        <f t="shared" ca="1" si="221"/>
        <v>0</v>
      </c>
      <c r="AO120" s="26">
        <f t="shared" ca="1" si="221"/>
        <v>0</v>
      </c>
      <c r="AP120" s="26">
        <f t="shared" ca="1" si="221"/>
        <v>0</v>
      </c>
      <c r="AQ120" s="26">
        <f t="shared" ca="1" si="221"/>
        <v>0</v>
      </c>
      <c r="AR120" s="26">
        <f t="shared" ca="1" si="221"/>
        <v>0</v>
      </c>
      <c r="AS120" s="26">
        <f t="shared" ca="1" si="221"/>
        <v>0</v>
      </c>
      <c r="AT120" s="26">
        <f t="shared" ca="1" si="221"/>
        <v>0</v>
      </c>
      <c r="AU120" s="26">
        <f t="shared" ca="1" si="221"/>
        <v>0</v>
      </c>
      <c r="AV120" s="26">
        <f t="shared" ca="1" si="221"/>
        <v>0</v>
      </c>
      <c r="AW120" s="26">
        <f t="shared" ca="1" si="221"/>
        <v>0</v>
      </c>
      <c r="AX120" s="26">
        <f t="shared" ca="1" si="221"/>
        <v>0</v>
      </c>
      <c r="AY120" s="26">
        <f t="shared" ca="1" si="221"/>
        <v>0</v>
      </c>
      <c r="AZ120" s="26">
        <f t="shared" ca="1" si="221"/>
        <v>0</v>
      </c>
      <c r="BA120" s="26">
        <f t="shared" ca="1" si="221"/>
        <v>0</v>
      </c>
      <c r="BB120" s="26">
        <f t="shared" ca="1" si="221"/>
        <v>0</v>
      </c>
      <c r="BC120" s="26">
        <f t="shared" ca="1" si="221"/>
        <v>0</v>
      </c>
      <c r="BD120" s="26">
        <f t="shared" ca="1" si="221"/>
        <v>0</v>
      </c>
      <c r="BE120" s="26">
        <f t="shared" ca="1" si="221"/>
        <v>0</v>
      </c>
      <c r="BF120" s="26">
        <f t="shared" ca="1" si="221"/>
        <v>0</v>
      </c>
      <c r="BG120" s="26">
        <f t="shared" ca="1" si="221"/>
        <v>0</v>
      </c>
      <c r="BH120" s="26">
        <f t="shared" ca="1" si="221"/>
        <v>0</v>
      </c>
      <c r="BI120" s="26">
        <f t="shared" ca="1" si="221"/>
        <v>0</v>
      </c>
      <c r="BJ120" s="26">
        <f t="shared" ca="1" si="221"/>
        <v>0</v>
      </c>
      <c r="BK120" s="26">
        <f t="shared" ca="1" si="221"/>
        <v>0</v>
      </c>
      <c r="BL120" s="26">
        <f t="shared" ca="1" si="221"/>
        <v>0</v>
      </c>
      <c r="BM120" s="26">
        <f t="shared" ca="1" si="221"/>
        <v>0</v>
      </c>
      <c r="BN120" s="26">
        <f t="shared" ca="1" si="221"/>
        <v>0</v>
      </c>
      <c r="BO120" s="26">
        <f t="shared" ca="1" si="221"/>
        <v>0</v>
      </c>
      <c r="BP120" s="26">
        <f t="shared" ca="1" si="221"/>
        <v>0</v>
      </c>
      <c r="BQ120" s="26">
        <f t="shared" ca="1" si="221"/>
        <v>0</v>
      </c>
      <c r="BR120" s="26">
        <f t="shared" ca="1" si="221"/>
        <v>0</v>
      </c>
      <c r="BS120" s="282">
        <f ca="1">IF(ISNUMBER($A116),IF(INDEX(B118:G118,5)&lt;&gt;0,SIGN(INDEX(B118:G118,5))*INDIRECT(ADDRESS(1+ABS(INDEX(B118:G118,5)),COLUMN(Ksys!$B$1),1,TRUE,"Ksys")),0)+AB120,0)</f>
        <v>0</v>
      </c>
      <c r="BT120" s="61">
        <f ca="1"/>
        <v>0</v>
      </c>
      <c r="BU120" s="61">
        <f ca="1"/>
        <v>0</v>
      </c>
      <c r="BV120" s="61">
        <f ca="1"/>
        <v>0</v>
      </c>
      <c r="BW120" s="296" t="s">
        <v>102</v>
      </c>
      <c r="BX120" s="216">
        <f ca="1">IF(ISNUMBER($A116),$B117*(1-BX$1) + $C117*BX$1 + Knoten!$S$5*BX118,KnotenData!$H$2)</f>
        <v>0.5</v>
      </c>
      <c r="BY120" s="206">
        <f ca="1">IF(ISNUMBER($A116),$B117*(1-BY$1) + $C117*BY$1 + Knoten!$S$5*BY118,KnotenData!$H$2)</f>
        <v>0.5</v>
      </c>
      <c r="BZ120" s="206">
        <f ca="1">IF(ISNUMBER($A116),$B117*(1-BZ$1) + $C117*BZ$1 + Knoten!$S$5*BZ118,KnotenData!$H$2)</f>
        <v>0.5</v>
      </c>
      <c r="CA120" s="206">
        <f ca="1">IF(ISNUMBER($A116),$B117*(1-CA$1) + $C117*CA$1 + Knoten!$S$5*CA118,KnotenData!$H$2)</f>
        <v>0.5</v>
      </c>
      <c r="CB120" s="206">
        <f ca="1">IF(ISNUMBER($A116),$B117*(1-CB$1) + $C117*CB$1 + Knoten!$S$5*CB118,KnotenData!$H$2)</f>
        <v>0.5</v>
      </c>
      <c r="CC120" s="206">
        <f ca="1">IF(ISNUMBER($A116),$B117*(1-CC$1) + $C117*CC$1 + Knoten!$S$5*CC118,KnotenData!$H$2)</f>
        <v>0.5</v>
      </c>
      <c r="CD120" s="206">
        <f ca="1">IF(ISNUMBER($A116),$B117*(1-CD$1) + $C117*CD$1 + Knoten!$S$5*CD118,KnotenData!$H$2)</f>
        <v>0.5</v>
      </c>
      <c r="CE120" s="206">
        <f ca="1">IF(ISNUMBER($A116),$B117*(1-CE$1) + $C117*CE$1 + Knoten!$S$5*CE118,KnotenData!$H$2)</f>
        <v>0.5</v>
      </c>
      <c r="CF120" s="206">
        <f ca="1">IF(ISNUMBER($A116),$B117*(1-CF$1) + $C117*CF$1 + Knoten!$S$5*CF118,KnotenData!$H$2)</f>
        <v>0.5</v>
      </c>
      <c r="CG120" s="206">
        <f ca="1">IF(ISNUMBER($A116),$B117*(1-CG$1) + $C117*CG$1 + Knoten!$S$5*CG118,KnotenData!$H$2)</f>
        <v>0.5</v>
      </c>
      <c r="CH120" s="217">
        <f ca="1">IF(ISNUMBER($A116),$B117*(1-CH$1) + $C117*CH$1 + Knoten!$S$5*CH118,KnotenData!$H$2)</f>
        <v>0.5</v>
      </c>
      <c r="CI120" s="447">
        <f ca="1">MIN(BX120:CH120)</f>
        <v>0.5</v>
      </c>
      <c r="CJ120" s="447">
        <f ca="1">MIN(BX121:CH121)</f>
        <v>0.47499999999999998</v>
      </c>
      <c r="CK120" s="445"/>
      <c r="CM120" s="293" t="s">
        <v>102</v>
      </c>
      <c r="CN120" s="216">
        <f ca="1">IF(ISNUMBER($A116),$B117*(1-CN$1) + $C117*CN$1 + Momente!$D$6*CN118,KnotenData!$H$2)</f>
        <v>0.5</v>
      </c>
      <c r="CO120" s="206">
        <f ca="1">IF(ISNUMBER($A116),$B117*(1-CO$1) + $C117*CO$1 + Momente!$D$6*CO118,KnotenData!$H$2)</f>
        <v>0.5</v>
      </c>
      <c r="CP120" s="206">
        <f ca="1">IF(ISNUMBER($A116),$B117*(1-CP$1) + $C117*CP$1 + Momente!$D$6*CP118,KnotenData!$H$2)</f>
        <v>0.5</v>
      </c>
      <c r="CQ120" s="206">
        <f ca="1">IF(ISNUMBER($A116),$B117*(1-CQ$1) + $C117*CQ$1 + Momente!$D$6*CQ118,KnotenData!$H$2)</f>
        <v>0.5</v>
      </c>
      <c r="CR120" s="206">
        <f ca="1">IF(ISNUMBER($A116),$B117*(1-CR$1) + $C117*CR$1 + Momente!$D$6*CR118,KnotenData!$H$2)</f>
        <v>0.5</v>
      </c>
      <c r="CS120" s="206">
        <f ca="1">IF(ISNUMBER($A116),$B117*(1-CS$1) + $C117*CS$1 + Momente!$D$6*CS118,KnotenData!$H$2)</f>
        <v>0.5</v>
      </c>
      <c r="CT120" s="206">
        <f ca="1">IF(ISNUMBER($A116),$B117*(1-CT$1) + $C117*CT$1 + Momente!$D$6*CT118,KnotenData!$H$2)</f>
        <v>0.5</v>
      </c>
      <c r="CU120" s="206">
        <f ca="1">IF(ISNUMBER($A116),$B117*(1-CU$1) + $C117*CU$1 + Momente!$D$6*CU118,KnotenData!$H$2)</f>
        <v>0.5</v>
      </c>
      <c r="CV120" s="206">
        <f ca="1">IF(ISNUMBER($A116),$B117*(1-CV$1) + $C117*CV$1 + Momente!$D$6*CV118,KnotenData!$H$2)</f>
        <v>0.5</v>
      </c>
      <c r="CW120" s="206">
        <f ca="1">IF(ISNUMBER($A116),$B117*(1-CW$1) + $C117*CW$1 + Momente!$D$6*CW118,KnotenData!$H$2)</f>
        <v>0.5</v>
      </c>
      <c r="CX120" s="206">
        <f ca="1">IF(ISNUMBER($A116),$B117*(1-CX$1) + $C117*CX$1 + Momente!$D$6*CX118,KnotenData!$H$2)</f>
        <v>0.5</v>
      </c>
      <c r="CY120" s="206">
        <f ca="1">IF(ISNUMBER($A116),$C117,KnotenData!$H$2)</f>
        <v>0.5</v>
      </c>
      <c r="CZ120" s="206">
        <f ca="1">IF(ISNUMBER($A116),$B117,KnotenData!$H$2)</f>
        <v>0.5</v>
      </c>
      <c r="DA120" s="305">
        <f ca="1">IF(ISNUMBER($A116),CN120,KnotenData!$H$2)</f>
        <v>0.5</v>
      </c>
      <c r="DB120" s="7">
        <f ca="1">MIN(CN120:DA120)</f>
        <v>0.5</v>
      </c>
      <c r="DC120" s="8">
        <f ca="1">MIN(CN121:DA121)</f>
        <v>0.47499999999999998</v>
      </c>
      <c r="DD120" s="345"/>
      <c r="DF120" s="293" t="s">
        <v>102</v>
      </c>
      <c r="DG120" s="216">
        <f ca="1">IF(ISNUMBER($A116),$B117*(1-DG$1) + $C117*DG$1 + Querkräfte!$D$6*DG118,KnotenData!$H$2)</f>
        <v>0.5</v>
      </c>
      <c r="DH120" s="206">
        <f ca="1">IF(ISNUMBER($A116),$B117*(1-DH$1) + $C117*DH$1 + Querkräfte!$D$6*DH118,KnotenData!$H$2)</f>
        <v>0.5</v>
      </c>
      <c r="DI120" s="206">
        <f ca="1">IF(ISNUMBER($A116),$B117*(1-DI$1) + $C117*DI$1 + Querkräfte!$D$6*DI118,KnotenData!$H$2)</f>
        <v>0.5</v>
      </c>
      <c r="DJ120" s="206">
        <f ca="1">IF(ISNUMBER($A116),$B117*(1-DJ$1) + $C117*DJ$1 + Querkräfte!$D$6*DJ118,KnotenData!$H$2)</f>
        <v>0.5</v>
      </c>
      <c r="DK120" s="206">
        <f ca="1">IF(ISNUMBER($A116),$B117*(1-DK$1) + $C117*DK$1 + Querkräfte!$D$6*DK118,KnotenData!$H$2)</f>
        <v>0.5</v>
      </c>
      <c r="DL120" s="206">
        <f ca="1">IF(ISNUMBER($A116),$B117*(1-DL$1) + $C117*DL$1 + Querkräfte!$D$6*DL118,KnotenData!$H$2)</f>
        <v>0.5</v>
      </c>
      <c r="DM120" s="206">
        <f ca="1">IF(ISNUMBER($A116),$B117*(1-DM$1) + $C117*DM$1 + Querkräfte!$D$6*DM118,KnotenData!$H$2)</f>
        <v>0.5</v>
      </c>
      <c r="DN120" s="206">
        <f ca="1">IF(ISNUMBER($A116),$B117*(1-DN$1) + $C117*DN$1 + Querkräfte!$D$6*DN118,KnotenData!$H$2)</f>
        <v>0.5</v>
      </c>
      <c r="DO120" s="206">
        <f ca="1">IF(ISNUMBER($A116),$B117*(1-DO$1) + $C117*DO$1 + Querkräfte!$D$6*DO118,KnotenData!$H$2)</f>
        <v>0.5</v>
      </c>
      <c r="DP120" s="206">
        <f ca="1">IF(ISNUMBER($A116),$B117*(1-DP$1) + $C117*DP$1 + Querkräfte!$D$6*DP118,KnotenData!$H$2)</f>
        <v>0.5</v>
      </c>
      <c r="DQ120" s="206">
        <f ca="1">IF(ISNUMBER($A116),$B117*(1-DQ$1) + $C117*DQ$1 + Querkräfte!$D$6*DQ118,KnotenData!$H$2)</f>
        <v>0.5</v>
      </c>
      <c r="DR120" s="206">
        <f ca="1">IF(ISNUMBER($A116),$C117,KnotenData!$H$2)</f>
        <v>0.5</v>
      </c>
      <c r="DS120" s="206">
        <f ca="1">IF(ISNUMBER($A116),$B117,KnotenData!$H$2)</f>
        <v>0.5</v>
      </c>
      <c r="DT120" s="217">
        <f ca="1">IF(ISNUMBER($A116),DG120,KnotenData!$H$2)</f>
        <v>0.5</v>
      </c>
      <c r="DU120" s="145">
        <f ca="1">MIN(DG120:DQ120)</f>
        <v>0.5</v>
      </c>
      <c r="DV120" s="8">
        <f ca="1">MIN(DG121:DQ121)</f>
        <v>0.47499999999999998</v>
      </c>
      <c r="DW120" s="345"/>
      <c r="DY120" s="293" t="s">
        <v>102</v>
      </c>
      <c r="DZ120" s="216">
        <f ca="1">IF(ISNUMBER($A116),$B117*(1-DZ$1) + $C117*DZ$1 + Normalkräfte!$D$6*DZ118,KnotenData!$H$2)</f>
        <v>0.5</v>
      </c>
      <c r="EA120" s="206">
        <f ca="1">IF(ISNUMBER($A116),$B117*(1-EA$1) + $C117*EA$1 + Normalkräfte!$D$6*EA118,KnotenData!$H$2)</f>
        <v>0.5</v>
      </c>
      <c r="EB120" s="206">
        <f ca="1">IF(ISNUMBER($A116),$B117*(1-EB$1) + $C117*EB$1 + Normalkräfte!$D$6*EB118,KnotenData!$H$2)</f>
        <v>0.5</v>
      </c>
      <c r="EC120" s="206">
        <f ca="1">IF(ISNUMBER($A116),$B117*(1-EC$1) + $C117*EC$1 + Normalkräfte!$D$6*EC118,KnotenData!$H$2)</f>
        <v>0.5</v>
      </c>
      <c r="ED120" s="206">
        <f ca="1">IF(ISNUMBER($A116),$B117*(1-ED$1) + $C117*ED$1 + Normalkräfte!$D$6*ED118,KnotenData!$H$2)</f>
        <v>0.5</v>
      </c>
      <c r="EE120" s="206">
        <f ca="1">IF(ISNUMBER($A116),$B117*(1-EE$1) + $C117*EE$1 + Normalkräfte!$D$6*EE118,KnotenData!$H$2)</f>
        <v>0.5</v>
      </c>
      <c r="EF120" s="206">
        <f ca="1">IF(ISNUMBER($A116),$B117*(1-EF$1) + $C117*EF$1 + Normalkräfte!$D$6*EF118,KnotenData!$H$2)</f>
        <v>0.5</v>
      </c>
      <c r="EG120" s="206">
        <f ca="1">IF(ISNUMBER($A116),$B117*(1-EG$1) + $C117*EG$1 + Normalkräfte!$D$6*EG118,KnotenData!$H$2)</f>
        <v>0.5</v>
      </c>
      <c r="EH120" s="206">
        <f ca="1">IF(ISNUMBER($A116),$B117*(1-EH$1) + $C117*EH$1 + Normalkräfte!$D$6*EH118,KnotenData!$H$2)</f>
        <v>0.5</v>
      </c>
      <c r="EI120" s="206">
        <f ca="1">IF(ISNUMBER($A116),$B117*(1-EI$1) + $C117*EI$1 + Normalkräfte!$D$6*EI118,KnotenData!$H$2)</f>
        <v>0.5</v>
      </c>
      <c r="EJ120" s="206">
        <f ca="1">IF(ISNUMBER($A116),$B117*(1-EJ$1) + $C117*EJ$1 + Normalkräfte!$D$6*EJ118,KnotenData!$H$2)</f>
        <v>0.5</v>
      </c>
      <c r="EK120" s="256">
        <f ca="1">IF(ISNUMBER($A116),$C117,KnotenData!$H$2)</f>
        <v>0.5</v>
      </c>
      <c r="EL120" s="206">
        <f ca="1">IF(ISNUMBER($A116),$B117,KnotenData!$H$2)</f>
        <v>0.5</v>
      </c>
      <c r="EM120" s="217">
        <f ca="1">IF(ISNUMBER($A116),DZ120,KnotenData!$H$2)</f>
        <v>0.5</v>
      </c>
      <c r="EN120" s="7">
        <f ca="1">MIN(DZ120:EJ120)</f>
        <v>0.5</v>
      </c>
      <c r="EO120" s="8">
        <f ca="1">MIN(DZ121:EJ121)</f>
        <v>0.47499999999999998</v>
      </c>
      <c r="EP120" s="345"/>
    </row>
    <row r="121" spans="1:146" ht="13.5" thickBot="1" x14ac:dyDescent="0.25">
      <c r="E121" s="12"/>
      <c r="F121" s="12"/>
      <c r="J121" s="9">
        <v>0</v>
      </c>
      <c r="K121" s="10">
        <f ca="1">IF(G116=1,-6*B116/D116^2,IF(G116="2a",-3*B116/D116^2,IF(G116="2b",0,0)))</f>
        <v>0</v>
      </c>
      <c r="L121" s="146">
        <f ca="1">IF(G116=1,2*B116/D116,IF(G116="2a",0,IF(G116="2b",0,0)))</f>
        <v>0</v>
      </c>
      <c r="M121" s="9">
        <v>0</v>
      </c>
      <c r="N121" s="10">
        <f ca="1">-K121</f>
        <v>0</v>
      </c>
      <c r="O121" s="181">
        <f ca="1">IF(G116=1,4*B116/D116,IF(G116="2a",3*B116/D116,IF(G116="2b",0,0)))</f>
        <v>0</v>
      </c>
      <c r="P121" s="185">
        <v>0</v>
      </c>
      <c r="Q121" s="103">
        <v>0</v>
      </c>
      <c r="R121" s="103">
        <v>0</v>
      </c>
      <c r="S121" s="111">
        <v>0</v>
      </c>
      <c r="T121" s="111">
        <v>0</v>
      </c>
      <c r="U121" s="112">
        <v>1</v>
      </c>
      <c r="V121" s="9">
        <f ca="1"/>
        <v>0</v>
      </c>
      <c r="W121" s="10">
        <f ca="1"/>
        <v>0</v>
      </c>
      <c r="X121" s="146">
        <f ca="1"/>
        <v>0</v>
      </c>
      <c r="Y121" s="9">
        <f ca="1"/>
        <v>0</v>
      </c>
      <c r="Z121" s="10">
        <f ca="1"/>
        <v>0</v>
      </c>
      <c r="AA121" s="181">
        <f ca="1"/>
        <v>0</v>
      </c>
      <c r="AB121" s="62">
        <f ca="1">IF(ISNUMBER($A116),INDIRECT("System!" &amp; ADDRESS(A116+1,COLUMN(System!X115))),0)</f>
        <v>0</v>
      </c>
      <c r="AC121" s="302">
        <f ca="1">IF(G116=1,F116*D116^2/12,IF(G116="2a",F116*D116^2/8,IF(G116="2b",0,0)))</f>
        <v>0</v>
      </c>
      <c r="AD121" s="62">
        <f ca="1"/>
        <v>0</v>
      </c>
      <c r="AE121" s="9">
        <f t="shared" ref="AE121:BR121" ca="1" si="222">IF(ABS($G118)=AE$1,SIGN($G118),0)</f>
        <v>0</v>
      </c>
      <c r="AF121" s="10">
        <f t="shared" ca="1" si="222"/>
        <v>0</v>
      </c>
      <c r="AG121" s="10">
        <f t="shared" ca="1" si="222"/>
        <v>0</v>
      </c>
      <c r="AH121" s="10">
        <f t="shared" ca="1" si="222"/>
        <v>0</v>
      </c>
      <c r="AI121" s="10">
        <f t="shared" ca="1" si="222"/>
        <v>0</v>
      </c>
      <c r="AJ121" s="188">
        <f t="shared" ca="1" si="222"/>
        <v>0</v>
      </c>
      <c r="AK121" s="188">
        <f t="shared" ca="1" si="222"/>
        <v>0</v>
      </c>
      <c r="AL121" s="188">
        <f t="shared" ca="1" si="222"/>
        <v>0</v>
      </c>
      <c r="AM121" s="188">
        <f t="shared" ca="1" si="222"/>
        <v>0</v>
      </c>
      <c r="AN121" s="188">
        <f t="shared" ca="1" si="222"/>
        <v>0</v>
      </c>
      <c r="AO121" s="188">
        <f t="shared" ca="1" si="222"/>
        <v>0</v>
      </c>
      <c r="AP121" s="188">
        <f t="shared" ca="1" si="222"/>
        <v>0</v>
      </c>
      <c r="AQ121" s="188">
        <f t="shared" ca="1" si="222"/>
        <v>0</v>
      </c>
      <c r="AR121" s="188">
        <f t="shared" ca="1" si="222"/>
        <v>0</v>
      </c>
      <c r="AS121" s="188">
        <f t="shared" ca="1" si="222"/>
        <v>0</v>
      </c>
      <c r="AT121" s="188">
        <f t="shared" ca="1" si="222"/>
        <v>0</v>
      </c>
      <c r="AU121" s="188">
        <f t="shared" ca="1" si="222"/>
        <v>0</v>
      </c>
      <c r="AV121" s="188">
        <f t="shared" ca="1" si="222"/>
        <v>0</v>
      </c>
      <c r="AW121" s="188">
        <f t="shared" ca="1" si="222"/>
        <v>0</v>
      </c>
      <c r="AX121" s="188">
        <f t="shared" ca="1" si="222"/>
        <v>0</v>
      </c>
      <c r="AY121" s="188">
        <f t="shared" ca="1" si="222"/>
        <v>0</v>
      </c>
      <c r="AZ121" s="188">
        <f t="shared" ca="1" si="222"/>
        <v>0</v>
      </c>
      <c r="BA121" s="188">
        <f t="shared" ca="1" si="222"/>
        <v>0</v>
      </c>
      <c r="BB121" s="188">
        <f t="shared" ca="1" si="222"/>
        <v>0</v>
      </c>
      <c r="BC121" s="188">
        <f t="shared" ca="1" si="222"/>
        <v>0</v>
      </c>
      <c r="BD121" s="188">
        <f t="shared" ca="1" si="222"/>
        <v>0</v>
      </c>
      <c r="BE121" s="188">
        <f t="shared" ca="1" si="222"/>
        <v>0</v>
      </c>
      <c r="BF121" s="188">
        <f t="shared" ca="1" si="222"/>
        <v>0</v>
      </c>
      <c r="BG121" s="188">
        <f t="shared" ca="1" si="222"/>
        <v>0</v>
      </c>
      <c r="BH121" s="188">
        <f t="shared" ca="1" si="222"/>
        <v>0</v>
      </c>
      <c r="BI121" s="188">
        <f t="shared" ca="1" si="222"/>
        <v>0</v>
      </c>
      <c r="BJ121" s="188">
        <f t="shared" ca="1" si="222"/>
        <v>0</v>
      </c>
      <c r="BK121" s="188">
        <f t="shared" ca="1" si="222"/>
        <v>0</v>
      </c>
      <c r="BL121" s="188">
        <f t="shared" ca="1" si="222"/>
        <v>0</v>
      </c>
      <c r="BM121" s="188">
        <f t="shared" ca="1" si="222"/>
        <v>0</v>
      </c>
      <c r="BN121" s="188">
        <f t="shared" ca="1" si="222"/>
        <v>0</v>
      </c>
      <c r="BO121" s="188">
        <f t="shared" ca="1" si="222"/>
        <v>0</v>
      </c>
      <c r="BP121" s="188">
        <f t="shared" ca="1" si="222"/>
        <v>0</v>
      </c>
      <c r="BQ121" s="188">
        <f t="shared" ca="1" si="222"/>
        <v>0</v>
      </c>
      <c r="BR121" s="188">
        <f t="shared" ca="1" si="222"/>
        <v>0</v>
      </c>
      <c r="BS121" s="283">
        <f ca="1">IF(ISNUMBER($A116),IF(INDEX(B118:G118,6)&lt;&gt;0,SIGN(INDEX(B118:G118,6))*INDIRECT(ADDRESS(1+ABS(INDEX(B118:G118,6)),COLUMN(Ksys!$B$1),1,TRUE,"Ksys")),0)+AB121,0)</f>
        <v>0</v>
      </c>
      <c r="BT121" s="62">
        <f ca="1"/>
        <v>0</v>
      </c>
      <c r="BU121" s="62">
        <f ca="1"/>
        <v>0</v>
      </c>
      <c r="BV121" s="62">
        <f ca="1"/>
        <v>0</v>
      </c>
      <c r="BW121" s="297" t="s">
        <v>103</v>
      </c>
      <c r="BX121" s="218">
        <f ca="1">IF(ISNUMBER($A116),$D117*(1-BX$1) + $E117*BX$1 + Knoten!$S$5*BX119,KnotenData!$H$3)</f>
        <v>0.47499999999999998</v>
      </c>
      <c r="BY121" s="295">
        <f ca="1">IF(ISNUMBER($A116),$D117*(1-BY$1) + $E117*BY$1 + Knoten!$S$5*BY119,KnotenData!$H$3)</f>
        <v>0.47499999999999998</v>
      </c>
      <c r="BZ121" s="295">
        <f ca="1">IF(ISNUMBER($A116),$D117*(1-BZ$1) + $E117*BZ$1 + Knoten!$S$5*BZ119,KnotenData!$H$3)</f>
        <v>0.47499999999999998</v>
      </c>
      <c r="CA121" s="295">
        <f ca="1">IF(ISNUMBER($A116),$D117*(1-CA$1) + $E117*CA$1 + Knoten!$S$5*CA119,KnotenData!$H$3)</f>
        <v>0.47499999999999998</v>
      </c>
      <c r="CB121" s="295">
        <f ca="1">IF(ISNUMBER($A116),$D117*(1-CB$1) + $E117*CB$1 + Knoten!$S$5*CB119,KnotenData!$H$3)</f>
        <v>0.47499999999999998</v>
      </c>
      <c r="CC121" s="295">
        <f ca="1">IF(ISNUMBER($A116),$D117*(1-CC$1) + $E117*CC$1 + Knoten!$S$5*CC119,KnotenData!$H$3)</f>
        <v>0.47499999999999998</v>
      </c>
      <c r="CD121" s="295">
        <f ca="1">IF(ISNUMBER($A116),$D117*(1-CD$1) + $E117*CD$1 + Knoten!$S$5*CD119,KnotenData!$H$3)</f>
        <v>0.47499999999999998</v>
      </c>
      <c r="CE121" s="295">
        <f ca="1">IF(ISNUMBER($A116),$D117*(1-CE$1) + $E117*CE$1 + Knoten!$S$5*CE119,KnotenData!$H$3)</f>
        <v>0.47499999999999998</v>
      </c>
      <c r="CF121" s="295">
        <f ca="1">IF(ISNUMBER($A116),$D117*(1-CF$1) + $E117*CF$1 + Knoten!$S$5*CF119,KnotenData!$H$3)</f>
        <v>0.47499999999999998</v>
      </c>
      <c r="CG121" s="295">
        <f ca="1">IF(ISNUMBER($A116),$D117*(1-CG$1) + $E117*CG$1 + Knoten!$S$5*CG119,KnotenData!$H$3)</f>
        <v>0.47499999999999998</v>
      </c>
      <c r="CH121" s="219">
        <f ca="1">IF(ISNUMBER($A116),$D117*(1-CH$1) + $E117*CH$1 + Knoten!$S$5*CH119,KnotenData!$H$3)</f>
        <v>0.47499999999999998</v>
      </c>
      <c r="CI121" s="449">
        <f ca="1">MAX(BX120:CH120)</f>
        <v>0.5</v>
      </c>
      <c r="CJ121" s="448">
        <f ca="1">MAX(BX121:CH121)</f>
        <v>0.47499999999999998</v>
      </c>
      <c r="CK121" s="446"/>
      <c r="CL121">
        <v>20</v>
      </c>
      <c r="CM121" s="294" t="s">
        <v>103</v>
      </c>
      <c r="CN121" s="218">
        <f ca="1">IF(ISNUMBER($A116),$D117*(1-CN$1) + $E117*CN$1 + Momente!$D$6*CN119,KnotenData!$H$3)</f>
        <v>0.47499999999999998</v>
      </c>
      <c r="CO121" s="295">
        <f ca="1">IF(ISNUMBER($A116),$D117*(1-CO$1) + $E117*CO$1 + Momente!$D$6*CO119,KnotenData!$H$3)</f>
        <v>0.47499999999999998</v>
      </c>
      <c r="CP121" s="295">
        <f ca="1">IF(ISNUMBER($A116),$D117*(1-CP$1) + $E117*CP$1 + Momente!$D$6*CP119,KnotenData!$H$3)</f>
        <v>0.47499999999999998</v>
      </c>
      <c r="CQ121" s="295">
        <f ca="1">IF(ISNUMBER($A116),$D117*(1-CQ$1) + $E117*CQ$1 + Momente!$D$6*CQ119,KnotenData!$H$3)</f>
        <v>0.47499999999999998</v>
      </c>
      <c r="CR121" s="295">
        <f ca="1">IF(ISNUMBER($A116),$D117*(1-CR$1) + $E117*CR$1 + Momente!$D$6*CR119,KnotenData!$H$3)</f>
        <v>0.47499999999999998</v>
      </c>
      <c r="CS121" s="295">
        <f ca="1">IF(ISNUMBER($A116),$D117*(1-CS$1) + $E117*CS$1 + Momente!$D$6*CS119,KnotenData!$H$3)</f>
        <v>0.47499999999999998</v>
      </c>
      <c r="CT121" s="295">
        <f ca="1">IF(ISNUMBER($A116),$D117*(1-CT$1) + $E117*CT$1 + Momente!$D$6*CT119,KnotenData!$H$3)</f>
        <v>0.47499999999999998</v>
      </c>
      <c r="CU121" s="295">
        <f ca="1">IF(ISNUMBER($A116),$D117*(1-CU$1) + $E117*CU$1 + Momente!$D$6*CU119,KnotenData!$H$3)</f>
        <v>0.47499999999999998</v>
      </c>
      <c r="CV121" s="295">
        <f ca="1">IF(ISNUMBER($A116),$D117*(1-CV$1) + $E117*CV$1 + Momente!$D$6*CV119,KnotenData!$H$3)</f>
        <v>0.47499999999999998</v>
      </c>
      <c r="CW121" s="295">
        <f ca="1">IF(ISNUMBER($A116),$D117*(1-CW$1) + $E117*CW$1 + Momente!$D$6*CW119,KnotenData!$H$3)</f>
        <v>0.47499999999999998</v>
      </c>
      <c r="CX121" s="295">
        <f ca="1">IF(ISNUMBER($A116),$D117*(1-CX$1) + $E117*CX$1 + Momente!$D$6*CX119,KnotenData!$H$3)</f>
        <v>0.47499999999999998</v>
      </c>
      <c r="CY121" s="295">
        <f ca="1">IF(ISNUMBER($A116),$E117,KnotenData!$H$3)</f>
        <v>0.47499999999999998</v>
      </c>
      <c r="CZ121" s="295">
        <f ca="1">IF(ISNUMBER($A116),$D117,KnotenData!$H$3)</f>
        <v>0.47499999999999998</v>
      </c>
      <c r="DA121" s="306">
        <f ca="1">IF(ISNUMBER($A116),CN121,KnotenData!$H$3)</f>
        <v>0.47499999999999998</v>
      </c>
      <c r="DB121" s="9">
        <f ca="1">MAX(CN120:DA120)</f>
        <v>0.5</v>
      </c>
      <c r="DC121" s="146">
        <f ca="1">MAX(CN121:DA121)</f>
        <v>0.47499999999999998</v>
      </c>
      <c r="DD121" s="346"/>
      <c r="DE121">
        <v>20</v>
      </c>
      <c r="DF121" s="294" t="s">
        <v>103</v>
      </c>
      <c r="DG121" s="218">
        <f ca="1">IF(ISNUMBER($A116),$D117*(1-DG$1) + $E117*DG$1 + Querkräfte!$D$6*DG119,KnotenData!$H$3)</f>
        <v>0.47499999999999998</v>
      </c>
      <c r="DH121" s="295">
        <f ca="1">IF(ISNUMBER($A116),$D117*(1-DH$1) + $E117*DH$1 + Querkräfte!$D$6*DH119,KnotenData!$H$3)</f>
        <v>0.47499999999999998</v>
      </c>
      <c r="DI121" s="295">
        <f ca="1">IF(ISNUMBER($A116),$D117*(1-DI$1) + $E117*DI$1 + Querkräfte!$D$6*DI119,KnotenData!$H$3)</f>
        <v>0.47499999999999998</v>
      </c>
      <c r="DJ121" s="295">
        <f ca="1">IF(ISNUMBER($A116),$D117*(1-DJ$1) + $E117*DJ$1 + Querkräfte!$D$6*DJ119,KnotenData!$H$3)</f>
        <v>0.47499999999999998</v>
      </c>
      <c r="DK121" s="295">
        <f ca="1">IF(ISNUMBER($A116),$D117*(1-DK$1) + $E117*DK$1 + Querkräfte!$D$6*DK119,KnotenData!$H$3)</f>
        <v>0.47499999999999998</v>
      </c>
      <c r="DL121" s="295">
        <f ca="1">IF(ISNUMBER($A116),$D117*(1-DL$1) + $E117*DL$1 + Querkräfte!$D$6*DL119,KnotenData!$H$3)</f>
        <v>0.47499999999999998</v>
      </c>
      <c r="DM121" s="295">
        <f ca="1">IF(ISNUMBER($A116),$D117*(1-DM$1) + $E117*DM$1 + Querkräfte!$D$6*DM119,KnotenData!$H$3)</f>
        <v>0.47499999999999998</v>
      </c>
      <c r="DN121" s="295">
        <f ca="1">IF(ISNUMBER($A116),$D117*(1-DN$1) + $E117*DN$1 + Querkräfte!$D$6*DN119,KnotenData!$H$3)</f>
        <v>0.47499999999999998</v>
      </c>
      <c r="DO121" s="295">
        <f ca="1">IF(ISNUMBER($A116),$D117*(1-DO$1) + $E117*DO$1 + Querkräfte!$D$6*DO119,KnotenData!$H$3)</f>
        <v>0.47499999999999998</v>
      </c>
      <c r="DP121" s="295">
        <f ca="1">IF(ISNUMBER($A116),$D117*(1-DP$1) + $E117*DP$1 + Querkräfte!$D$6*DP119,KnotenData!$H$3)</f>
        <v>0.47499999999999998</v>
      </c>
      <c r="DQ121" s="295">
        <f ca="1">IF(ISNUMBER($A116),$D117*(1-DQ$1) + $E117*DQ$1 + Querkräfte!$D$6*DQ119,KnotenData!$H$3)</f>
        <v>0.47499999999999998</v>
      </c>
      <c r="DR121" s="295">
        <f ca="1">IF(ISNUMBER($A116),$E117,KnotenData!$H$3)</f>
        <v>0.47499999999999998</v>
      </c>
      <c r="DS121" s="295">
        <f ca="1">IF(ISNUMBER($A116),$D117,KnotenData!$H$3)</f>
        <v>0.47499999999999998</v>
      </c>
      <c r="DT121" s="219">
        <f ca="1">IF(ISNUMBER($A116),DG121,KnotenData!$H$3)</f>
        <v>0.47499999999999998</v>
      </c>
      <c r="DU121" s="11">
        <f ca="1">MAX(DG120:DQ120)</f>
        <v>0.5</v>
      </c>
      <c r="DV121" s="146">
        <f ca="1">MAX(DG121:DQ121)</f>
        <v>0.47499999999999998</v>
      </c>
      <c r="DW121" s="346"/>
      <c r="DX121">
        <v>20</v>
      </c>
      <c r="DY121" s="294" t="s">
        <v>103</v>
      </c>
      <c r="DZ121" s="218">
        <f ca="1">IF(ISNUMBER($A116),$D117*(1-DZ$1) + $E117*DZ$1 + Normalkräfte!$D$6*DZ119,KnotenData!$H$3)</f>
        <v>0.47499999999999998</v>
      </c>
      <c r="EA121" s="295">
        <f ca="1">IF(ISNUMBER($A116),$D117*(1-EA$1) + $E117*EA$1 + Normalkräfte!$D$6*EA119,KnotenData!$H$3)</f>
        <v>0.47499999999999998</v>
      </c>
      <c r="EB121" s="295">
        <f ca="1">IF(ISNUMBER($A116),$D117*(1-EB$1) + $E117*EB$1 + Normalkräfte!$D$6*EB119,KnotenData!$H$3)</f>
        <v>0.47499999999999998</v>
      </c>
      <c r="EC121" s="295">
        <f ca="1">IF(ISNUMBER($A116),$D117*(1-EC$1) + $E117*EC$1 + Normalkräfte!$D$6*EC119,KnotenData!$H$3)</f>
        <v>0.47499999999999998</v>
      </c>
      <c r="ED121" s="295">
        <f ca="1">IF(ISNUMBER($A116),$D117*(1-ED$1) + $E117*ED$1 + Normalkräfte!$D$6*ED119,KnotenData!$H$3)</f>
        <v>0.47499999999999998</v>
      </c>
      <c r="EE121" s="295">
        <f ca="1">IF(ISNUMBER($A116),$D117*(1-EE$1) + $E117*EE$1 + Normalkräfte!$D$6*EE119,KnotenData!$H$3)</f>
        <v>0.47499999999999998</v>
      </c>
      <c r="EF121" s="295">
        <f ca="1">IF(ISNUMBER($A116),$D117*(1-EF$1) + $E117*EF$1 + Normalkräfte!$D$6*EF119,KnotenData!$H$3)</f>
        <v>0.47499999999999998</v>
      </c>
      <c r="EG121" s="295">
        <f ca="1">IF(ISNUMBER($A116),$D117*(1-EG$1) + $E117*EG$1 + Normalkräfte!$D$6*EG119,KnotenData!$H$3)</f>
        <v>0.47499999999999998</v>
      </c>
      <c r="EH121" s="295">
        <f ca="1">IF(ISNUMBER($A116),$D117*(1-EH$1) + $E117*EH$1 + Normalkräfte!$D$6*EH119,KnotenData!$H$3)</f>
        <v>0.47499999999999998</v>
      </c>
      <c r="EI121" s="295">
        <f ca="1">IF(ISNUMBER($A116),$D117*(1-EI$1) + $E117*EI$1 + Normalkräfte!$D$6*EI119,KnotenData!$H$3)</f>
        <v>0.47499999999999998</v>
      </c>
      <c r="EJ121" s="295">
        <f ca="1">IF(ISNUMBER($A116),$D117*(1-EJ$1) + $E117*EJ$1 + Normalkräfte!$D$6*EJ119,KnotenData!$H$3)</f>
        <v>0.47499999999999998</v>
      </c>
      <c r="EK121" s="295">
        <f ca="1">IF(ISNUMBER($A116),$E117,KnotenData!$H$3)</f>
        <v>0.47499999999999998</v>
      </c>
      <c r="EL121" s="295">
        <f ca="1">IF(ISNUMBER($A116),$D117,KnotenData!$H$3)</f>
        <v>0.47499999999999998</v>
      </c>
      <c r="EM121" s="219">
        <f ca="1">IF(ISNUMBER($A116),DZ121,KnotenData!$H$3)</f>
        <v>0.47499999999999998</v>
      </c>
      <c r="EN121" s="9">
        <f ca="1">MAX(DZ120:EJ120)</f>
        <v>0.5</v>
      </c>
      <c r="EO121" s="146">
        <f ca="1">MAX(DZ121:EJ121)</f>
        <v>0.47499999999999998</v>
      </c>
      <c r="EP121" s="346"/>
    </row>
    <row r="122" spans="1:146" x14ac:dyDescent="0.2">
      <c r="A122" s="92"/>
      <c r="B122" s="92"/>
      <c r="C122" s="92"/>
      <c r="D122" s="92"/>
      <c r="E122" s="92"/>
      <c r="F122" s="92"/>
      <c r="G122" s="92"/>
      <c r="H122" s="92"/>
      <c r="I122" s="92"/>
      <c r="J122" s="92"/>
      <c r="K122" s="92"/>
      <c r="L122" s="92"/>
      <c r="M122" s="92"/>
      <c r="N122" s="92"/>
      <c r="O122" s="92"/>
      <c r="P122" s="203"/>
      <c r="Q122" s="203"/>
      <c r="R122" s="203"/>
      <c r="S122" s="203"/>
      <c r="T122" s="203"/>
      <c r="U122" s="203"/>
      <c r="V122" s="92"/>
      <c r="W122" s="92"/>
      <c r="X122" s="92"/>
      <c r="Y122" s="92"/>
      <c r="Z122" s="92"/>
      <c r="AA122" s="92"/>
      <c r="AB122" s="92"/>
      <c r="AC122" s="303"/>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row>
    <row r="123" spans="1:146" x14ac:dyDescent="0.2">
      <c r="A123" s="92"/>
      <c r="B123" s="92"/>
      <c r="C123" s="92"/>
      <c r="D123" s="92"/>
      <c r="E123" s="92"/>
      <c r="F123" s="92"/>
      <c r="G123" s="92"/>
      <c r="H123" s="92"/>
      <c r="I123" s="92"/>
      <c r="J123" s="92"/>
      <c r="K123" s="92"/>
      <c r="L123" s="92"/>
      <c r="M123" s="92"/>
      <c r="N123" s="92"/>
      <c r="O123" s="92"/>
      <c r="P123" s="203"/>
      <c r="Q123" s="203"/>
      <c r="R123" s="203"/>
      <c r="S123" s="203"/>
      <c r="T123" s="203"/>
      <c r="U123" s="203"/>
      <c r="V123" s="92"/>
      <c r="W123" s="92"/>
      <c r="X123" s="92"/>
      <c r="Y123" s="92"/>
      <c r="Z123" s="92"/>
      <c r="AA123" s="92"/>
      <c r="AB123" s="92"/>
      <c r="AC123" s="303"/>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row>
    <row r="124" spans="1:146" x14ac:dyDescent="0.2">
      <c r="A124" s="92"/>
      <c r="B124" s="92"/>
      <c r="C124" s="92"/>
      <c r="D124" s="92"/>
      <c r="E124" s="92"/>
      <c r="F124" s="92"/>
      <c r="G124" s="92"/>
      <c r="H124" s="92"/>
      <c r="I124" s="92"/>
      <c r="J124" s="92"/>
      <c r="K124" s="92"/>
      <c r="L124" s="92"/>
      <c r="M124" s="92"/>
      <c r="N124" s="92"/>
      <c r="O124" s="92"/>
      <c r="P124" s="203"/>
      <c r="Q124" s="203"/>
      <c r="R124" s="203"/>
      <c r="S124" s="203"/>
      <c r="T124" s="203"/>
      <c r="U124" s="203"/>
      <c r="V124" s="92"/>
      <c r="W124" s="92"/>
      <c r="X124" s="92"/>
      <c r="Y124" s="92"/>
      <c r="Z124" s="92"/>
      <c r="AA124" s="92"/>
      <c r="AB124" s="92"/>
      <c r="AC124" s="303"/>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CM124">
        <f>COLUMN(CM122)</f>
        <v>91</v>
      </c>
      <c r="CN124">
        <f t="shared" ref="CN124:EO124" si="223">COLUMN(CN122)</f>
        <v>92</v>
      </c>
      <c r="CO124">
        <f t="shared" si="223"/>
        <v>93</v>
      </c>
      <c r="CP124">
        <f t="shared" si="223"/>
        <v>94</v>
      </c>
      <c r="CQ124">
        <f t="shared" si="223"/>
        <v>95</v>
      </c>
      <c r="CR124">
        <f t="shared" si="223"/>
        <v>96</v>
      </c>
      <c r="CS124">
        <f t="shared" si="223"/>
        <v>97</v>
      </c>
      <c r="CT124">
        <f t="shared" si="223"/>
        <v>98</v>
      </c>
      <c r="CU124">
        <f t="shared" si="223"/>
        <v>99</v>
      </c>
      <c r="CV124">
        <f t="shared" si="223"/>
        <v>100</v>
      </c>
      <c r="CW124">
        <f t="shared" si="223"/>
        <v>101</v>
      </c>
      <c r="CX124">
        <f t="shared" si="223"/>
        <v>102</v>
      </c>
      <c r="CY124">
        <f t="shared" si="223"/>
        <v>103</v>
      </c>
      <c r="CZ124">
        <f t="shared" si="223"/>
        <v>104</v>
      </c>
      <c r="DA124">
        <f t="shared" si="223"/>
        <v>105</v>
      </c>
      <c r="DB124">
        <f t="shared" si="223"/>
        <v>106</v>
      </c>
      <c r="DC124">
        <f t="shared" si="223"/>
        <v>107</v>
      </c>
      <c r="DE124">
        <f t="shared" si="223"/>
        <v>109</v>
      </c>
      <c r="DF124">
        <f t="shared" si="223"/>
        <v>110</v>
      </c>
      <c r="DG124">
        <f t="shared" si="223"/>
        <v>111</v>
      </c>
      <c r="DH124">
        <f t="shared" si="223"/>
        <v>112</v>
      </c>
      <c r="DI124">
        <f t="shared" si="223"/>
        <v>113</v>
      </c>
      <c r="DJ124">
        <f t="shared" si="223"/>
        <v>114</v>
      </c>
      <c r="DK124">
        <f t="shared" si="223"/>
        <v>115</v>
      </c>
      <c r="DL124">
        <f t="shared" si="223"/>
        <v>116</v>
      </c>
      <c r="DM124">
        <f t="shared" si="223"/>
        <v>117</v>
      </c>
      <c r="DN124">
        <f t="shared" si="223"/>
        <v>118</v>
      </c>
      <c r="DO124">
        <f t="shared" si="223"/>
        <v>119</v>
      </c>
      <c r="DP124">
        <f t="shared" si="223"/>
        <v>120</v>
      </c>
      <c r="DQ124">
        <f t="shared" si="223"/>
        <v>121</v>
      </c>
      <c r="DR124">
        <f t="shared" si="223"/>
        <v>122</v>
      </c>
      <c r="DS124">
        <f t="shared" si="223"/>
        <v>123</v>
      </c>
      <c r="DT124">
        <f t="shared" si="223"/>
        <v>124</v>
      </c>
      <c r="DU124">
        <f t="shared" si="223"/>
        <v>125</v>
      </c>
      <c r="DV124">
        <f t="shared" si="223"/>
        <v>126</v>
      </c>
      <c r="DX124">
        <f t="shared" si="223"/>
        <v>128</v>
      </c>
      <c r="DY124">
        <f t="shared" si="223"/>
        <v>129</v>
      </c>
      <c r="DZ124">
        <f t="shared" si="223"/>
        <v>130</v>
      </c>
      <c r="EA124">
        <f t="shared" si="223"/>
        <v>131</v>
      </c>
      <c r="EB124">
        <f t="shared" si="223"/>
        <v>132</v>
      </c>
      <c r="EC124">
        <f t="shared" si="223"/>
        <v>133</v>
      </c>
      <c r="ED124">
        <f t="shared" si="223"/>
        <v>134</v>
      </c>
      <c r="EE124">
        <f t="shared" si="223"/>
        <v>135</v>
      </c>
      <c r="EF124">
        <f t="shared" si="223"/>
        <v>136</v>
      </c>
      <c r="EG124">
        <f t="shared" si="223"/>
        <v>137</v>
      </c>
      <c r="EH124">
        <f t="shared" si="223"/>
        <v>138</v>
      </c>
      <c r="EI124">
        <f t="shared" si="223"/>
        <v>139</v>
      </c>
      <c r="EJ124">
        <f t="shared" si="223"/>
        <v>140</v>
      </c>
      <c r="EK124">
        <f t="shared" si="223"/>
        <v>141</v>
      </c>
      <c r="EL124">
        <f t="shared" si="223"/>
        <v>142</v>
      </c>
      <c r="EM124">
        <f t="shared" si="223"/>
        <v>143</v>
      </c>
      <c r="EN124">
        <f t="shared" si="223"/>
        <v>144</v>
      </c>
      <c r="EO124">
        <f t="shared" si="223"/>
        <v>145</v>
      </c>
    </row>
    <row r="125" spans="1:146" x14ac:dyDescent="0.2">
      <c r="A125" s="92"/>
      <c r="B125" s="92"/>
      <c r="C125" s="92"/>
      <c r="D125" s="92"/>
      <c r="E125" s="92"/>
      <c r="F125" s="92"/>
      <c r="G125" s="92"/>
      <c r="H125" s="92"/>
      <c r="I125" s="92"/>
      <c r="J125" s="92"/>
      <c r="K125" s="92"/>
      <c r="L125" s="92"/>
      <c r="M125" s="92"/>
      <c r="N125" s="92"/>
      <c r="O125" s="92"/>
      <c r="P125" s="203"/>
      <c r="Q125" s="203"/>
      <c r="R125" s="203"/>
      <c r="S125" s="203"/>
      <c r="T125" s="203"/>
      <c r="U125" s="203"/>
      <c r="V125" s="92"/>
      <c r="W125" s="92"/>
      <c r="X125" s="92"/>
      <c r="Y125" s="92"/>
      <c r="Z125" s="92"/>
      <c r="AA125" s="92"/>
      <c r="AB125" s="92"/>
      <c r="AC125" s="303"/>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row>
    <row r="126" spans="1:146" x14ac:dyDescent="0.2">
      <c r="A126" s="92"/>
      <c r="B126" s="92"/>
      <c r="C126" s="92"/>
      <c r="D126" s="92"/>
      <c r="E126" s="92"/>
      <c r="F126" s="92"/>
      <c r="G126" s="92"/>
      <c r="H126" s="92"/>
      <c r="I126" s="92"/>
      <c r="J126" s="92"/>
      <c r="K126" s="92"/>
      <c r="L126" s="92"/>
      <c r="M126" s="92"/>
      <c r="N126" s="92"/>
      <c r="O126" s="92"/>
      <c r="P126" s="203"/>
      <c r="Q126" s="203"/>
      <c r="R126" s="203"/>
      <c r="S126" s="203"/>
      <c r="T126" s="203"/>
      <c r="U126" s="203"/>
      <c r="V126" s="92"/>
      <c r="W126" s="92"/>
      <c r="X126" s="92"/>
      <c r="Y126" s="92"/>
      <c r="Z126" s="92"/>
      <c r="AA126" s="92"/>
      <c r="AB126" s="92"/>
      <c r="AC126" s="303"/>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row>
    <row r="127" spans="1:146" x14ac:dyDescent="0.2">
      <c r="A127" s="92"/>
      <c r="B127" s="92"/>
      <c r="C127" s="92"/>
      <c r="D127" s="92"/>
      <c r="E127" s="92"/>
      <c r="F127" s="92"/>
      <c r="G127" s="92"/>
      <c r="H127" s="92"/>
      <c r="I127" s="92"/>
      <c r="J127" s="92"/>
      <c r="K127" s="92"/>
      <c r="L127" s="92"/>
      <c r="M127" s="92"/>
      <c r="N127" s="92"/>
      <c r="O127" s="92"/>
      <c r="P127" s="203"/>
      <c r="Q127" s="203"/>
      <c r="R127" s="203"/>
      <c r="S127" s="203"/>
      <c r="T127" s="203"/>
      <c r="U127" s="203"/>
      <c r="V127" s="92"/>
      <c r="W127" s="92"/>
      <c r="X127" s="92"/>
      <c r="Y127" s="92"/>
      <c r="Z127" s="92"/>
      <c r="AA127" s="92"/>
      <c r="AB127" s="92"/>
      <c r="AC127" s="303"/>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c r="BP127" s="92"/>
      <c r="BQ127" s="92"/>
      <c r="BR127" s="92"/>
    </row>
  </sheetData>
  <mergeCells count="3">
    <mergeCell ref="J1:O1"/>
    <mergeCell ref="P1:U1"/>
    <mergeCell ref="V1:AA1"/>
  </mergeCells>
  <conditionalFormatting sqref="AE2:BR121">
    <cfRule type="cellIs" dxfId="0" priority="1" operator="notEqual">
      <formula>0</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O70"/>
  <sheetViews>
    <sheetView zoomScale="75" workbookViewId="0">
      <selection activeCell="R58" sqref="R58"/>
    </sheetView>
  </sheetViews>
  <sheetFormatPr baseColWidth="10" defaultRowHeight="12.75" x14ac:dyDescent="0.2"/>
  <sheetData>
    <row r="1" spans="1:41" ht="13.5" thickBot="1" x14ac:dyDescent="0.25">
      <c r="A1" s="330" t="s">
        <v>49</v>
      </c>
      <c r="B1" s="330">
        <v>0.1</v>
      </c>
      <c r="D1" s="173" t="s">
        <v>90</v>
      </c>
      <c r="E1" s="1">
        <f>$B$1*KnotenData!$H$4</f>
        <v>6.2769917157823304E-2</v>
      </c>
      <c r="G1" s="298" t="s">
        <v>185</v>
      </c>
      <c r="H1" s="75">
        <v>0.25</v>
      </c>
      <c r="M1" s="491" t="s">
        <v>119</v>
      </c>
      <c r="N1" s="491"/>
      <c r="O1" s="1">
        <f ca="1">Knoten!S5</f>
        <v>152.4410301699439</v>
      </c>
    </row>
    <row r="2" spans="1:41" x14ac:dyDescent="0.2">
      <c r="I2" s="12"/>
      <c r="J2" s="12"/>
      <c r="K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13.5" thickBot="1" x14ac:dyDescent="0.25">
      <c r="A3" s="329" t="s">
        <v>116</v>
      </c>
      <c r="B3" s="89"/>
      <c r="C3" s="482" t="s">
        <v>1</v>
      </c>
      <c r="D3" s="483"/>
      <c r="E3" s="483"/>
      <c r="F3" s="484"/>
      <c r="G3" s="482" t="s">
        <v>111</v>
      </c>
      <c r="H3" s="483"/>
      <c r="I3" s="483"/>
      <c r="J3" s="484"/>
      <c r="K3" s="12"/>
      <c r="M3" s="12"/>
      <c r="N3" s="329" t="s">
        <v>116</v>
      </c>
      <c r="O3" s="89"/>
      <c r="P3" s="482" t="s">
        <v>1</v>
      </c>
      <c r="Q3" s="483"/>
      <c r="R3" s="483"/>
      <c r="S3" s="484"/>
      <c r="T3" s="482" t="s">
        <v>111</v>
      </c>
      <c r="U3" s="483"/>
      <c r="V3" s="483"/>
      <c r="W3" s="484"/>
      <c r="X3" s="12"/>
      <c r="Y3" s="12"/>
      <c r="Z3" s="12"/>
      <c r="AA3" s="12"/>
      <c r="AB3" s="12"/>
      <c r="AC3" s="12"/>
      <c r="AD3" s="12"/>
      <c r="AE3" s="12"/>
      <c r="AF3" s="12"/>
      <c r="AG3" s="12"/>
      <c r="AH3" s="12"/>
      <c r="AI3" s="12"/>
      <c r="AJ3" s="12"/>
      <c r="AK3" s="12"/>
      <c r="AL3" s="12"/>
      <c r="AM3" s="12"/>
      <c r="AN3" s="12"/>
      <c r="AO3" s="12"/>
    </row>
    <row r="4" spans="1:41" x14ac:dyDescent="0.2">
      <c r="A4" s="30">
        <v>1</v>
      </c>
      <c r="B4" s="328">
        <f>1-ABS(SIGN(Knoten!F3))</f>
        <v>1</v>
      </c>
      <c r="C4">
        <f>IF(ISNUMBER(Knoten!C3),Knoten!C3,KnotenData!$H$2)</f>
        <v>0</v>
      </c>
      <c r="D4">
        <f>IF(ISNUMBER(Knoten!C3),C4+0.5*$E$1*B4,C4)</f>
        <v>3.1384958578911652E-2</v>
      </c>
      <c r="E4" s="12">
        <f>IF(ISNUMBER(Knoten!C3),C4-0.5*$E$1*B4,C4)</f>
        <v>-3.1384958578911652E-2</v>
      </c>
      <c r="F4" s="30">
        <f>C4</f>
        <v>0</v>
      </c>
      <c r="G4">
        <f>IF(ISNUMBER(Knoten!D3),Knoten!D3,KnotenData!$H$3)</f>
        <v>0.75</v>
      </c>
      <c r="H4">
        <f>IF(ISNUMBER(Knoten!D3),G4+0.866*$E$1*B4,G4)</f>
        <v>0.80435874825867493</v>
      </c>
      <c r="I4" s="12">
        <f>IF(ISNUMBER(Knoten!D3),G4+0.866*$E$1*B4,G4)</f>
        <v>0.80435874825867493</v>
      </c>
      <c r="J4" s="30">
        <f>G4</f>
        <v>0.75</v>
      </c>
      <c r="M4" s="12"/>
      <c r="N4" s="30">
        <v>1</v>
      </c>
      <c r="O4" s="328">
        <f>1-ABS(SIGN(Knoten!F3))</f>
        <v>1</v>
      </c>
      <c r="P4">
        <f ca="1">IF(ISNUMBER(Knoten!C3),Knoten!C3+$O$1*(Knoten!K3+Knoten!N3),KnotenData!$H$2)</f>
        <v>0</v>
      </c>
      <c r="Q4">
        <f ca="1">IF(ISNUMBER(Knoten!C3),P4+0.5*$E$1*O4,P4)</f>
        <v>3.1384958578911652E-2</v>
      </c>
      <c r="R4" s="12">
        <f ca="1">IF(ISNUMBER(Knoten!C3),P4-0.5*$E$1*O4,P4)</f>
        <v>-3.1384958578911652E-2</v>
      </c>
      <c r="S4" s="30">
        <f ca="1">P4</f>
        <v>0</v>
      </c>
      <c r="T4">
        <f ca="1">IF(ISNUMBER(Knoten!D3),Knoten!D3+$O$1*(Knoten!L3+Knoten!O3),KnotenData!$H$3)</f>
        <v>0.75</v>
      </c>
      <c r="U4">
        <f ca="1">IF(ISNUMBER(Knoten!D3),T4+0.866*$E$1*O4,T4)</f>
        <v>0.80435874825867493</v>
      </c>
      <c r="V4" s="12">
        <f ca="1">IF(ISNUMBER(Knoten!D3),T4+0.866*$E$1*O4,T4)</f>
        <v>0.80435874825867493</v>
      </c>
      <c r="W4" s="30">
        <f ca="1">T4</f>
        <v>0.75</v>
      </c>
      <c r="X4" s="12"/>
      <c r="Y4" s="12"/>
      <c r="Z4" s="12"/>
      <c r="AA4" s="12"/>
      <c r="AB4" s="12"/>
      <c r="AC4" s="12"/>
      <c r="AD4" s="12"/>
      <c r="AE4" s="12"/>
      <c r="AF4" s="12"/>
      <c r="AG4" s="12"/>
      <c r="AH4" s="12"/>
      <c r="AI4" s="12"/>
      <c r="AJ4" s="12"/>
      <c r="AK4" s="12"/>
      <c r="AL4" s="12"/>
      <c r="AM4" s="12"/>
      <c r="AN4" s="12"/>
      <c r="AO4" s="12"/>
    </row>
    <row r="5" spans="1:41" x14ac:dyDescent="0.2">
      <c r="A5" s="30">
        <v>2</v>
      </c>
      <c r="B5" s="328">
        <f>1-ABS(SIGN(Knoten!F4))</f>
        <v>0</v>
      </c>
      <c r="C5">
        <f>IF(ISNUMBER(Knoten!C4),Knoten!C4,KnotenData!$H$2)</f>
        <v>0.5</v>
      </c>
      <c r="D5">
        <f>IF(ISNUMBER(Knoten!C4),C5+0.5*$E$1*B5,C5)</f>
        <v>0.5</v>
      </c>
      <c r="E5" s="12">
        <f>IF(ISNUMBER(Knoten!C4),C5-0.5*$E$1*B5,C5)</f>
        <v>0.5</v>
      </c>
      <c r="F5" s="30">
        <f t="shared" ref="F5:F23" si="0">C5</f>
        <v>0.5</v>
      </c>
      <c r="G5">
        <f>IF(ISNUMBER(Knoten!D4),Knoten!D4,KnotenData!$H$3)</f>
        <v>0.25</v>
      </c>
      <c r="H5">
        <f>IF(ISNUMBER(Knoten!D4),G5+0.866*$E$1*B5,G5)</f>
        <v>0.25</v>
      </c>
      <c r="I5" s="12">
        <f>IF(ISNUMBER(Knoten!D4),G5+0.866*$E$1*B5,G5)</f>
        <v>0.25</v>
      </c>
      <c r="J5" s="30">
        <f t="shared" ref="J5:J23" si="1">G5</f>
        <v>0.25</v>
      </c>
      <c r="M5" s="12"/>
      <c r="N5" s="30">
        <v>2</v>
      </c>
      <c r="O5" s="328">
        <f>1-ABS(SIGN(Knoten!F4))</f>
        <v>0</v>
      </c>
      <c r="P5">
        <f ca="1">IF(ISNUMBER(Knoten!C4),Knoten!C4+$O$1*(Knoten!K4+Knoten!N4),KnotenData!$H$2)</f>
        <v>0.55885637953108702</v>
      </c>
      <c r="Q5">
        <f ca="1">IF(ISNUMBER(Knoten!C4),P5+0.5*$E$1*O5,P5)</f>
        <v>0.55885637953108702</v>
      </c>
      <c r="R5" s="12">
        <f ca="1">IF(ISNUMBER(Knoten!C4),P5-0.5*$E$1*O5,P5)</f>
        <v>0.55885637953108702</v>
      </c>
      <c r="S5" s="30">
        <f t="shared" ref="S5:S23" ca="1" si="2">P5</f>
        <v>0.55885637953108702</v>
      </c>
      <c r="T5">
        <f ca="1">IF(ISNUMBER(Knoten!D4),Knoten!D4+$O$1*(Knoten!L4+Knoten!O4),KnotenData!$H$3)</f>
        <v>0.50107966863129327</v>
      </c>
      <c r="U5">
        <f ca="1">IF(ISNUMBER(Knoten!D4),T5+0.866*$E$1*O5,T5)</f>
        <v>0.50107966863129327</v>
      </c>
      <c r="V5" s="12">
        <f ca="1">IF(ISNUMBER(Knoten!D4),T5+0.866*$E$1*O5,T5)</f>
        <v>0.50107966863129327</v>
      </c>
      <c r="W5" s="30">
        <f t="shared" ref="W5:W23" ca="1" si="3">T5</f>
        <v>0.50107966863129327</v>
      </c>
      <c r="X5" s="12"/>
      <c r="Y5" s="12"/>
      <c r="Z5" s="12"/>
      <c r="AA5" s="12"/>
      <c r="AB5" s="12"/>
      <c r="AC5" s="12"/>
      <c r="AD5" s="12"/>
      <c r="AE5" s="12"/>
      <c r="AF5" s="12"/>
      <c r="AG5" s="12"/>
      <c r="AH5" s="12"/>
      <c r="AI5" s="12"/>
      <c r="AJ5" s="12"/>
      <c r="AK5" s="12"/>
      <c r="AL5" s="12"/>
      <c r="AM5" s="12"/>
      <c r="AN5" s="12"/>
      <c r="AO5" s="12"/>
    </row>
    <row r="6" spans="1:41" x14ac:dyDescent="0.2">
      <c r="A6" s="30">
        <v>3</v>
      </c>
      <c r="B6" s="328">
        <f>1-ABS(SIGN(Knoten!F5))</f>
        <v>1</v>
      </c>
      <c r="C6">
        <f>IF(ISNUMBER(Knoten!C5),Knoten!C5,KnotenData!$H$2)</f>
        <v>1</v>
      </c>
      <c r="D6">
        <f>IF(ISNUMBER(Knoten!C5),C6+0.5*$E$1*B6,C6)</f>
        <v>1.0313849585789117</v>
      </c>
      <c r="E6" s="12">
        <f>IF(ISNUMBER(Knoten!C5),C6-0.5*$E$1*B6,C6)</f>
        <v>0.96861504142108834</v>
      </c>
      <c r="F6" s="30">
        <f t="shared" si="0"/>
        <v>1</v>
      </c>
      <c r="G6">
        <f>IF(ISNUMBER(Knoten!D5),Knoten!D5,KnotenData!$H$3)</f>
        <v>0.25</v>
      </c>
      <c r="H6">
        <f>IF(ISNUMBER(Knoten!D5),G6+0.866*$E$1*B6,G6)</f>
        <v>0.30435874825867498</v>
      </c>
      <c r="I6" s="12">
        <f>IF(ISNUMBER(Knoten!D5),G6+0.866*$E$1*B6,G6)</f>
        <v>0.30435874825867498</v>
      </c>
      <c r="J6" s="30">
        <f t="shared" si="1"/>
        <v>0.25</v>
      </c>
      <c r="M6" s="12"/>
      <c r="N6" s="30">
        <v>3</v>
      </c>
      <c r="O6" s="328">
        <f>1-ABS(SIGN(Knoten!F5))</f>
        <v>1</v>
      </c>
      <c r="P6">
        <f ca="1">IF(ISNUMBER(Knoten!C5),Knoten!C5+$O$1*(Knoten!K5+Knoten!N5),KnotenData!$H$2)</f>
        <v>1</v>
      </c>
      <c r="Q6">
        <f ca="1">IF(ISNUMBER(Knoten!C5),P6+0.5*$E$1*O6,P6)</f>
        <v>1.0313849585789117</v>
      </c>
      <c r="R6" s="12">
        <f ca="1">IF(ISNUMBER(Knoten!C5),P6-0.5*$E$1*O6,P6)</f>
        <v>0.96861504142108834</v>
      </c>
      <c r="S6" s="30">
        <f t="shared" ca="1" si="2"/>
        <v>1</v>
      </c>
      <c r="T6">
        <f ca="1">IF(ISNUMBER(Knoten!D5),Knoten!D5+$O$1*(Knoten!L5+Knoten!O5),KnotenData!$H$3)</f>
        <v>0.25</v>
      </c>
      <c r="U6">
        <f ca="1">IF(ISNUMBER(Knoten!D5),T6+0.866*$E$1*O6,T6)</f>
        <v>0.30435874825867498</v>
      </c>
      <c r="V6" s="12">
        <f ca="1">IF(ISNUMBER(Knoten!D5),T6+0.866*$E$1*O6,T6)</f>
        <v>0.30435874825867498</v>
      </c>
      <c r="W6" s="30">
        <f t="shared" ca="1" si="3"/>
        <v>0.25</v>
      </c>
      <c r="X6" s="12"/>
      <c r="Y6" s="12"/>
      <c r="Z6" s="12"/>
      <c r="AA6" s="12"/>
      <c r="AB6" s="12"/>
      <c r="AC6" s="12"/>
      <c r="AD6" s="12"/>
      <c r="AE6" s="12"/>
      <c r="AF6" s="12"/>
      <c r="AG6" s="12"/>
      <c r="AH6" s="12"/>
      <c r="AI6" s="12"/>
      <c r="AJ6" s="12"/>
      <c r="AK6" s="12"/>
      <c r="AL6" s="12"/>
      <c r="AM6" s="12"/>
      <c r="AN6" s="12"/>
      <c r="AO6" s="12"/>
    </row>
    <row r="7" spans="1:41" x14ac:dyDescent="0.2">
      <c r="A7" s="30">
        <v>4</v>
      </c>
      <c r="B7" s="328">
        <f>1-ABS(SIGN(Knoten!F6))</f>
        <v>1</v>
      </c>
      <c r="C7">
        <f>IF(ISNUMBER(Knoten!C6),Knoten!C6,KnotenData!$H$2)</f>
        <v>0.5</v>
      </c>
      <c r="D7">
        <f>IF(ISNUMBER(Knoten!C6),C7+0.5*$E$1*B7,C7)</f>
        <v>0.5</v>
      </c>
      <c r="E7" s="12">
        <f>IF(ISNUMBER(Knoten!C6),C7-0.5*$E$1*B7,C7)</f>
        <v>0.5</v>
      </c>
      <c r="F7" s="30">
        <f t="shared" si="0"/>
        <v>0.5</v>
      </c>
      <c r="G7">
        <f>IF(ISNUMBER(Knoten!D6),Knoten!D6,KnotenData!$H$3)</f>
        <v>0.47499999999999998</v>
      </c>
      <c r="H7">
        <f>IF(ISNUMBER(Knoten!D6),G7+0.866*$E$1*B7,G7)</f>
        <v>0.47499999999999998</v>
      </c>
      <c r="I7" s="12">
        <f>IF(ISNUMBER(Knoten!D6),G7+0.866*$E$1*B7,G7)</f>
        <v>0.47499999999999998</v>
      </c>
      <c r="J7" s="30">
        <f t="shared" si="1"/>
        <v>0.47499999999999998</v>
      </c>
      <c r="M7" s="12"/>
      <c r="N7" s="30">
        <v>4</v>
      </c>
      <c r="O7" s="328">
        <f>1-ABS(SIGN(Knoten!F6))</f>
        <v>1</v>
      </c>
      <c r="P7">
        <f>IF(ISNUMBER(Knoten!C6),Knoten!C6+$O$1*(Knoten!K6+Knoten!N6),KnotenData!$H$2)</f>
        <v>0.5</v>
      </c>
      <c r="Q7">
        <f>IF(ISNUMBER(Knoten!C6),P7+0.5*$E$1*O7,P7)</f>
        <v>0.5</v>
      </c>
      <c r="R7" s="12">
        <f>IF(ISNUMBER(Knoten!C6),P7-0.5*$E$1*O7,P7)</f>
        <v>0.5</v>
      </c>
      <c r="S7" s="30">
        <f t="shared" si="2"/>
        <v>0.5</v>
      </c>
      <c r="T7">
        <f>IF(ISNUMBER(Knoten!D6),Knoten!D6+$O$1*(Knoten!L6+Knoten!O6),KnotenData!$H$3)</f>
        <v>0.47499999999999998</v>
      </c>
      <c r="U7">
        <f>IF(ISNUMBER(Knoten!D6),T7+0.866*$E$1*O7,T7)</f>
        <v>0.47499999999999998</v>
      </c>
      <c r="V7" s="12">
        <f>IF(ISNUMBER(Knoten!D6),T7+0.866*$E$1*O7,T7)</f>
        <v>0.47499999999999998</v>
      </c>
      <c r="W7" s="30">
        <f t="shared" si="3"/>
        <v>0.47499999999999998</v>
      </c>
      <c r="X7" s="12"/>
      <c r="Y7" s="12"/>
      <c r="Z7" s="12"/>
      <c r="AA7" s="12"/>
      <c r="AB7" s="12"/>
      <c r="AC7" s="12"/>
      <c r="AD7" s="12"/>
      <c r="AE7" s="12"/>
      <c r="AF7" s="12"/>
      <c r="AG7" s="12"/>
      <c r="AH7" s="12"/>
      <c r="AI7" s="12"/>
      <c r="AJ7" s="12"/>
      <c r="AK7" s="12"/>
      <c r="AL7" s="12"/>
      <c r="AM7" s="12"/>
      <c r="AN7" s="12"/>
      <c r="AO7" s="12"/>
    </row>
    <row r="8" spans="1:41" x14ac:dyDescent="0.2">
      <c r="A8" s="30">
        <v>5</v>
      </c>
      <c r="B8" s="328">
        <f>1-ABS(SIGN(Knoten!F7))</f>
        <v>1</v>
      </c>
      <c r="C8">
        <f>IF(ISNUMBER(Knoten!C7),Knoten!C7,KnotenData!$H$2)</f>
        <v>0.5</v>
      </c>
      <c r="D8">
        <f>IF(ISNUMBER(Knoten!C7),C8+0.5*$E$1*B8,C8)</f>
        <v>0.5</v>
      </c>
      <c r="E8" s="12">
        <f>IF(ISNUMBER(Knoten!C7),C8-0.5*$E$1*B8,C8)</f>
        <v>0.5</v>
      </c>
      <c r="F8" s="30">
        <f t="shared" si="0"/>
        <v>0.5</v>
      </c>
      <c r="G8">
        <f>IF(ISNUMBER(Knoten!D7),Knoten!D7,KnotenData!$H$3)</f>
        <v>0.47499999999999998</v>
      </c>
      <c r="H8">
        <f>IF(ISNUMBER(Knoten!D7),G8+0.866*$E$1*B8,G8)</f>
        <v>0.47499999999999998</v>
      </c>
      <c r="I8" s="12">
        <f>IF(ISNUMBER(Knoten!D7),G8+0.866*$E$1*B8,G8)</f>
        <v>0.47499999999999998</v>
      </c>
      <c r="J8" s="30">
        <f t="shared" si="1"/>
        <v>0.47499999999999998</v>
      </c>
      <c r="M8" s="12"/>
      <c r="N8" s="30">
        <v>5</v>
      </c>
      <c r="O8" s="328">
        <f>1-ABS(SIGN(Knoten!F7))</f>
        <v>1</v>
      </c>
      <c r="P8">
        <f>IF(ISNUMBER(Knoten!C7),Knoten!C7+$O$1*(Knoten!K7+Knoten!N7),KnotenData!$H$2)</f>
        <v>0.5</v>
      </c>
      <c r="Q8">
        <f>IF(ISNUMBER(Knoten!C7),P8+0.5*$E$1*O8,P8)</f>
        <v>0.5</v>
      </c>
      <c r="R8" s="12">
        <f>IF(ISNUMBER(Knoten!C7),P8-0.5*$E$1*O8,P8)</f>
        <v>0.5</v>
      </c>
      <c r="S8" s="30">
        <f t="shared" si="2"/>
        <v>0.5</v>
      </c>
      <c r="T8">
        <f>IF(ISNUMBER(Knoten!D7),Knoten!D7+$O$1*(Knoten!L7+Knoten!O7),KnotenData!$H$3)</f>
        <v>0.47499999999999998</v>
      </c>
      <c r="U8">
        <f>IF(ISNUMBER(Knoten!D7),T8+0.866*$E$1*O8,T8)</f>
        <v>0.47499999999999998</v>
      </c>
      <c r="V8" s="12">
        <f>IF(ISNUMBER(Knoten!D7),T8+0.866*$E$1*O8,T8)</f>
        <v>0.47499999999999998</v>
      </c>
      <c r="W8" s="30">
        <f t="shared" si="3"/>
        <v>0.47499999999999998</v>
      </c>
      <c r="X8" s="12"/>
      <c r="Y8" s="12"/>
      <c r="Z8" s="12"/>
      <c r="AA8" s="12"/>
      <c r="AB8" s="12"/>
      <c r="AC8" s="12"/>
      <c r="AD8" s="12"/>
      <c r="AE8" s="12"/>
      <c r="AF8" s="12"/>
      <c r="AG8" s="12"/>
      <c r="AH8" s="12"/>
      <c r="AI8" s="12"/>
      <c r="AJ8" s="12"/>
      <c r="AK8" s="12"/>
      <c r="AL8" s="12"/>
      <c r="AM8" s="12"/>
      <c r="AN8" s="12"/>
      <c r="AO8" s="12"/>
    </row>
    <row r="9" spans="1:41" x14ac:dyDescent="0.2">
      <c r="A9" s="30">
        <v>6</v>
      </c>
      <c r="B9" s="328">
        <f>1-ABS(SIGN(Knoten!F8))</f>
        <v>1</v>
      </c>
      <c r="C9">
        <f>IF(ISNUMBER(Knoten!C8),Knoten!C8,KnotenData!$H$2)</f>
        <v>0.5</v>
      </c>
      <c r="D9">
        <f>IF(ISNUMBER(Knoten!C8),C9+0.5*$E$1*B9,C9)</f>
        <v>0.5</v>
      </c>
      <c r="E9" s="12">
        <f>IF(ISNUMBER(Knoten!C8),C9-0.5*$E$1*B9,C9)</f>
        <v>0.5</v>
      </c>
      <c r="F9" s="30">
        <f t="shared" si="0"/>
        <v>0.5</v>
      </c>
      <c r="G9">
        <f>IF(ISNUMBER(Knoten!D8),Knoten!D8,KnotenData!$H$3)</f>
        <v>0.47499999999999998</v>
      </c>
      <c r="H9">
        <f>IF(ISNUMBER(Knoten!D8),G9+0.866*$E$1*B9,G9)</f>
        <v>0.47499999999999998</v>
      </c>
      <c r="I9" s="12">
        <f>IF(ISNUMBER(Knoten!D8),G9+0.866*$E$1*B9,G9)</f>
        <v>0.47499999999999998</v>
      </c>
      <c r="J9" s="30">
        <f t="shared" si="1"/>
        <v>0.47499999999999998</v>
      </c>
      <c r="M9" s="12"/>
      <c r="N9" s="30">
        <v>6</v>
      </c>
      <c r="O9" s="328">
        <f>1-ABS(SIGN(Knoten!F8))</f>
        <v>1</v>
      </c>
      <c r="P9">
        <f>IF(ISNUMBER(Knoten!C8),Knoten!C8+$O$1*(Knoten!K8+Knoten!N8),KnotenData!$H$2)</f>
        <v>0.5</v>
      </c>
      <c r="Q9">
        <f>IF(ISNUMBER(Knoten!C8),P9+0.5*$E$1*O9,P9)</f>
        <v>0.5</v>
      </c>
      <c r="R9" s="12">
        <f>IF(ISNUMBER(Knoten!C8),P9-0.5*$E$1*O9,P9)</f>
        <v>0.5</v>
      </c>
      <c r="S9" s="30">
        <f t="shared" si="2"/>
        <v>0.5</v>
      </c>
      <c r="T9">
        <f>IF(ISNUMBER(Knoten!D8),Knoten!D8+$O$1*(Knoten!L8+Knoten!O8),KnotenData!$H$3)</f>
        <v>0.47499999999999998</v>
      </c>
      <c r="U9">
        <f>IF(ISNUMBER(Knoten!D8),T9+0.866*$E$1*O9,T9)</f>
        <v>0.47499999999999998</v>
      </c>
      <c r="V9" s="12">
        <f>IF(ISNUMBER(Knoten!D8),T9+0.866*$E$1*O9,T9)</f>
        <v>0.47499999999999998</v>
      </c>
      <c r="W9" s="30">
        <f t="shared" si="3"/>
        <v>0.47499999999999998</v>
      </c>
      <c r="X9" s="12"/>
      <c r="Y9" s="12"/>
      <c r="Z9" s="12"/>
      <c r="AA9" s="12"/>
      <c r="AB9" s="12"/>
      <c r="AC9" s="12"/>
      <c r="AD9" s="12"/>
      <c r="AE9" s="12"/>
      <c r="AF9" s="12"/>
      <c r="AG9" s="12"/>
      <c r="AH9" s="12"/>
      <c r="AI9" s="12"/>
      <c r="AJ9" s="12"/>
      <c r="AK9" s="12"/>
      <c r="AL9" s="12"/>
      <c r="AM9" s="12"/>
      <c r="AN9" s="12"/>
      <c r="AO9" s="12"/>
    </row>
    <row r="10" spans="1:41" x14ac:dyDescent="0.2">
      <c r="A10" s="30">
        <v>7</v>
      </c>
      <c r="B10" s="328">
        <f>1-ABS(SIGN(Knoten!F9))</f>
        <v>1</v>
      </c>
      <c r="C10">
        <f>IF(ISNUMBER(Knoten!C9),Knoten!C9,KnotenData!$H$2)</f>
        <v>0.5</v>
      </c>
      <c r="D10">
        <f>IF(ISNUMBER(Knoten!C9),C10+0.5*$E$1*B10,C10)</f>
        <v>0.5</v>
      </c>
      <c r="E10" s="12">
        <f>IF(ISNUMBER(Knoten!C9),C10-0.5*$E$1*B10,C10)</f>
        <v>0.5</v>
      </c>
      <c r="F10" s="30">
        <f t="shared" si="0"/>
        <v>0.5</v>
      </c>
      <c r="G10">
        <f>IF(ISNUMBER(Knoten!D9),Knoten!D9,KnotenData!$H$3)</f>
        <v>0.47499999999999998</v>
      </c>
      <c r="H10">
        <f>IF(ISNUMBER(Knoten!D9),G10+0.866*$E$1*B10,G10)</f>
        <v>0.47499999999999998</v>
      </c>
      <c r="I10" s="12">
        <f>IF(ISNUMBER(Knoten!D9),G10+0.866*$E$1*B10,G10)</f>
        <v>0.47499999999999998</v>
      </c>
      <c r="J10" s="30">
        <f t="shared" si="1"/>
        <v>0.47499999999999998</v>
      </c>
      <c r="M10" s="12"/>
      <c r="N10" s="30">
        <v>7</v>
      </c>
      <c r="O10" s="328">
        <f>1-ABS(SIGN(Knoten!F9))</f>
        <v>1</v>
      </c>
      <c r="P10">
        <f>IF(ISNUMBER(Knoten!C9),Knoten!C9+$O$1*(Knoten!K9+Knoten!N9),KnotenData!$H$2)</f>
        <v>0.5</v>
      </c>
      <c r="Q10">
        <f>IF(ISNUMBER(Knoten!C9),P10+0.5*$E$1*O10,P10)</f>
        <v>0.5</v>
      </c>
      <c r="R10" s="12">
        <f>IF(ISNUMBER(Knoten!C9),P10-0.5*$E$1*O10,P10)</f>
        <v>0.5</v>
      </c>
      <c r="S10" s="30">
        <f t="shared" si="2"/>
        <v>0.5</v>
      </c>
      <c r="T10">
        <f>IF(ISNUMBER(Knoten!D9),Knoten!D9+$O$1*(Knoten!L9+Knoten!O9),KnotenData!$H$3)</f>
        <v>0.47499999999999998</v>
      </c>
      <c r="U10">
        <f>IF(ISNUMBER(Knoten!D9),T10+0.866*$E$1*O10,T10)</f>
        <v>0.47499999999999998</v>
      </c>
      <c r="V10" s="12">
        <f>IF(ISNUMBER(Knoten!D9),T10+0.866*$E$1*O10,T10)</f>
        <v>0.47499999999999998</v>
      </c>
      <c r="W10" s="30">
        <f t="shared" si="3"/>
        <v>0.47499999999999998</v>
      </c>
      <c r="X10" s="12"/>
      <c r="Y10" s="12"/>
      <c r="Z10" s="12"/>
      <c r="AA10" s="12"/>
      <c r="AB10" s="12"/>
      <c r="AC10" s="12"/>
      <c r="AD10" s="12"/>
      <c r="AE10" s="12"/>
      <c r="AF10" s="12"/>
      <c r="AG10" s="12"/>
      <c r="AH10" s="12"/>
      <c r="AI10" s="12"/>
      <c r="AJ10" s="12"/>
      <c r="AK10" s="12"/>
      <c r="AL10" s="12"/>
      <c r="AM10" s="12"/>
      <c r="AN10" s="12"/>
      <c r="AO10" s="12"/>
    </row>
    <row r="11" spans="1:41" x14ac:dyDescent="0.2">
      <c r="A11" s="30">
        <v>8</v>
      </c>
      <c r="B11" s="328">
        <f>1-ABS(SIGN(Knoten!F10))</f>
        <v>1</v>
      </c>
      <c r="C11">
        <f>IF(ISNUMBER(Knoten!C10),Knoten!C10,KnotenData!$H$2)</f>
        <v>0.5</v>
      </c>
      <c r="D11">
        <f>IF(ISNUMBER(Knoten!C10),C11+0.5*$E$1*B11,C11)</f>
        <v>0.5</v>
      </c>
      <c r="E11" s="12">
        <f>IF(ISNUMBER(Knoten!C10),C11-0.5*$E$1*B11,C11)</f>
        <v>0.5</v>
      </c>
      <c r="F11" s="30">
        <f t="shared" si="0"/>
        <v>0.5</v>
      </c>
      <c r="G11">
        <f>IF(ISNUMBER(Knoten!D10),Knoten!D10,KnotenData!$H$3)</f>
        <v>0.47499999999999998</v>
      </c>
      <c r="H11">
        <f>IF(ISNUMBER(Knoten!D10),G11+0.866*$E$1*B11,G11)</f>
        <v>0.47499999999999998</v>
      </c>
      <c r="I11" s="12">
        <f>IF(ISNUMBER(Knoten!D10),G11+0.866*$E$1*B11,G11)</f>
        <v>0.47499999999999998</v>
      </c>
      <c r="J11" s="30">
        <f t="shared" si="1"/>
        <v>0.47499999999999998</v>
      </c>
      <c r="M11" s="12"/>
      <c r="N11" s="30">
        <v>8</v>
      </c>
      <c r="O11" s="328">
        <f>1-ABS(SIGN(Knoten!F10))</f>
        <v>1</v>
      </c>
      <c r="P11">
        <f>IF(ISNUMBER(Knoten!C10),Knoten!C10+$O$1*(Knoten!K10+Knoten!N10),KnotenData!$H$2)</f>
        <v>0.5</v>
      </c>
      <c r="Q11">
        <f>IF(ISNUMBER(Knoten!C10),P11+0.5*$E$1*O11,P11)</f>
        <v>0.5</v>
      </c>
      <c r="R11" s="12">
        <f>IF(ISNUMBER(Knoten!C10),P11-0.5*$E$1*O11,P11)</f>
        <v>0.5</v>
      </c>
      <c r="S11" s="30">
        <f t="shared" si="2"/>
        <v>0.5</v>
      </c>
      <c r="T11">
        <f>IF(ISNUMBER(Knoten!D10),Knoten!D10+$O$1*(Knoten!L10+Knoten!O10),KnotenData!$H$3)</f>
        <v>0.47499999999999998</v>
      </c>
      <c r="U11">
        <f>IF(ISNUMBER(Knoten!D10),T11+0.866*$E$1*O11,T11)</f>
        <v>0.47499999999999998</v>
      </c>
      <c r="V11" s="12">
        <f>IF(ISNUMBER(Knoten!D10),T11+0.866*$E$1*O11,T11)</f>
        <v>0.47499999999999998</v>
      </c>
      <c r="W11" s="30">
        <f t="shared" si="3"/>
        <v>0.47499999999999998</v>
      </c>
      <c r="X11" s="12"/>
      <c r="Y11" s="12"/>
      <c r="Z11" s="12"/>
      <c r="AA11" s="12"/>
      <c r="AB11" s="12"/>
      <c r="AC11" s="12"/>
      <c r="AD11" s="12"/>
      <c r="AE11" s="12"/>
      <c r="AF11" s="12"/>
      <c r="AG11" s="12"/>
      <c r="AH11" s="12"/>
      <c r="AI11" s="12"/>
      <c r="AJ11" s="12"/>
      <c r="AK11" s="12"/>
      <c r="AL11" s="12"/>
      <c r="AM11" s="12"/>
      <c r="AN11" s="12"/>
      <c r="AO11" s="12"/>
    </row>
    <row r="12" spans="1:41" x14ac:dyDescent="0.2">
      <c r="A12" s="30">
        <v>9</v>
      </c>
      <c r="B12" s="328">
        <f>1-ABS(SIGN(Knoten!F11))</f>
        <v>1</v>
      </c>
      <c r="C12">
        <f>IF(ISNUMBER(Knoten!C11),Knoten!C11,KnotenData!$H$2)</f>
        <v>0.5</v>
      </c>
      <c r="D12">
        <f>IF(ISNUMBER(Knoten!C11),C12+0.5*$E$1*B12,C12)</f>
        <v>0.5</v>
      </c>
      <c r="E12" s="12">
        <f>IF(ISNUMBER(Knoten!C11),C12-0.5*$E$1*B12,C12)</f>
        <v>0.5</v>
      </c>
      <c r="F12" s="30">
        <f t="shared" si="0"/>
        <v>0.5</v>
      </c>
      <c r="G12">
        <f>IF(ISNUMBER(Knoten!D11),Knoten!D11,KnotenData!$H$3)</f>
        <v>0.47499999999999998</v>
      </c>
      <c r="H12">
        <f>IF(ISNUMBER(Knoten!D11),G12+0.866*$E$1*B12,G12)</f>
        <v>0.47499999999999998</v>
      </c>
      <c r="I12" s="12">
        <f>IF(ISNUMBER(Knoten!D11),G12+0.866*$E$1*B12,G12)</f>
        <v>0.47499999999999998</v>
      </c>
      <c r="J12" s="30">
        <f t="shared" si="1"/>
        <v>0.47499999999999998</v>
      </c>
      <c r="M12" s="12"/>
      <c r="N12" s="30">
        <v>9</v>
      </c>
      <c r="O12" s="328">
        <f>1-ABS(SIGN(Knoten!F11))</f>
        <v>1</v>
      </c>
      <c r="P12">
        <f>IF(ISNUMBER(Knoten!C11),Knoten!C11+$O$1*(Knoten!K11+Knoten!N11),KnotenData!$H$2)</f>
        <v>0.5</v>
      </c>
      <c r="Q12">
        <f>IF(ISNUMBER(Knoten!C11),P12+0.5*$E$1*O12,P12)</f>
        <v>0.5</v>
      </c>
      <c r="R12" s="12">
        <f>IF(ISNUMBER(Knoten!C11),P12-0.5*$E$1*O12,P12)</f>
        <v>0.5</v>
      </c>
      <c r="S12" s="30">
        <f t="shared" si="2"/>
        <v>0.5</v>
      </c>
      <c r="T12">
        <f>IF(ISNUMBER(Knoten!D11),Knoten!D11+$O$1*(Knoten!L11+Knoten!O11),KnotenData!$H$3)</f>
        <v>0.47499999999999998</v>
      </c>
      <c r="U12">
        <f>IF(ISNUMBER(Knoten!D11),T12+0.866*$E$1*O12,T12)</f>
        <v>0.47499999999999998</v>
      </c>
      <c r="V12" s="12">
        <f>IF(ISNUMBER(Knoten!D11),T12+0.866*$E$1*O12,T12)</f>
        <v>0.47499999999999998</v>
      </c>
      <c r="W12" s="30">
        <f t="shared" si="3"/>
        <v>0.47499999999999998</v>
      </c>
      <c r="X12" s="12"/>
      <c r="Y12" s="12"/>
      <c r="Z12" s="12"/>
      <c r="AA12" s="12"/>
      <c r="AB12" s="12"/>
      <c r="AC12" s="12"/>
      <c r="AD12" s="12"/>
      <c r="AE12" s="12"/>
      <c r="AF12" s="12"/>
      <c r="AG12" s="12"/>
      <c r="AH12" s="12"/>
      <c r="AI12" s="12"/>
      <c r="AJ12" s="12"/>
      <c r="AK12" s="12"/>
      <c r="AL12" s="12"/>
      <c r="AM12" s="12"/>
      <c r="AN12" s="12"/>
      <c r="AO12" s="12"/>
    </row>
    <row r="13" spans="1:41" x14ac:dyDescent="0.2">
      <c r="A13" s="30">
        <v>10</v>
      </c>
      <c r="B13" s="328">
        <f>1-ABS(SIGN(Knoten!F12))</f>
        <v>1</v>
      </c>
      <c r="C13">
        <f>IF(ISNUMBER(Knoten!C12),Knoten!C12,KnotenData!$H$2)</f>
        <v>0.5</v>
      </c>
      <c r="D13">
        <f>IF(ISNUMBER(Knoten!C12),C13+0.5*$E$1*B13,C13)</f>
        <v>0.5</v>
      </c>
      <c r="E13" s="12">
        <f>IF(ISNUMBER(Knoten!C12),C13-0.5*$E$1*B13,C13)</f>
        <v>0.5</v>
      </c>
      <c r="F13" s="30">
        <f t="shared" si="0"/>
        <v>0.5</v>
      </c>
      <c r="G13">
        <f>IF(ISNUMBER(Knoten!D12),Knoten!D12,KnotenData!$H$3)</f>
        <v>0.47499999999999998</v>
      </c>
      <c r="H13">
        <f>IF(ISNUMBER(Knoten!D12),G13+0.866*$E$1*B13,G13)</f>
        <v>0.47499999999999998</v>
      </c>
      <c r="I13" s="12">
        <f>IF(ISNUMBER(Knoten!D12),G13+0.866*$E$1*B13,G13)</f>
        <v>0.47499999999999998</v>
      </c>
      <c r="J13" s="30">
        <f t="shared" si="1"/>
        <v>0.47499999999999998</v>
      </c>
      <c r="M13" s="12"/>
      <c r="N13" s="30">
        <v>10</v>
      </c>
      <c r="O13" s="328">
        <f>1-ABS(SIGN(Knoten!F12))</f>
        <v>1</v>
      </c>
      <c r="P13">
        <f>IF(ISNUMBER(Knoten!C12),Knoten!C12+$O$1*(Knoten!K12+Knoten!N12),KnotenData!$H$2)</f>
        <v>0.5</v>
      </c>
      <c r="Q13">
        <f>IF(ISNUMBER(Knoten!C12),P13+0.5*$E$1*O13,P13)</f>
        <v>0.5</v>
      </c>
      <c r="R13" s="12">
        <f>IF(ISNUMBER(Knoten!C12),P13-0.5*$E$1*O13,P13)</f>
        <v>0.5</v>
      </c>
      <c r="S13" s="30">
        <f t="shared" si="2"/>
        <v>0.5</v>
      </c>
      <c r="T13">
        <f>IF(ISNUMBER(Knoten!D12),Knoten!D12+$O$1*(Knoten!L12+Knoten!O12),KnotenData!$H$3)</f>
        <v>0.47499999999999998</v>
      </c>
      <c r="U13">
        <f>IF(ISNUMBER(Knoten!D12),T13+0.866*$E$1*O13,T13)</f>
        <v>0.47499999999999998</v>
      </c>
      <c r="V13" s="12">
        <f>IF(ISNUMBER(Knoten!D12),T13+0.866*$E$1*O13,T13)</f>
        <v>0.47499999999999998</v>
      </c>
      <c r="W13" s="30">
        <f t="shared" si="3"/>
        <v>0.47499999999999998</v>
      </c>
      <c r="X13" s="12"/>
      <c r="Y13" s="12"/>
      <c r="Z13" s="12"/>
      <c r="AA13" s="12"/>
      <c r="AB13" s="12"/>
      <c r="AC13" s="12"/>
      <c r="AD13" s="12"/>
      <c r="AE13" s="12"/>
      <c r="AF13" s="12"/>
      <c r="AG13" s="12"/>
      <c r="AH13" s="12"/>
      <c r="AI13" s="12"/>
      <c r="AJ13" s="12"/>
      <c r="AK13" s="12"/>
      <c r="AL13" s="12"/>
      <c r="AM13" s="12"/>
      <c r="AN13" s="12"/>
      <c r="AO13" s="12"/>
    </row>
    <row r="14" spans="1:41" x14ac:dyDescent="0.2">
      <c r="A14" s="30">
        <v>11</v>
      </c>
      <c r="B14" s="328">
        <f>1-ABS(SIGN(Knoten!F13))</f>
        <v>1</v>
      </c>
      <c r="C14">
        <f>IF(ISNUMBER(Knoten!C13),Knoten!C13,KnotenData!$H$2)</f>
        <v>0.5</v>
      </c>
      <c r="D14">
        <f>IF(ISNUMBER(Knoten!C13),C14+0.5*$E$1*B14,C14)</f>
        <v>0.5</v>
      </c>
      <c r="E14" s="12">
        <f>IF(ISNUMBER(Knoten!C13),C14-0.5*$E$1*B14,C14)</f>
        <v>0.5</v>
      </c>
      <c r="F14" s="30">
        <f t="shared" si="0"/>
        <v>0.5</v>
      </c>
      <c r="G14">
        <f>IF(ISNUMBER(Knoten!D13),Knoten!D13,KnotenData!$H$3)</f>
        <v>0.47499999999999998</v>
      </c>
      <c r="H14">
        <f>IF(ISNUMBER(Knoten!D13),G14+0.866*$E$1*B14,G14)</f>
        <v>0.47499999999999998</v>
      </c>
      <c r="I14" s="12">
        <f>IF(ISNUMBER(Knoten!D13),G14+0.866*$E$1*B14,G14)</f>
        <v>0.47499999999999998</v>
      </c>
      <c r="J14" s="30">
        <f t="shared" si="1"/>
        <v>0.47499999999999998</v>
      </c>
      <c r="M14" s="12"/>
      <c r="N14" s="30">
        <v>11</v>
      </c>
      <c r="O14" s="328">
        <f>1-ABS(SIGN(Knoten!F13))</f>
        <v>1</v>
      </c>
      <c r="P14">
        <f>IF(ISNUMBER(Knoten!C13),Knoten!C13+$O$1*(Knoten!K13+Knoten!N13),KnotenData!$H$2)</f>
        <v>0.5</v>
      </c>
      <c r="Q14">
        <f>IF(ISNUMBER(Knoten!C13),P14+0.5*$E$1*O14,P14)</f>
        <v>0.5</v>
      </c>
      <c r="R14" s="12">
        <f>IF(ISNUMBER(Knoten!C13),P14-0.5*$E$1*O14,P14)</f>
        <v>0.5</v>
      </c>
      <c r="S14" s="30">
        <f t="shared" si="2"/>
        <v>0.5</v>
      </c>
      <c r="T14">
        <f>IF(ISNUMBER(Knoten!D13),Knoten!D13+$O$1*(Knoten!L13+Knoten!O13),KnotenData!$H$3)</f>
        <v>0.47499999999999998</v>
      </c>
      <c r="U14">
        <f>IF(ISNUMBER(Knoten!D13),T14+0.866*$E$1*O14,T14)</f>
        <v>0.47499999999999998</v>
      </c>
      <c r="V14" s="12">
        <f>IF(ISNUMBER(Knoten!D13),T14+0.866*$E$1*O14,T14)</f>
        <v>0.47499999999999998</v>
      </c>
      <c r="W14" s="30">
        <f t="shared" si="3"/>
        <v>0.47499999999999998</v>
      </c>
      <c r="X14" s="12"/>
      <c r="Y14" s="12"/>
      <c r="Z14" s="12"/>
      <c r="AA14" s="12"/>
      <c r="AB14" s="12"/>
      <c r="AC14" s="12"/>
      <c r="AD14" s="12"/>
      <c r="AE14" s="12"/>
      <c r="AF14" s="12"/>
      <c r="AG14" s="12"/>
      <c r="AH14" s="12"/>
      <c r="AI14" s="12"/>
      <c r="AJ14" s="12"/>
      <c r="AK14" s="12"/>
      <c r="AL14" s="12"/>
      <c r="AM14" s="12"/>
      <c r="AN14" s="12"/>
      <c r="AO14" s="12"/>
    </row>
    <row r="15" spans="1:41" x14ac:dyDescent="0.2">
      <c r="A15" s="30">
        <v>12</v>
      </c>
      <c r="B15" s="328">
        <f>1-ABS(SIGN(Knoten!F14))</f>
        <v>1</v>
      </c>
      <c r="C15">
        <f>IF(ISNUMBER(Knoten!C14),Knoten!C14,KnotenData!$H$2)</f>
        <v>0.5</v>
      </c>
      <c r="D15">
        <f>IF(ISNUMBER(Knoten!C14),C15+0.5*$E$1*B15,C15)</f>
        <v>0.5</v>
      </c>
      <c r="E15" s="12">
        <f>IF(ISNUMBER(Knoten!C14),C15-0.5*$E$1*B15,C15)</f>
        <v>0.5</v>
      </c>
      <c r="F15" s="30">
        <f t="shared" si="0"/>
        <v>0.5</v>
      </c>
      <c r="G15">
        <f>IF(ISNUMBER(Knoten!D14),Knoten!D14,KnotenData!$H$3)</f>
        <v>0.47499999999999998</v>
      </c>
      <c r="H15">
        <f>IF(ISNUMBER(Knoten!D14),G15+0.866*$E$1*B15,G15)</f>
        <v>0.47499999999999998</v>
      </c>
      <c r="I15" s="12">
        <f>IF(ISNUMBER(Knoten!D14),G15+0.866*$E$1*B15,G15)</f>
        <v>0.47499999999999998</v>
      </c>
      <c r="J15" s="30">
        <f t="shared" si="1"/>
        <v>0.47499999999999998</v>
      </c>
      <c r="M15" s="12"/>
      <c r="N15" s="30">
        <v>12</v>
      </c>
      <c r="O15" s="328">
        <f>1-ABS(SIGN(Knoten!F14))</f>
        <v>1</v>
      </c>
      <c r="P15">
        <f>IF(ISNUMBER(Knoten!C14),Knoten!C14+$O$1*(Knoten!K14+Knoten!N14),KnotenData!$H$2)</f>
        <v>0.5</v>
      </c>
      <c r="Q15">
        <f>IF(ISNUMBER(Knoten!C14),P15+0.5*$E$1*O15,P15)</f>
        <v>0.5</v>
      </c>
      <c r="R15" s="12">
        <f>IF(ISNUMBER(Knoten!C14),P15-0.5*$E$1*O15,P15)</f>
        <v>0.5</v>
      </c>
      <c r="S15" s="30">
        <f t="shared" si="2"/>
        <v>0.5</v>
      </c>
      <c r="T15">
        <f>IF(ISNUMBER(Knoten!D14),Knoten!D14+$O$1*(Knoten!L14+Knoten!O14),KnotenData!$H$3)</f>
        <v>0.47499999999999998</v>
      </c>
      <c r="U15">
        <f>IF(ISNUMBER(Knoten!D14),T15+0.866*$E$1*O15,T15)</f>
        <v>0.47499999999999998</v>
      </c>
      <c r="V15" s="12">
        <f>IF(ISNUMBER(Knoten!D14),T15+0.866*$E$1*O15,T15)</f>
        <v>0.47499999999999998</v>
      </c>
      <c r="W15" s="30">
        <f t="shared" si="3"/>
        <v>0.47499999999999998</v>
      </c>
      <c r="X15" s="12"/>
      <c r="Y15" s="12"/>
      <c r="Z15" s="12"/>
      <c r="AA15" s="12"/>
      <c r="AB15" s="12"/>
      <c r="AC15" s="12"/>
      <c r="AD15" s="12"/>
      <c r="AE15" s="12"/>
      <c r="AF15" s="12"/>
      <c r="AG15" s="12"/>
      <c r="AH15" s="12"/>
      <c r="AI15" s="12"/>
      <c r="AJ15" s="12"/>
      <c r="AK15" s="12"/>
      <c r="AL15" s="12"/>
      <c r="AM15" s="12"/>
      <c r="AN15" s="12"/>
      <c r="AO15" s="12"/>
    </row>
    <row r="16" spans="1:41" x14ac:dyDescent="0.2">
      <c r="A16" s="30">
        <v>13</v>
      </c>
      <c r="B16" s="328">
        <f>1-ABS(SIGN(Knoten!F15))</f>
        <v>1</v>
      </c>
      <c r="C16">
        <f>IF(ISNUMBER(Knoten!C15),Knoten!C15,KnotenData!$H$2)</f>
        <v>0.5</v>
      </c>
      <c r="D16">
        <f>IF(ISNUMBER(Knoten!C15),C16+0.5*$E$1*B16,C16)</f>
        <v>0.5</v>
      </c>
      <c r="E16" s="12">
        <f>IF(ISNUMBER(Knoten!C15),C16-0.5*$E$1*B16,C16)</f>
        <v>0.5</v>
      </c>
      <c r="F16" s="30">
        <f t="shared" si="0"/>
        <v>0.5</v>
      </c>
      <c r="G16">
        <f>IF(ISNUMBER(Knoten!D15),Knoten!D15,KnotenData!$H$3)</f>
        <v>0.47499999999999998</v>
      </c>
      <c r="H16">
        <f>IF(ISNUMBER(Knoten!D15),G16+0.866*$E$1*B16,G16)</f>
        <v>0.47499999999999998</v>
      </c>
      <c r="I16" s="12">
        <f>IF(ISNUMBER(Knoten!D15),G16+0.866*$E$1*B16,G16)</f>
        <v>0.47499999999999998</v>
      </c>
      <c r="J16" s="30">
        <f t="shared" si="1"/>
        <v>0.47499999999999998</v>
      </c>
      <c r="M16" s="12"/>
      <c r="N16" s="30">
        <v>13</v>
      </c>
      <c r="O16" s="328">
        <f>1-ABS(SIGN(Knoten!F15))</f>
        <v>1</v>
      </c>
      <c r="P16">
        <f>IF(ISNUMBER(Knoten!C15),Knoten!C15+$O$1*(Knoten!K15+Knoten!N15),KnotenData!$H$2)</f>
        <v>0.5</v>
      </c>
      <c r="Q16">
        <f>IF(ISNUMBER(Knoten!C15),P16+0.5*$E$1*O16,P16)</f>
        <v>0.5</v>
      </c>
      <c r="R16" s="12">
        <f>IF(ISNUMBER(Knoten!C15),P16-0.5*$E$1*O16,P16)</f>
        <v>0.5</v>
      </c>
      <c r="S16" s="30">
        <f t="shared" si="2"/>
        <v>0.5</v>
      </c>
      <c r="T16">
        <f>IF(ISNUMBER(Knoten!D15),Knoten!D15+$O$1*(Knoten!L15+Knoten!O15),KnotenData!$H$3)</f>
        <v>0.47499999999999998</v>
      </c>
      <c r="U16">
        <f>IF(ISNUMBER(Knoten!D15),T16+0.866*$E$1*O16,T16)</f>
        <v>0.47499999999999998</v>
      </c>
      <c r="V16" s="12">
        <f>IF(ISNUMBER(Knoten!D15),T16+0.866*$E$1*O16,T16)</f>
        <v>0.47499999999999998</v>
      </c>
      <c r="W16" s="30">
        <f t="shared" si="3"/>
        <v>0.47499999999999998</v>
      </c>
      <c r="X16" s="12"/>
      <c r="Y16" s="12"/>
      <c r="Z16" s="12"/>
      <c r="AA16" s="12"/>
      <c r="AB16" s="12"/>
      <c r="AC16" s="12"/>
      <c r="AD16" s="12"/>
      <c r="AE16" s="12"/>
      <c r="AF16" s="12"/>
      <c r="AG16" s="12"/>
      <c r="AH16" s="12"/>
      <c r="AI16" s="12"/>
      <c r="AJ16" s="12"/>
      <c r="AK16" s="12"/>
      <c r="AL16" s="12"/>
      <c r="AM16" s="12"/>
      <c r="AN16" s="12"/>
      <c r="AO16" s="12"/>
    </row>
    <row r="17" spans="1:41" x14ac:dyDescent="0.2">
      <c r="A17" s="30">
        <v>14</v>
      </c>
      <c r="B17" s="328">
        <f>1-ABS(SIGN(Knoten!F16))</f>
        <v>1</v>
      </c>
      <c r="C17">
        <f>IF(ISNUMBER(Knoten!C16),Knoten!C16,KnotenData!$H$2)</f>
        <v>0.5</v>
      </c>
      <c r="D17">
        <f>IF(ISNUMBER(Knoten!C16),C17+0.5*$E$1*B17,C17)</f>
        <v>0.5</v>
      </c>
      <c r="E17" s="12">
        <f>IF(ISNUMBER(Knoten!C16),C17-0.5*$E$1*B17,C17)</f>
        <v>0.5</v>
      </c>
      <c r="F17" s="30">
        <f t="shared" si="0"/>
        <v>0.5</v>
      </c>
      <c r="G17">
        <f>IF(ISNUMBER(Knoten!D16),Knoten!D16,KnotenData!$H$3)</f>
        <v>0.47499999999999998</v>
      </c>
      <c r="H17">
        <f>IF(ISNUMBER(Knoten!D16),G17+0.866*$E$1*B17,G17)</f>
        <v>0.47499999999999998</v>
      </c>
      <c r="I17" s="12">
        <f>IF(ISNUMBER(Knoten!D16),G17+0.866*$E$1*B17,G17)</f>
        <v>0.47499999999999998</v>
      </c>
      <c r="J17" s="30">
        <f t="shared" si="1"/>
        <v>0.47499999999999998</v>
      </c>
      <c r="M17" s="12"/>
      <c r="N17" s="30">
        <v>14</v>
      </c>
      <c r="O17" s="328">
        <f>1-ABS(SIGN(Knoten!F16))</f>
        <v>1</v>
      </c>
      <c r="P17">
        <f>IF(ISNUMBER(Knoten!C16),Knoten!C16+$O$1*(Knoten!K16+Knoten!N16),KnotenData!$H$2)</f>
        <v>0.5</v>
      </c>
      <c r="Q17">
        <f>IF(ISNUMBER(Knoten!C16),P17+0.5*$E$1*O17,P17)</f>
        <v>0.5</v>
      </c>
      <c r="R17" s="12">
        <f>IF(ISNUMBER(Knoten!C16),P17-0.5*$E$1*O17,P17)</f>
        <v>0.5</v>
      </c>
      <c r="S17" s="30">
        <f t="shared" si="2"/>
        <v>0.5</v>
      </c>
      <c r="T17">
        <f>IF(ISNUMBER(Knoten!D16),Knoten!D16+$O$1*(Knoten!L16+Knoten!O16),KnotenData!$H$3)</f>
        <v>0.47499999999999998</v>
      </c>
      <c r="U17">
        <f>IF(ISNUMBER(Knoten!D16),T17+0.866*$E$1*O17,T17)</f>
        <v>0.47499999999999998</v>
      </c>
      <c r="V17" s="12">
        <f>IF(ISNUMBER(Knoten!D16),T17+0.866*$E$1*O17,T17)</f>
        <v>0.47499999999999998</v>
      </c>
      <c r="W17" s="30">
        <f t="shared" si="3"/>
        <v>0.47499999999999998</v>
      </c>
      <c r="X17" s="12"/>
      <c r="Y17" s="12"/>
      <c r="Z17" s="12"/>
      <c r="AA17" s="12"/>
      <c r="AB17" s="12"/>
      <c r="AC17" s="12"/>
      <c r="AD17" s="12"/>
      <c r="AE17" s="12"/>
      <c r="AF17" s="12"/>
      <c r="AG17" s="12"/>
      <c r="AH17" s="12"/>
      <c r="AI17" s="12"/>
      <c r="AJ17" s="12"/>
      <c r="AK17" s="12"/>
      <c r="AL17" s="12"/>
      <c r="AM17" s="12"/>
      <c r="AN17" s="12"/>
      <c r="AO17" s="12"/>
    </row>
    <row r="18" spans="1:41" x14ac:dyDescent="0.2">
      <c r="A18" s="30">
        <v>15</v>
      </c>
      <c r="B18" s="328">
        <f>1-ABS(SIGN(Knoten!F17))</f>
        <v>1</v>
      </c>
      <c r="C18">
        <f>IF(ISNUMBER(Knoten!C17),Knoten!C17,KnotenData!$H$2)</f>
        <v>0.5</v>
      </c>
      <c r="D18">
        <f>IF(ISNUMBER(Knoten!C17),C18+0.5*$E$1*B18,C18)</f>
        <v>0.5</v>
      </c>
      <c r="E18" s="12">
        <f>IF(ISNUMBER(Knoten!C17),C18-0.5*$E$1*B18,C18)</f>
        <v>0.5</v>
      </c>
      <c r="F18" s="30">
        <f t="shared" si="0"/>
        <v>0.5</v>
      </c>
      <c r="G18">
        <f>IF(ISNUMBER(Knoten!D17),Knoten!D17,KnotenData!$H$3)</f>
        <v>0.47499999999999998</v>
      </c>
      <c r="H18">
        <f>IF(ISNUMBER(Knoten!D17),G18+0.866*$E$1*B18,G18)</f>
        <v>0.47499999999999998</v>
      </c>
      <c r="I18" s="12">
        <f>IF(ISNUMBER(Knoten!D17),G18+0.866*$E$1*B18,G18)</f>
        <v>0.47499999999999998</v>
      </c>
      <c r="J18" s="30">
        <f t="shared" si="1"/>
        <v>0.47499999999999998</v>
      </c>
      <c r="M18" s="12"/>
      <c r="N18" s="30">
        <v>15</v>
      </c>
      <c r="O18" s="328">
        <f>1-ABS(SIGN(Knoten!F17))</f>
        <v>1</v>
      </c>
      <c r="P18">
        <f>IF(ISNUMBER(Knoten!C17),Knoten!C17+$O$1*(Knoten!K17+Knoten!N17),KnotenData!$H$2)</f>
        <v>0.5</v>
      </c>
      <c r="Q18">
        <f>IF(ISNUMBER(Knoten!C17),P18+0.5*$E$1*O18,P18)</f>
        <v>0.5</v>
      </c>
      <c r="R18" s="12">
        <f>IF(ISNUMBER(Knoten!C17),P18-0.5*$E$1*O18,P18)</f>
        <v>0.5</v>
      </c>
      <c r="S18" s="30">
        <f t="shared" si="2"/>
        <v>0.5</v>
      </c>
      <c r="T18">
        <f>IF(ISNUMBER(Knoten!D17),Knoten!D17+$O$1*(Knoten!L17+Knoten!O17),KnotenData!$H$3)</f>
        <v>0.47499999999999998</v>
      </c>
      <c r="U18">
        <f>IF(ISNUMBER(Knoten!D17),T18+0.866*$E$1*O18,T18)</f>
        <v>0.47499999999999998</v>
      </c>
      <c r="V18" s="12">
        <f>IF(ISNUMBER(Knoten!D17),T18+0.866*$E$1*O18,T18)</f>
        <v>0.47499999999999998</v>
      </c>
      <c r="W18" s="30">
        <f t="shared" si="3"/>
        <v>0.47499999999999998</v>
      </c>
      <c r="X18" s="12"/>
      <c r="Y18" s="12"/>
      <c r="Z18" s="12"/>
      <c r="AA18" s="12"/>
      <c r="AB18" s="12"/>
      <c r="AC18" s="12"/>
      <c r="AD18" s="12"/>
      <c r="AE18" s="12"/>
      <c r="AF18" s="12"/>
      <c r="AG18" s="12"/>
      <c r="AH18" s="12"/>
      <c r="AI18" s="12"/>
      <c r="AJ18" s="12"/>
      <c r="AK18" s="12"/>
      <c r="AL18" s="12"/>
      <c r="AM18" s="12"/>
      <c r="AN18" s="12"/>
      <c r="AO18" s="12"/>
    </row>
    <row r="19" spans="1:41" x14ac:dyDescent="0.2">
      <c r="A19" s="30">
        <v>16</v>
      </c>
      <c r="B19" s="328">
        <f>1-ABS(SIGN(Knoten!F18))</f>
        <v>1</v>
      </c>
      <c r="C19">
        <f>IF(ISNUMBER(Knoten!C18),Knoten!C18,KnotenData!$H$2)</f>
        <v>0.5</v>
      </c>
      <c r="D19">
        <f>IF(ISNUMBER(Knoten!C18),C19+0.5*$E$1*B19,C19)</f>
        <v>0.5</v>
      </c>
      <c r="E19" s="12">
        <f>IF(ISNUMBER(Knoten!C18),C19-0.5*$E$1*B19,C19)</f>
        <v>0.5</v>
      </c>
      <c r="F19" s="30">
        <f t="shared" si="0"/>
        <v>0.5</v>
      </c>
      <c r="G19">
        <f>IF(ISNUMBER(Knoten!D18),Knoten!D18,KnotenData!$H$3)</f>
        <v>0.47499999999999998</v>
      </c>
      <c r="H19">
        <f>IF(ISNUMBER(Knoten!D18),G19+0.866*$E$1*B19,G19)</f>
        <v>0.47499999999999998</v>
      </c>
      <c r="I19" s="12">
        <f>IF(ISNUMBER(Knoten!D18),G19+0.866*$E$1*B19,G19)</f>
        <v>0.47499999999999998</v>
      </c>
      <c r="J19" s="30">
        <f t="shared" si="1"/>
        <v>0.47499999999999998</v>
      </c>
      <c r="N19" s="30">
        <v>16</v>
      </c>
      <c r="O19" s="328">
        <f>1-ABS(SIGN(Knoten!F18))</f>
        <v>1</v>
      </c>
      <c r="P19">
        <f>IF(ISNUMBER(Knoten!C18),Knoten!C18+$O$1*(Knoten!K18+Knoten!N18),KnotenData!$H$2)</f>
        <v>0.5</v>
      </c>
      <c r="Q19">
        <f>IF(ISNUMBER(Knoten!C18),P19+0.5*$E$1*O19,P19)</f>
        <v>0.5</v>
      </c>
      <c r="R19" s="12">
        <f>IF(ISNUMBER(Knoten!C18),P19-0.5*$E$1*O19,P19)</f>
        <v>0.5</v>
      </c>
      <c r="S19" s="30">
        <f t="shared" si="2"/>
        <v>0.5</v>
      </c>
      <c r="T19">
        <f>IF(ISNUMBER(Knoten!D18),Knoten!D18+$O$1*(Knoten!L18+Knoten!O18),KnotenData!$H$3)</f>
        <v>0.47499999999999998</v>
      </c>
      <c r="U19">
        <f>IF(ISNUMBER(Knoten!D18),T19+0.866*$E$1*O19,T19)</f>
        <v>0.47499999999999998</v>
      </c>
      <c r="V19" s="12">
        <f>IF(ISNUMBER(Knoten!D18),T19+0.866*$E$1*O19,T19)</f>
        <v>0.47499999999999998</v>
      </c>
      <c r="W19" s="30">
        <f t="shared" si="3"/>
        <v>0.47499999999999998</v>
      </c>
    </row>
    <row r="20" spans="1:41" x14ac:dyDescent="0.2">
      <c r="A20" s="30">
        <v>17</v>
      </c>
      <c r="B20" s="328">
        <f>1-ABS(SIGN(Knoten!F19))</f>
        <v>1</v>
      </c>
      <c r="C20">
        <f>IF(ISNUMBER(Knoten!C19),Knoten!C19,KnotenData!$H$2)</f>
        <v>0.5</v>
      </c>
      <c r="D20">
        <f>IF(ISNUMBER(Knoten!C19),C20+0.5*$E$1*B20,C20)</f>
        <v>0.5</v>
      </c>
      <c r="E20" s="12">
        <f>IF(ISNUMBER(Knoten!C19),C20-0.5*$E$1*B20,C20)</f>
        <v>0.5</v>
      </c>
      <c r="F20" s="30">
        <f t="shared" si="0"/>
        <v>0.5</v>
      </c>
      <c r="G20">
        <f>IF(ISNUMBER(Knoten!D19),Knoten!D19,KnotenData!$H$3)</f>
        <v>0.47499999999999998</v>
      </c>
      <c r="H20">
        <f>IF(ISNUMBER(Knoten!D19),G20+0.866*$E$1*B20,G20)</f>
        <v>0.47499999999999998</v>
      </c>
      <c r="I20" s="12">
        <f>IF(ISNUMBER(Knoten!D19),G20+0.866*$E$1*B20,G20)</f>
        <v>0.47499999999999998</v>
      </c>
      <c r="J20" s="30">
        <f t="shared" si="1"/>
        <v>0.47499999999999998</v>
      </c>
      <c r="N20" s="30">
        <v>17</v>
      </c>
      <c r="O20" s="328">
        <f>1-ABS(SIGN(Knoten!F19))</f>
        <v>1</v>
      </c>
      <c r="P20">
        <f>IF(ISNUMBER(Knoten!C19),Knoten!C19+$O$1*(Knoten!K19+Knoten!N19),KnotenData!$H$2)</f>
        <v>0.5</v>
      </c>
      <c r="Q20">
        <f>IF(ISNUMBER(Knoten!C19),P20+0.5*$E$1*O20,P20)</f>
        <v>0.5</v>
      </c>
      <c r="R20" s="12">
        <f>IF(ISNUMBER(Knoten!C19),P20-0.5*$E$1*O20,P20)</f>
        <v>0.5</v>
      </c>
      <c r="S20" s="30">
        <f t="shared" si="2"/>
        <v>0.5</v>
      </c>
      <c r="T20">
        <f>IF(ISNUMBER(Knoten!D19),Knoten!D19+$O$1*(Knoten!L19+Knoten!O19),KnotenData!$H$3)</f>
        <v>0.47499999999999998</v>
      </c>
      <c r="U20">
        <f>IF(ISNUMBER(Knoten!D19),T20+0.866*$E$1*O20,T20)</f>
        <v>0.47499999999999998</v>
      </c>
      <c r="V20" s="12">
        <f>IF(ISNUMBER(Knoten!D19),T20+0.866*$E$1*O20,T20)</f>
        <v>0.47499999999999998</v>
      </c>
      <c r="W20" s="30">
        <f t="shared" si="3"/>
        <v>0.47499999999999998</v>
      </c>
    </row>
    <row r="21" spans="1:41" x14ac:dyDescent="0.2">
      <c r="A21" s="30">
        <v>18</v>
      </c>
      <c r="B21" s="328">
        <f>1-ABS(SIGN(Knoten!F20))</f>
        <v>1</v>
      </c>
      <c r="C21">
        <f>IF(ISNUMBER(Knoten!C20),Knoten!C20,KnotenData!$H$2)</f>
        <v>0.5</v>
      </c>
      <c r="D21">
        <f>IF(ISNUMBER(Knoten!C20),C21+0.5*$E$1*B21,C21)</f>
        <v>0.5</v>
      </c>
      <c r="E21" s="12">
        <f>IF(ISNUMBER(Knoten!C20),C21-0.5*$E$1*B21,C21)</f>
        <v>0.5</v>
      </c>
      <c r="F21" s="30">
        <f t="shared" si="0"/>
        <v>0.5</v>
      </c>
      <c r="G21">
        <f>IF(ISNUMBER(Knoten!D20),Knoten!D20,KnotenData!$H$3)</f>
        <v>0.47499999999999998</v>
      </c>
      <c r="H21">
        <f>IF(ISNUMBER(Knoten!D20),G21+0.866*$E$1*B21,G21)</f>
        <v>0.47499999999999998</v>
      </c>
      <c r="I21" s="12">
        <f>IF(ISNUMBER(Knoten!D20),G21+0.866*$E$1*B21,G21)</f>
        <v>0.47499999999999998</v>
      </c>
      <c r="J21" s="30">
        <f t="shared" si="1"/>
        <v>0.47499999999999998</v>
      </c>
      <c r="N21" s="30">
        <v>18</v>
      </c>
      <c r="O21" s="328">
        <f>1-ABS(SIGN(Knoten!F20))</f>
        <v>1</v>
      </c>
      <c r="P21">
        <f>IF(ISNUMBER(Knoten!C20),Knoten!C20+$O$1*(Knoten!K20+Knoten!N20),KnotenData!$H$2)</f>
        <v>0.5</v>
      </c>
      <c r="Q21">
        <f>IF(ISNUMBER(Knoten!C20),P21+0.5*$E$1*O21,P21)</f>
        <v>0.5</v>
      </c>
      <c r="R21" s="12">
        <f>IF(ISNUMBER(Knoten!C20),P21-0.5*$E$1*O21,P21)</f>
        <v>0.5</v>
      </c>
      <c r="S21" s="30">
        <f t="shared" si="2"/>
        <v>0.5</v>
      </c>
      <c r="T21">
        <f>IF(ISNUMBER(Knoten!D20),Knoten!D20+$O$1*(Knoten!L20+Knoten!O20),KnotenData!$H$3)</f>
        <v>0.47499999999999998</v>
      </c>
      <c r="U21">
        <f>IF(ISNUMBER(Knoten!D20),T21+0.866*$E$1*O21,T21)</f>
        <v>0.47499999999999998</v>
      </c>
      <c r="V21" s="12">
        <f>IF(ISNUMBER(Knoten!D20),T21+0.866*$E$1*O21,T21)</f>
        <v>0.47499999999999998</v>
      </c>
      <c r="W21" s="30">
        <f t="shared" si="3"/>
        <v>0.47499999999999998</v>
      </c>
    </row>
    <row r="22" spans="1:41" x14ac:dyDescent="0.2">
      <c r="A22" s="30">
        <v>19</v>
      </c>
      <c r="B22" s="328">
        <f>1-ABS(SIGN(Knoten!F21))</f>
        <v>1</v>
      </c>
      <c r="C22">
        <f>IF(ISNUMBER(Knoten!C21),Knoten!C21,KnotenData!$H$2)</f>
        <v>0.5</v>
      </c>
      <c r="D22">
        <f>IF(ISNUMBER(Knoten!C21),C22+0.5*$E$1*B22,C22)</f>
        <v>0.5</v>
      </c>
      <c r="E22" s="12">
        <f>IF(ISNUMBER(Knoten!C21),C22-0.5*$E$1*B22,C22)</f>
        <v>0.5</v>
      </c>
      <c r="F22" s="30">
        <f t="shared" si="0"/>
        <v>0.5</v>
      </c>
      <c r="G22">
        <f>IF(ISNUMBER(Knoten!D21),Knoten!D21,KnotenData!$H$3)</f>
        <v>0.47499999999999998</v>
      </c>
      <c r="H22">
        <f>IF(ISNUMBER(Knoten!D21),G22+0.866*$E$1*B22,G22)</f>
        <v>0.47499999999999998</v>
      </c>
      <c r="I22" s="12">
        <f>IF(ISNUMBER(Knoten!D21),G22+0.866*$E$1*B22,G22)</f>
        <v>0.47499999999999998</v>
      </c>
      <c r="J22" s="30">
        <f t="shared" si="1"/>
        <v>0.47499999999999998</v>
      </c>
      <c r="N22" s="30">
        <v>19</v>
      </c>
      <c r="O22" s="328">
        <f>1-ABS(SIGN(Knoten!F21))</f>
        <v>1</v>
      </c>
      <c r="P22">
        <f>IF(ISNUMBER(Knoten!C21),Knoten!C21+$O$1*(Knoten!K21+Knoten!N21),KnotenData!$H$2)</f>
        <v>0.5</v>
      </c>
      <c r="Q22">
        <f>IF(ISNUMBER(Knoten!C21),P22+0.5*$E$1*O22,P22)</f>
        <v>0.5</v>
      </c>
      <c r="R22" s="12">
        <f>IF(ISNUMBER(Knoten!C21),P22-0.5*$E$1*O22,P22)</f>
        <v>0.5</v>
      </c>
      <c r="S22" s="30">
        <f t="shared" si="2"/>
        <v>0.5</v>
      </c>
      <c r="T22">
        <f>IF(ISNUMBER(Knoten!D21),Knoten!D21+$O$1*(Knoten!L21+Knoten!O21),KnotenData!$H$3)</f>
        <v>0.47499999999999998</v>
      </c>
      <c r="U22">
        <f>IF(ISNUMBER(Knoten!D21),T22+0.866*$E$1*O22,T22)</f>
        <v>0.47499999999999998</v>
      </c>
      <c r="V22" s="12">
        <f>IF(ISNUMBER(Knoten!D21),T22+0.866*$E$1*O22,T22)</f>
        <v>0.47499999999999998</v>
      </c>
      <c r="W22" s="30">
        <f t="shared" si="3"/>
        <v>0.47499999999999998</v>
      </c>
    </row>
    <row r="23" spans="1:41" x14ac:dyDescent="0.2">
      <c r="A23" s="30">
        <v>20</v>
      </c>
      <c r="B23" s="328">
        <f>1-ABS(SIGN(Knoten!F22))</f>
        <v>1</v>
      </c>
      <c r="C23">
        <f>IF(ISNUMBER(Knoten!C22),Knoten!C22,KnotenData!$H$2)</f>
        <v>0.5</v>
      </c>
      <c r="D23">
        <f>IF(ISNUMBER(Knoten!C22),C23+0.5*$E$1*B23,C23)</f>
        <v>0.5</v>
      </c>
      <c r="E23" s="12">
        <f>IF(ISNUMBER(Knoten!C22),C23-0.5*$E$1*B23,C23)</f>
        <v>0.5</v>
      </c>
      <c r="F23" s="30">
        <f t="shared" si="0"/>
        <v>0.5</v>
      </c>
      <c r="G23">
        <f>IF(ISNUMBER(Knoten!D22),Knoten!D22,KnotenData!$H$3)</f>
        <v>0.47499999999999998</v>
      </c>
      <c r="H23">
        <f>IF(ISNUMBER(Knoten!D22),G23+0.866*$E$1*B23,G23)</f>
        <v>0.47499999999999998</v>
      </c>
      <c r="I23" s="12">
        <f>IF(ISNUMBER(Knoten!D22),G23+0.866*$E$1*B23,G23)</f>
        <v>0.47499999999999998</v>
      </c>
      <c r="J23" s="30">
        <f t="shared" si="1"/>
        <v>0.47499999999999998</v>
      </c>
      <c r="N23" s="30">
        <v>20</v>
      </c>
      <c r="O23" s="328">
        <f>1-ABS(SIGN(Knoten!F22))</f>
        <v>1</v>
      </c>
      <c r="P23">
        <f>IF(ISNUMBER(Knoten!C22),Knoten!C22+$O$1*(Knoten!K22+Knoten!N22),KnotenData!$H$2)</f>
        <v>0.5</v>
      </c>
      <c r="Q23">
        <f>IF(ISNUMBER(Knoten!C22),P23+0.5*$E$1*O23,P23)</f>
        <v>0.5</v>
      </c>
      <c r="R23" s="12">
        <f>IF(ISNUMBER(Knoten!C22),P23-0.5*$E$1*O23,P23)</f>
        <v>0.5</v>
      </c>
      <c r="S23" s="30">
        <f t="shared" si="2"/>
        <v>0.5</v>
      </c>
      <c r="T23">
        <f>IF(ISNUMBER(Knoten!D22),Knoten!D22+$O$1*(Knoten!L22+Knoten!O22),KnotenData!$H$3)</f>
        <v>0.47499999999999998</v>
      </c>
      <c r="U23">
        <f>IF(ISNUMBER(Knoten!D22),T23+0.866*$E$1*O23,T23)</f>
        <v>0.47499999999999998</v>
      </c>
      <c r="V23" s="12">
        <f>IF(ISNUMBER(Knoten!D22),T23+0.866*$E$1*O23,T23)</f>
        <v>0.47499999999999998</v>
      </c>
      <c r="W23" s="30">
        <f t="shared" si="3"/>
        <v>0.47499999999999998</v>
      </c>
    </row>
    <row r="26" spans="1:41" ht="13.5" thickBot="1" x14ac:dyDescent="0.25">
      <c r="A26" s="329" t="s">
        <v>117</v>
      </c>
      <c r="B26" s="89"/>
      <c r="C26" s="482" t="s">
        <v>1</v>
      </c>
      <c r="D26" s="483"/>
      <c r="E26" s="483"/>
      <c r="F26" s="484"/>
      <c r="G26" s="482" t="s">
        <v>111</v>
      </c>
      <c r="H26" s="483"/>
      <c r="I26" s="483"/>
      <c r="J26" s="484"/>
      <c r="N26" s="329" t="s">
        <v>117</v>
      </c>
      <c r="O26" s="89"/>
      <c r="P26" s="482" t="s">
        <v>1</v>
      </c>
      <c r="Q26" s="483"/>
      <c r="R26" s="483"/>
      <c r="S26" s="484"/>
      <c r="T26" s="482" t="s">
        <v>111</v>
      </c>
      <c r="U26" s="483"/>
      <c r="V26" s="483"/>
      <c r="W26" s="484"/>
    </row>
    <row r="27" spans="1:41" x14ac:dyDescent="0.2">
      <c r="A27" s="30">
        <v>1</v>
      </c>
      <c r="B27" s="328">
        <f>1-ABS(SIGN(Knoten!E3))</f>
        <v>1</v>
      </c>
      <c r="C27">
        <f>IF(ISNUMBER(Knoten!C3),Knoten!C3,KnotenData!$H$2)</f>
        <v>0</v>
      </c>
      <c r="D27">
        <f>IF(ISNUMBER(Knoten!C3),C27-0.866*$E$1*B27,C27)</f>
        <v>-5.4358748258674983E-2</v>
      </c>
      <c r="E27" s="12">
        <f>IF(ISNUMBER(Knoten!C3),C27-0.866*$E$1*B27,C27)</f>
        <v>-5.4358748258674983E-2</v>
      </c>
      <c r="F27" s="30">
        <f>C27</f>
        <v>0</v>
      </c>
      <c r="G27">
        <f>IF(ISNUMBER(Knoten!D3),Knoten!D3,KnotenData!$H$3)</f>
        <v>0.75</v>
      </c>
      <c r="H27">
        <f>IF(ISNUMBER(Knoten!D3),G27+0.5*$E$1*B27,G27)</f>
        <v>0.78138495857891166</v>
      </c>
      <c r="I27" s="12">
        <f>IF(ISNUMBER(Knoten!D3),G27-0.5*$E$1*B27,G27)</f>
        <v>0.71861504142108834</v>
      </c>
      <c r="J27" s="30">
        <f>G27</f>
        <v>0.75</v>
      </c>
      <c r="N27" s="30">
        <v>1</v>
      </c>
      <c r="O27" s="328">
        <f>1-ABS(SIGN(Knoten!E3))</f>
        <v>1</v>
      </c>
      <c r="P27">
        <f ca="1">IF(ISNUMBER(Knoten!C3),Knoten!C3+$O$1*(Knoten!K3+Knoten!N3),KnotenData!$H$2)</f>
        <v>0</v>
      </c>
      <c r="Q27">
        <f ca="1">IF(ISNUMBER(Knoten!C3),P27-0.866*$E$1*O27,P27)</f>
        <v>-5.4358748258674983E-2</v>
      </c>
      <c r="R27" s="12">
        <f ca="1">IF(ISNUMBER(Knoten!C3),P27-0.866*$E$1*O27,P27)</f>
        <v>-5.4358748258674983E-2</v>
      </c>
      <c r="S27" s="30">
        <f ca="1">P27</f>
        <v>0</v>
      </c>
      <c r="T27">
        <f ca="1">IF(ISNUMBER(Knoten!D3),Knoten!D3+$O$1*(Knoten!L3+Knoten!O3),KnotenData!$H$3)</f>
        <v>0.75</v>
      </c>
      <c r="U27">
        <f ca="1">IF(ISNUMBER(Knoten!D3),T27+0.5*$E$1*O27,T27)</f>
        <v>0.78138495857891166</v>
      </c>
      <c r="V27" s="12">
        <f ca="1">IF(ISNUMBER(Knoten!D3),T27-0.5*$E$1*O27,T27)</f>
        <v>0.71861504142108834</v>
      </c>
      <c r="W27" s="30">
        <f ca="1">T27</f>
        <v>0.75</v>
      </c>
    </row>
    <row r="28" spans="1:41" x14ac:dyDescent="0.2">
      <c r="A28" s="30">
        <v>2</v>
      </c>
      <c r="B28" s="328">
        <f>1-ABS(SIGN(Knoten!E4))</f>
        <v>0</v>
      </c>
      <c r="C28">
        <f>IF(ISNUMBER(Knoten!C4),Knoten!C4,KnotenData!$H$2)</f>
        <v>0.5</v>
      </c>
      <c r="D28">
        <f>IF(ISNUMBER(Knoten!C4),C28-0.866*$E$1*B28,C28)</f>
        <v>0.5</v>
      </c>
      <c r="E28" s="12">
        <f>IF(ISNUMBER(Knoten!C4),C28-0.866*$E$1*B28,C28)</f>
        <v>0.5</v>
      </c>
      <c r="F28" s="30">
        <f t="shared" ref="F28:F46" si="4">C28</f>
        <v>0.5</v>
      </c>
      <c r="G28">
        <f>IF(ISNUMBER(Knoten!D4),Knoten!D4,KnotenData!$H$3)</f>
        <v>0.25</v>
      </c>
      <c r="H28">
        <f>IF(ISNUMBER(Knoten!D4),G28+0.5*$E$1*B28,G28)</f>
        <v>0.25</v>
      </c>
      <c r="I28" s="12">
        <f>IF(ISNUMBER(Knoten!D4),G28-0.5*$E$1*B28,G28)</f>
        <v>0.25</v>
      </c>
      <c r="J28" s="30">
        <f t="shared" ref="J28:J46" si="5">G28</f>
        <v>0.25</v>
      </c>
      <c r="N28" s="30">
        <v>2</v>
      </c>
      <c r="O28" s="328">
        <f>1-ABS(SIGN(Knoten!E4))</f>
        <v>0</v>
      </c>
      <c r="P28">
        <f ca="1">IF(ISNUMBER(Knoten!C4),Knoten!C4+$O$1*(Knoten!K4+Knoten!N4),KnotenData!$H$2)</f>
        <v>0.55885637953108702</v>
      </c>
      <c r="Q28">
        <f ca="1">IF(ISNUMBER(Knoten!C4),P28-0.866*$E$1*O28,P28)</f>
        <v>0.55885637953108702</v>
      </c>
      <c r="R28" s="12">
        <f ca="1">IF(ISNUMBER(Knoten!C4),P28-0.866*$E$1*O28,P28)</f>
        <v>0.55885637953108702</v>
      </c>
      <c r="S28" s="30">
        <f t="shared" ref="S28:S46" ca="1" si="6">P28</f>
        <v>0.55885637953108702</v>
      </c>
      <c r="T28">
        <f ca="1">IF(ISNUMBER(Knoten!D4),Knoten!D4+$O$1*(Knoten!L4+Knoten!O4),KnotenData!$H$3)</f>
        <v>0.50107966863129327</v>
      </c>
      <c r="U28">
        <f ca="1">IF(ISNUMBER(Knoten!D4),T28+0.5*$E$1*O28,T28)</f>
        <v>0.50107966863129327</v>
      </c>
      <c r="V28" s="12">
        <f ca="1">IF(ISNUMBER(Knoten!D4),T28-0.5*$E$1*O28,T28)</f>
        <v>0.50107966863129327</v>
      </c>
      <c r="W28" s="30">
        <f t="shared" ref="W28:W46" ca="1" si="7">T28</f>
        <v>0.50107966863129327</v>
      </c>
    </row>
    <row r="29" spans="1:41" x14ac:dyDescent="0.2">
      <c r="A29" s="30">
        <v>3</v>
      </c>
      <c r="B29" s="328">
        <f>1-ABS(SIGN(Knoten!E5))</f>
        <v>1</v>
      </c>
      <c r="C29">
        <f>IF(ISNUMBER(Knoten!C5),Knoten!C5,KnotenData!$H$2)</f>
        <v>1</v>
      </c>
      <c r="D29">
        <f>IF(ISNUMBER(Knoten!C5),C29-0.866*$E$1*B29,C29)</f>
        <v>0.94564125174132507</v>
      </c>
      <c r="E29" s="12">
        <f>IF(ISNUMBER(Knoten!C5),C29-0.866*$E$1*B29,C29)</f>
        <v>0.94564125174132507</v>
      </c>
      <c r="F29" s="30">
        <f t="shared" si="4"/>
        <v>1</v>
      </c>
      <c r="G29">
        <f>IF(ISNUMBER(Knoten!D5),Knoten!D5,KnotenData!$H$3)</f>
        <v>0.25</v>
      </c>
      <c r="H29">
        <f>IF(ISNUMBER(Knoten!D5),G29+0.5*$E$1*B29,G29)</f>
        <v>0.28138495857891166</v>
      </c>
      <c r="I29" s="12">
        <f>IF(ISNUMBER(Knoten!D5),G29-0.5*$E$1*B29,G29)</f>
        <v>0.21861504142108834</v>
      </c>
      <c r="J29" s="30">
        <f t="shared" si="5"/>
        <v>0.25</v>
      </c>
      <c r="N29" s="30">
        <v>3</v>
      </c>
      <c r="O29" s="328">
        <f>1-ABS(SIGN(Knoten!E5))</f>
        <v>1</v>
      </c>
      <c r="P29">
        <f ca="1">IF(ISNUMBER(Knoten!C5),Knoten!C5+$O$1*(Knoten!K5+Knoten!N5),KnotenData!$H$2)</f>
        <v>1</v>
      </c>
      <c r="Q29">
        <f ca="1">IF(ISNUMBER(Knoten!C5),P29-0.866*$E$1*O29,P29)</f>
        <v>0.94564125174132507</v>
      </c>
      <c r="R29" s="12">
        <f ca="1">IF(ISNUMBER(Knoten!C5),P29-0.866*$E$1*O29,P29)</f>
        <v>0.94564125174132507</v>
      </c>
      <c r="S29" s="30">
        <f t="shared" ca="1" si="6"/>
        <v>1</v>
      </c>
      <c r="T29">
        <f ca="1">IF(ISNUMBER(Knoten!D5),Knoten!D5+$O$1*(Knoten!L5+Knoten!O5),KnotenData!$H$3)</f>
        <v>0.25</v>
      </c>
      <c r="U29">
        <f ca="1">IF(ISNUMBER(Knoten!D5),T29+0.5*$E$1*O29,T29)</f>
        <v>0.28138495857891166</v>
      </c>
      <c r="V29" s="12">
        <f ca="1">IF(ISNUMBER(Knoten!D5),T29-0.5*$E$1*O29,T29)</f>
        <v>0.21861504142108834</v>
      </c>
      <c r="W29" s="30">
        <f t="shared" ca="1" si="7"/>
        <v>0.25</v>
      </c>
    </row>
    <row r="30" spans="1:41" x14ac:dyDescent="0.2">
      <c r="A30" s="30">
        <v>4</v>
      </c>
      <c r="B30" s="328">
        <f>1-ABS(SIGN(Knoten!E6))</f>
        <v>1</v>
      </c>
      <c r="C30">
        <f>IF(ISNUMBER(Knoten!C6),Knoten!C6,KnotenData!$H$2)</f>
        <v>0.5</v>
      </c>
      <c r="D30">
        <f>IF(ISNUMBER(Knoten!C6),C30-0.866*$E$1*B30,C30)</f>
        <v>0.5</v>
      </c>
      <c r="E30" s="12">
        <f>IF(ISNUMBER(Knoten!C6),C30-0.866*$E$1*B30,C30)</f>
        <v>0.5</v>
      </c>
      <c r="F30" s="30">
        <f t="shared" si="4"/>
        <v>0.5</v>
      </c>
      <c r="G30">
        <f>IF(ISNUMBER(Knoten!D6),Knoten!D6,KnotenData!$H$3)</f>
        <v>0.47499999999999998</v>
      </c>
      <c r="H30">
        <f>IF(ISNUMBER(Knoten!D6),G30+0.5*$E$1*B30,G30)</f>
        <v>0.47499999999999998</v>
      </c>
      <c r="I30" s="12">
        <f>IF(ISNUMBER(Knoten!D6),G30-0.5*$E$1*B30,G30)</f>
        <v>0.47499999999999998</v>
      </c>
      <c r="J30" s="30">
        <f t="shared" si="5"/>
        <v>0.47499999999999998</v>
      </c>
      <c r="N30" s="30">
        <v>4</v>
      </c>
      <c r="O30" s="328">
        <f>1-ABS(SIGN(Knoten!E6))</f>
        <v>1</v>
      </c>
      <c r="P30">
        <f>IF(ISNUMBER(Knoten!C6),Knoten!C6+$O$1*(Knoten!K6+Knoten!N6),KnotenData!$H$2)</f>
        <v>0.5</v>
      </c>
      <c r="Q30">
        <f>IF(ISNUMBER(Knoten!C6),P30-0.866*$E$1*O30,P30)</f>
        <v>0.5</v>
      </c>
      <c r="R30" s="12">
        <f>IF(ISNUMBER(Knoten!C6),P30-0.866*$E$1*O30,P30)</f>
        <v>0.5</v>
      </c>
      <c r="S30" s="30">
        <f t="shared" si="6"/>
        <v>0.5</v>
      </c>
      <c r="T30">
        <f>IF(ISNUMBER(Knoten!D6),Knoten!D6+$O$1*(Knoten!L6+Knoten!O6),KnotenData!$H$3)</f>
        <v>0.47499999999999998</v>
      </c>
      <c r="U30">
        <f>IF(ISNUMBER(Knoten!D6),T30+0.5*$E$1*O30,T30)</f>
        <v>0.47499999999999998</v>
      </c>
      <c r="V30" s="12">
        <f>IF(ISNUMBER(Knoten!D6),T30-0.5*$E$1*O30,T30)</f>
        <v>0.47499999999999998</v>
      </c>
      <c r="W30" s="30">
        <f t="shared" si="7"/>
        <v>0.47499999999999998</v>
      </c>
    </row>
    <row r="31" spans="1:41" x14ac:dyDescent="0.2">
      <c r="A31" s="30">
        <v>5</v>
      </c>
      <c r="B31" s="328">
        <f>1-ABS(SIGN(Knoten!E7))</f>
        <v>1</v>
      </c>
      <c r="C31">
        <f>IF(ISNUMBER(Knoten!C7),Knoten!C7,KnotenData!$H$2)</f>
        <v>0.5</v>
      </c>
      <c r="D31">
        <f>IF(ISNUMBER(Knoten!C7),C31-0.866*$E$1*B31,C31)</f>
        <v>0.5</v>
      </c>
      <c r="E31" s="12">
        <f>IF(ISNUMBER(Knoten!C7),C31-0.866*$E$1*B31,C31)</f>
        <v>0.5</v>
      </c>
      <c r="F31" s="30">
        <f t="shared" si="4"/>
        <v>0.5</v>
      </c>
      <c r="G31">
        <f>IF(ISNUMBER(Knoten!D7),Knoten!D7,KnotenData!$H$3)</f>
        <v>0.47499999999999998</v>
      </c>
      <c r="H31">
        <f>IF(ISNUMBER(Knoten!D7),G31+0.5*$E$1*B31,G31)</f>
        <v>0.47499999999999998</v>
      </c>
      <c r="I31" s="12">
        <f>IF(ISNUMBER(Knoten!D7),G31-0.5*$E$1*B31,G31)</f>
        <v>0.47499999999999998</v>
      </c>
      <c r="J31" s="30">
        <f t="shared" si="5"/>
        <v>0.47499999999999998</v>
      </c>
      <c r="N31" s="30">
        <v>5</v>
      </c>
      <c r="O31" s="328">
        <f>1-ABS(SIGN(Knoten!E7))</f>
        <v>1</v>
      </c>
      <c r="P31">
        <f>IF(ISNUMBER(Knoten!C7),Knoten!C7+$O$1*(Knoten!K7+Knoten!N7),KnotenData!$H$2)</f>
        <v>0.5</v>
      </c>
      <c r="Q31">
        <f>IF(ISNUMBER(Knoten!C7),P31-0.866*$E$1*O31,P31)</f>
        <v>0.5</v>
      </c>
      <c r="R31" s="12">
        <f>IF(ISNUMBER(Knoten!C7),P31-0.866*$E$1*O31,P31)</f>
        <v>0.5</v>
      </c>
      <c r="S31" s="30">
        <f t="shared" si="6"/>
        <v>0.5</v>
      </c>
      <c r="T31">
        <f>IF(ISNUMBER(Knoten!D7),Knoten!D7+$O$1*(Knoten!L7+Knoten!O7),KnotenData!$H$3)</f>
        <v>0.47499999999999998</v>
      </c>
      <c r="U31">
        <f>IF(ISNUMBER(Knoten!D7),T31+0.5*$E$1*O31,T31)</f>
        <v>0.47499999999999998</v>
      </c>
      <c r="V31" s="12">
        <f>IF(ISNUMBER(Knoten!D7),T31-0.5*$E$1*O31,T31)</f>
        <v>0.47499999999999998</v>
      </c>
      <c r="W31" s="30">
        <f t="shared" si="7"/>
        <v>0.47499999999999998</v>
      </c>
    </row>
    <row r="32" spans="1:41" x14ac:dyDescent="0.2">
      <c r="A32" s="30">
        <v>6</v>
      </c>
      <c r="B32" s="328">
        <f>1-ABS(SIGN(Knoten!E8))</f>
        <v>1</v>
      </c>
      <c r="C32">
        <f>IF(ISNUMBER(Knoten!C8),Knoten!C8,KnotenData!$H$2)</f>
        <v>0.5</v>
      </c>
      <c r="D32">
        <f>IF(ISNUMBER(Knoten!C8),C32-0.866*$E$1*B32,C32)</f>
        <v>0.5</v>
      </c>
      <c r="E32" s="12">
        <f>IF(ISNUMBER(Knoten!C8),C32-0.866*$E$1*B32,C32)</f>
        <v>0.5</v>
      </c>
      <c r="F32" s="30">
        <f t="shared" si="4"/>
        <v>0.5</v>
      </c>
      <c r="G32">
        <f>IF(ISNUMBER(Knoten!D8),Knoten!D8,KnotenData!$H$3)</f>
        <v>0.47499999999999998</v>
      </c>
      <c r="H32">
        <f>IF(ISNUMBER(Knoten!D8),G32+0.5*$E$1*B32,G32)</f>
        <v>0.47499999999999998</v>
      </c>
      <c r="I32" s="12">
        <f>IF(ISNUMBER(Knoten!D8),G32-0.5*$E$1*B32,G32)</f>
        <v>0.47499999999999998</v>
      </c>
      <c r="J32" s="30">
        <f t="shared" si="5"/>
        <v>0.47499999999999998</v>
      </c>
      <c r="N32" s="30">
        <v>6</v>
      </c>
      <c r="O32" s="328">
        <f>1-ABS(SIGN(Knoten!E8))</f>
        <v>1</v>
      </c>
      <c r="P32">
        <f>IF(ISNUMBER(Knoten!C8),Knoten!C8+$O$1*(Knoten!K8+Knoten!N8),KnotenData!$H$2)</f>
        <v>0.5</v>
      </c>
      <c r="Q32">
        <f>IF(ISNUMBER(Knoten!C8),P32-0.866*$E$1*O32,P32)</f>
        <v>0.5</v>
      </c>
      <c r="R32" s="12">
        <f>IF(ISNUMBER(Knoten!C8),P32-0.866*$E$1*O32,P32)</f>
        <v>0.5</v>
      </c>
      <c r="S32" s="30">
        <f t="shared" si="6"/>
        <v>0.5</v>
      </c>
      <c r="T32">
        <f>IF(ISNUMBER(Knoten!D8),Knoten!D8+$O$1*(Knoten!L8+Knoten!O8),KnotenData!$H$3)</f>
        <v>0.47499999999999998</v>
      </c>
      <c r="U32">
        <f>IF(ISNUMBER(Knoten!D8),T32+0.5*$E$1*O32,T32)</f>
        <v>0.47499999999999998</v>
      </c>
      <c r="V32" s="12">
        <f>IF(ISNUMBER(Knoten!D8),T32-0.5*$E$1*O32,T32)</f>
        <v>0.47499999999999998</v>
      </c>
      <c r="W32" s="30">
        <f t="shared" si="7"/>
        <v>0.47499999999999998</v>
      </c>
    </row>
    <row r="33" spans="1:23" x14ac:dyDescent="0.2">
      <c r="A33" s="30">
        <v>7</v>
      </c>
      <c r="B33" s="328">
        <f>1-ABS(SIGN(Knoten!E9))</f>
        <v>1</v>
      </c>
      <c r="C33">
        <f>IF(ISNUMBER(Knoten!C9),Knoten!C9,KnotenData!$H$2)</f>
        <v>0.5</v>
      </c>
      <c r="D33">
        <f>IF(ISNUMBER(Knoten!C9),C33-0.866*$E$1*B33,C33)</f>
        <v>0.5</v>
      </c>
      <c r="E33" s="12">
        <f>IF(ISNUMBER(Knoten!C9),C33-0.866*$E$1*B33,C33)</f>
        <v>0.5</v>
      </c>
      <c r="F33" s="30">
        <f t="shared" si="4"/>
        <v>0.5</v>
      </c>
      <c r="G33">
        <f>IF(ISNUMBER(Knoten!D9),Knoten!D9,KnotenData!$H$3)</f>
        <v>0.47499999999999998</v>
      </c>
      <c r="H33">
        <f>IF(ISNUMBER(Knoten!D9),G33+0.5*$E$1*B33,G33)</f>
        <v>0.47499999999999998</v>
      </c>
      <c r="I33" s="12">
        <f>IF(ISNUMBER(Knoten!D9),G33-0.5*$E$1*B33,G33)</f>
        <v>0.47499999999999998</v>
      </c>
      <c r="J33" s="30">
        <f t="shared" si="5"/>
        <v>0.47499999999999998</v>
      </c>
      <c r="N33" s="30">
        <v>7</v>
      </c>
      <c r="O33" s="328">
        <f>1-ABS(SIGN(Knoten!E9))</f>
        <v>1</v>
      </c>
      <c r="P33">
        <f>IF(ISNUMBER(Knoten!C9),Knoten!C9+$O$1*(Knoten!K9+Knoten!N9),KnotenData!$H$2)</f>
        <v>0.5</v>
      </c>
      <c r="Q33">
        <f>IF(ISNUMBER(Knoten!C9),P33-0.866*$E$1*O33,P33)</f>
        <v>0.5</v>
      </c>
      <c r="R33" s="12">
        <f>IF(ISNUMBER(Knoten!C9),P33-0.866*$E$1*O33,P33)</f>
        <v>0.5</v>
      </c>
      <c r="S33" s="30">
        <f t="shared" si="6"/>
        <v>0.5</v>
      </c>
      <c r="T33">
        <f>IF(ISNUMBER(Knoten!D9),Knoten!D9+$O$1*(Knoten!L9+Knoten!O9),KnotenData!$H$3)</f>
        <v>0.47499999999999998</v>
      </c>
      <c r="U33">
        <f>IF(ISNUMBER(Knoten!D9),T33+0.5*$E$1*O33,T33)</f>
        <v>0.47499999999999998</v>
      </c>
      <c r="V33" s="12">
        <f>IF(ISNUMBER(Knoten!D9),T33-0.5*$E$1*O33,T33)</f>
        <v>0.47499999999999998</v>
      </c>
      <c r="W33" s="30">
        <f t="shared" si="7"/>
        <v>0.47499999999999998</v>
      </c>
    </row>
    <row r="34" spans="1:23" x14ac:dyDescent="0.2">
      <c r="A34" s="30">
        <v>8</v>
      </c>
      <c r="B34" s="328">
        <f>1-ABS(SIGN(Knoten!E10))</f>
        <v>1</v>
      </c>
      <c r="C34">
        <f>IF(ISNUMBER(Knoten!C10),Knoten!C10,KnotenData!$H$2)</f>
        <v>0.5</v>
      </c>
      <c r="D34">
        <f>IF(ISNUMBER(Knoten!C10),C34-0.866*$E$1*B34,C34)</f>
        <v>0.5</v>
      </c>
      <c r="E34" s="12">
        <f>IF(ISNUMBER(Knoten!C10),C34-0.866*$E$1*B34,C34)</f>
        <v>0.5</v>
      </c>
      <c r="F34" s="30">
        <f t="shared" si="4"/>
        <v>0.5</v>
      </c>
      <c r="G34">
        <f>IF(ISNUMBER(Knoten!D10),Knoten!D10,KnotenData!$H$3)</f>
        <v>0.47499999999999998</v>
      </c>
      <c r="H34">
        <f>IF(ISNUMBER(Knoten!D10),G34+0.5*$E$1*B34,G34)</f>
        <v>0.47499999999999998</v>
      </c>
      <c r="I34" s="12">
        <f>IF(ISNUMBER(Knoten!D10),G34-0.5*$E$1*B34,G34)</f>
        <v>0.47499999999999998</v>
      </c>
      <c r="J34" s="30">
        <f t="shared" si="5"/>
        <v>0.47499999999999998</v>
      </c>
      <c r="N34" s="30">
        <v>8</v>
      </c>
      <c r="O34" s="328">
        <f>1-ABS(SIGN(Knoten!E10))</f>
        <v>1</v>
      </c>
      <c r="P34">
        <f>IF(ISNUMBER(Knoten!C10),Knoten!C10+$O$1*(Knoten!K10+Knoten!N10),KnotenData!$H$2)</f>
        <v>0.5</v>
      </c>
      <c r="Q34">
        <f>IF(ISNUMBER(Knoten!C10),P34-0.866*$E$1*O34,P34)</f>
        <v>0.5</v>
      </c>
      <c r="R34" s="12">
        <f>IF(ISNUMBER(Knoten!C10),P34-0.866*$E$1*O34,P34)</f>
        <v>0.5</v>
      </c>
      <c r="S34" s="30">
        <f t="shared" si="6"/>
        <v>0.5</v>
      </c>
      <c r="T34">
        <f>IF(ISNUMBER(Knoten!D10),Knoten!D10+$O$1*(Knoten!L10+Knoten!O10),KnotenData!$H$3)</f>
        <v>0.47499999999999998</v>
      </c>
      <c r="U34">
        <f>IF(ISNUMBER(Knoten!D10),T34+0.5*$E$1*O34,T34)</f>
        <v>0.47499999999999998</v>
      </c>
      <c r="V34" s="12">
        <f>IF(ISNUMBER(Knoten!D10),T34-0.5*$E$1*O34,T34)</f>
        <v>0.47499999999999998</v>
      </c>
      <c r="W34" s="30">
        <f t="shared" si="7"/>
        <v>0.47499999999999998</v>
      </c>
    </row>
    <row r="35" spans="1:23" x14ac:dyDescent="0.2">
      <c r="A35" s="30">
        <v>9</v>
      </c>
      <c r="B35" s="328">
        <f>1-ABS(SIGN(Knoten!E11))</f>
        <v>1</v>
      </c>
      <c r="C35">
        <f>IF(ISNUMBER(Knoten!C11),Knoten!C11,KnotenData!$H$2)</f>
        <v>0.5</v>
      </c>
      <c r="D35">
        <f>IF(ISNUMBER(Knoten!C11),C35-0.866*$E$1*B35,C35)</f>
        <v>0.5</v>
      </c>
      <c r="E35" s="12">
        <f>IF(ISNUMBER(Knoten!C11),C35-0.866*$E$1*B35,C35)</f>
        <v>0.5</v>
      </c>
      <c r="F35" s="30">
        <f t="shared" si="4"/>
        <v>0.5</v>
      </c>
      <c r="G35">
        <f>IF(ISNUMBER(Knoten!D11),Knoten!D11,KnotenData!$H$3)</f>
        <v>0.47499999999999998</v>
      </c>
      <c r="H35">
        <f>IF(ISNUMBER(Knoten!D11),G35+0.5*$E$1*B35,G35)</f>
        <v>0.47499999999999998</v>
      </c>
      <c r="I35" s="12">
        <f>IF(ISNUMBER(Knoten!D11),G35-0.5*$E$1*B35,G35)</f>
        <v>0.47499999999999998</v>
      </c>
      <c r="J35" s="30">
        <f t="shared" si="5"/>
        <v>0.47499999999999998</v>
      </c>
      <c r="N35" s="30">
        <v>9</v>
      </c>
      <c r="O35" s="328">
        <f>1-ABS(SIGN(Knoten!E11))</f>
        <v>1</v>
      </c>
      <c r="P35">
        <f>IF(ISNUMBER(Knoten!C11),Knoten!C11+$O$1*(Knoten!K11+Knoten!N11),KnotenData!$H$2)</f>
        <v>0.5</v>
      </c>
      <c r="Q35">
        <f>IF(ISNUMBER(Knoten!C11),P35-0.866*$E$1*O35,P35)</f>
        <v>0.5</v>
      </c>
      <c r="R35" s="12">
        <f>IF(ISNUMBER(Knoten!C11),P35-0.866*$E$1*O35,P35)</f>
        <v>0.5</v>
      </c>
      <c r="S35" s="30">
        <f t="shared" si="6"/>
        <v>0.5</v>
      </c>
      <c r="T35">
        <f>IF(ISNUMBER(Knoten!D11),Knoten!D11+$O$1*(Knoten!L11+Knoten!O11),KnotenData!$H$3)</f>
        <v>0.47499999999999998</v>
      </c>
      <c r="U35">
        <f>IF(ISNUMBER(Knoten!D11),T35+0.5*$E$1*O35,T35)</f>
        <v>0.47499999999999998</v>
      </c>
      <c r="V35" s="12">
        <f>IF(ISNUMBER(Knoten!D11),T35-0.5*$E$1*O35,T35)</f>
        <v>0.47499999999999998</v>
      </c>
      <c r="W35" s="30">
        <f t="shared" si="7"/>
        <v>0.47499999999999998</v>
      </c>
    </row>
    <row r="36" spans="1:23" x14ac:dyDescent="0.2">
      <c r="A36" s="30">
        <v>10</v>
      </c>
      <c r="B36" s="328">
        <f>1-ABS(SIGN(Knoten!E12))</f>
        <v>1</v>
      </c>
      <c r="C36">
        <f>IF(ISNUMBER(Knoten!C12),Knoten!C12,KnotenData!$H$2)</f>
        <v>0.5</v>
      </c>
      <c r="D36">
        <f>IF(ISNUMBER(Knoten!C12),C36-0.866*$E$1*B36,C36)</f>
        <v>0.5</v>
      </c>
      <c r="E36" s="12">
        <f>IF(ISNUMBER(Knoten!C12),C36-0.866*$E$1*B36,C36)</f>
        <v>0.5</v>
      </c>
      <c r="F36" s="30">
        <f t="shared" si="4"/>
        <v>0.5</v>
      </c>
      <c r="G36">
        <f>IF(ISNUMBER(Knoten!D12),Knoten!D12,KnotenData!$H$3)</f>
        <v>0.47499999999999998</v>
      </c>
      <c r="H36">
        <f>IF(ISNUMBER(Knoten!D12),G36+0.5*$E$1*B36,G36)</f>
        <v>0.47499999999999998</v>
      </c>
      <c r="I36" s="12">
        <f>IF(ISNUMBER(Knoten!D12),G36-0.5*$E$1*B36,G36)</f>
        <v>0.47499999999999998</v>
      </c>
      <c r="J36" s="30">
        <f t="shared" si="5"/>
        <v>0.47499999999999998</v>
      </c>
      <c r="N36" s="30">
        <v>10</v>
      </c>
      <c r="O36" s="328">
        <f>1-ABS(SIGN(Knoten!E12))</f>
        <v>1</v>
      </c>
      <c r="P36">
        <f>IF(ISNUMBER(Knoten!C12),Knoten!C12+$O$1*(Knoten!K12+Knoten!N12),KnotenData!$H$2)</f>
        <v>0.5</v>
      </c>
      <c r="Q36">
        <f>IF(ISNUMBER(Knoten!C12),P36-0.866*$E$1*O36,P36)</f>
        <v>0.5</v>
      </c>
      <c r="R36" s="12">
        <f>IF(ISNUMBER(Knoten!C12),P36-0.866*$E$1*O36,P36)</f>
        <v>0.5</v>
      </c>
      <c r="S36" s="30">
        <f t="shared" si="6"/>
        <v>0.5</v>
      </c>
      <c r="T36">
        <f>IF(ISNUMBER(Knoten!D12),Knoten!D12+$O$1*(Knoten!L12+Knoten!O12),KnotenData!$H$3)</f>
        <v>0.47499999999999998</v>
      </c>
      <c r="U36">
        <f>IF(ISNUMBER(Knoten!D12),T36+0.5*$E$1*O36,T36)</f>
        <v>0.47499999999999998</v>
      </c>
      <c r="V36" s="12">
        <f>IF(ISNUMBER(Knoten!D12),T36-0.5*$E$1*O36,T36)</f>
        <v>0.47499999999999998</v>
      </c>
      <c r="W36" s="30">
        <f t="shared" si="7"/>
        <v>0.47499999999999998</v>
      </c>
    </row>
    <row r="37" spans="1:23" x14ac:dyDescent="0.2">
      <c r="A37" s="30">
        <v>11</v>
      </c>
      <c r="B37" s="328">
        <f>1-ABS(SIGN(Knoten!E13))</f>
        <v>1</v>
      </c>
      <c r="C37">
        <f>IF(ISNUMBER(Knoten!C13),Knoten!C13,KnotenData!$H$2)</f>
        <v>0.5</v>
      </c>
      <c r="D37">
        <f>IF(ISNUMBER(Knoten!C13),C37-0.866*$E$1*B37,C37)</f>
        <v>0.5</v>
      </c>
      <c r="E37" s="12">
        <f>IF(ISNUMBER(Knoten!C13),C37-0.866*$E$1*B37,C37)</f>
        <v>0.5</v>
      </c>
      <c r="F37" s="30">
        <f t="shared" si="4"/>
        <v>0.5</v>
      </c>
      <c r="G37">
        <f>IF(ISNUMBER(Knoten!D13),Knoten!D13,KnotenData!$H$3)</f>
        <v>0.47499999999999998</v>
      </c>
      <c r="H37">
        <f>IF(ISNUMBER(Knoten!D13),G37+0.5*$E$1*B37,G37)</f>
        <v>0.47499999999999998</v>
      </c>
      <c r="I37" s="12">
        <f>IF(ISNUMBER(Knoten!D13),G37-0.5*$E$1*B37,G37)</f>
        <v>0.47499999999999998</v>
      </c>
      <c r="J37" s="30">
        <f t="shared" si="5"/>
        <v>0.47499999999999998</v>
      </c>
      <c r="N37" s="30">
        <v>11</v>
      </c>
      <c r="O37" s="328">
        <f>1-ABS(SIGN(Knoten!E13))</f>
        <v>1</v>
      </c>
      <c r="P37">
        <f>IF(ISNUMBER(Knoten!C13),Knoten!C13+$O$1*(Knoten!K13+Knoten!N13),KnotenData!$H$2)</f>
        <v>0.5</v>
      </c>
      <c r="Q37">
        <f>IF(ISNUMBER(Knoten!C13),P37-0.866*$E$1*O37,P37)</f>
        <v>0.5</v>
      </c>
      <c r="R37" s="12">
        <f>IF(ISNUMBER(Knoten!C13),P37-0.866*$E$1*O37,P37)</f>
        <v>0.5</v>
      </c>
      <c r="S37" s="30">
        <f t="shared" si="6"/>
        <v>0.5</v>
      </c>
      <c r="T37">
        <f>IF(ISNUMBER(Knoten!D13),Knoten!D13+$O$1*(Knoten!L13+Knoten!O13),KnotenData!$H$3)</f>
        <v>0.47499999999999998</v>
      </c>
      <c r="U37">
        <f>IF(ISNUMBER(Knoten!D13),T37+0.5*$E$1*O37,T37)</f>
        <v>0.47499999999999998</v>
      </c>
      <c r="V37" s="12">
        <f>IF(ISNUMBER(Knoten!D13),T37-0.5*$E$1*O37,T37)</f>
        <v>0.47499999999999998</v>
      </c>
      <c r="W37" s="30">
        <f t="shared" si="7"/>
        <v>0.47499999999999998</v>
      </c>
    </row>
    <row r="38" spans="1:23" x14ac:dyDescent="0.2">
      <c r="A38" s="30">
        <v>12</v>
      </c>
      <c r="B38" s="328">
        <f>1-ABS(SIGN(Knoten!E14))</f>
        <v>1</v>
      </c>
      <c r="C38">
        <f>IF(ISNUMBER(Knoten!C14),Knoten!C14,KnotenData!$H$2)</f>
        <v>0.5</v>
      </c>
      <c r="D38">
        <f>IF(ISNUMBER(Knoten!C14),C38-0.866*$E$1*B38,C38)</f>
        <v>0.5</v>
      </c>
      <c r="E38" s="12">
        <f>IF(ISNUMBER(Knoten!C14),C38-0.866*$E$1*B38,C38)</f>
        <v>0.5</v>
      </c>
      <c r="F38" s="30">
        <f t="shared" si="4"/>
        <v>0.5</v>
      </c>
      <c r="G38">
        <f>IF(ISNUMBER(Knoten!D14),Knoten!D14,KnotenData!$H$3)</f>
        <v>0.47499999999999998</v>
      </c>
      <c r="H38">
        <f>IF(ISNUMBER(Knoten!D14),G38+0.5*$E$1*B38,G38)</f>
        <v>0.47499999999999998</v>
      </c>
      <c r="I38" s="12">
        <f>IF(ISNUMBER(Knoten!D14),G38-0.5*$E$1*B38,G38)</f>
        <v>0.47499999999999998</v>
      </c>
      <c r="J38" s="30">
        <f t="shared" si="5"/>
        <v>0.47499999999999998</v>
      </c>
      <c r="N38" s="30">
        <v>12</v>
      </c>
      <c r="O38" s="328">
        <f>1-ABS(SIGN(Knoten!E14))</f>
        <v>1</v>
      </c>
      <c r="P38">
        <f>IF(ISNUMBER(Knoten!C14),Knoten!C14+$O$1*(Knoten!K14+Knoten!N14),KnotenData!$H$2)</f>
        <v>0.5</v>
      </c>
      <c r="Q38">
        <f>IF(ISNUMBER(Knoten!C14),P38-0.866*$E$1*O38,P38)</f>
        <v>0.5</v>
      </c>
      <c r="R38" s="12">
        <f>IF(ISNUMBER(Knoten!C14),P38-0.866*$E$1*O38,P38)</f>
        <v>0.5</v>
      </c>
      <c r="S38" s="30">
        <f t="shared" si="6"/>
        <v>0.5</v>
      </c>
      <c r="T38">
        <f>IF(ISNUMBER(Knoten!D14),Knoten!D14+$O$1*(Knoten!L14+Knoten!O14),KnotenData!$H$3)</f>
        <v>0.47499999999999998</v>
      </c>
      <c r="U38">
        <f>IF(ISNUMBER(Knoten!D14),T38+0.5*$E$1*O38,T38)</f>
        <v>0.47499999999999998</v>
      </c>
      <c r="V38" s="12">
        <f>IF(ISNUMBER(Knoten!D14),T38-0.5*$E$1*O38,T38)</f>
        <v>0.47499999999999998</v>
      </c>
      <c r="W38" s="30">
        <f t="shared" si="7"/>
        <v>0.47499999999999998</v>
      </c>
    </row>
    <row r="39" spans="1:23" x14ac:dyDescent="0.2">
      <c r="A39" s="30">
        <v>13</v>
      </c>
      <c r="B39" s="328">
        <f>1-ABS(SIGN(Knoten!E15))</f>
        <v>1</v>
      </c>
      <c r="C39">
        <f>IF(ISNUMBER(Knoten!C15),Knoten!C15,KnotenData!$H$2)</f>
        <v>0.5</v>
      </c>
      <c r="D39">
        <f>IF(ISNUMBER(Knoten!C15),C39-0.866*$E$1*B39,C39)</f>
        <v>0.5</v>
      </c>
      <c r="E39" s="12">
        <f>IF(ISNUMBER(Knoten!C15),C39-0.866*$E$1*B39,C39)</f>
        <v>0.5</v>
      </c>
      <c r="F39" s="30">
        <f t="shared" si="4"/>
        <v>0.5</v>
      </c>
      <c r="G39">
        <f>IF(ISNUMBER(Knoten!D15),Knoten!D15,KnotenData!$H$3)</f>
        <v>0.47499999999999998</v>
      </c>
      <c r="H39">
        <f>IF(ISNUMBER(Knoten!D15),G39+0.5*$E$1*B39,G39)</f>
        <v>0.47499999999999998</v>
      </c>
      <c r="I39" s="12">
        <f>IF(ISNUMBER(Knoten!D15),G39-0.5*$E$1*B39,G39)</f>
        <v>0.47499999999999998</v>
      </c>
      <c r="J39" s="30">
        <f t="shared" si="5"/>
        <v>0.47499999999999998</v>
      </c>
      <c r="N39" s="30">
        <v>13</v>
      </c>
      <c r="O39" s="328">
        <f>1-ABS(SIGN(Knoten!E15))</f>
        <v>1</v>
      </c>
      <c r="P39">
        <f>IF(ISNUMBER(Knoten!C15),Knoten!C15+$O$1*(Knoten!K15+Knoten!N15),KnotenData!$H$2)</f>
        <v>0.5</v>
      </c>
      <c r="Q39">
        <f>IF(ISNUMBER(Knoten!C15),P39-0.866*$E$1*O39,P39)</f>
        <v>0.5</v>
      </c>
      <c r="R39" s="12">
        <f>IF(ISNUMBER(Knoten!C15),P39-0.866*$E$1*O39,P39)</f>
        <v>0.5</v>
      </c>
      <c r="S39" s="30">
        <f t="shared" si="6"/>
        <v>0.5</v>
      </c>
      <c r="T39">
        <f>IF(ISNUMBER(Knoten!D15),Knoten!D15+$O$1*(Knoten!L15+Knoten!O15),KnotenData!$H$3)</f>
        <v>0.47499999999999998</v>
      </c>
      <c r="U39">
        <f>IF(ISNUMBER(Knoten!D15),T39+0.5*$E$1*O39,T39)</f>
        <v>0.47499999999999998</v>
      </c>
      <c r="V39" s="12">
        <f>IF(ISNUMBER(Knoten!D15),T39-0.5*$E$1*O39,T39)</f>
        <v>0.47499999999999998</v>
      </c>
      <c r="W39" s="30">
        <f t="shared" si="7"/>
        <v>0.47499999999999998</v>
      </c>
    </row>
    <row r="40" spans="1:23" x14ac:dyDescent="0.2">
      <c r="A40" s="30">
        <v>14</v>
      </c>
      <c r="B40" s="328">
        <f>1-ABS(SIGN(Knoten!E16))</f>
        <v>1</v>
      </c>
      <c r="C40">
        <f>IF(ISNUMBER(Knoten!C16),Knoten!C16,KnotenData!$H$2)</f>
        <v>0.5</v>
      </c>
      <c r="D40">
        <f>IF(ISNUMBER(Knoten!C16),C40-0.866*$E$1*B40,C40)</f>
        <v>0.5</v>
      </c>
      <c r="E40" s="12">
        <f>IF(ISNUMBER(Knoten!C16),C40-0.866*$E$1*B40,C40)</f>
        <v>0.5</v>
      </c>
      <c r="F40" s="30">
        <f t="shared" si="4"/>
        <v>0.5</v>
      </c>
      <c r="G40">
        <f>IF(ISNUMBER(Knoten!D16),Knoten!D16,KnotenData!$H$3)</f>
        <v>0.47499999999999998</v>
      </c>
      <c r="H40">
        <f>IF(ISNUMBER(Knoten!D16),G40+0.5*$E$1*B40,G40)</f>
        <v>0.47499999999999998</v>
      </c>
      <c r="I40" s="12">
        <f>IF(ISNUMBER(Knoten!D16),G40-0.5*$E$1*B40,G40)</f>
        <v>0.47499999999999998</v>
      </c>
      <c r="J40" s="30">
        <f t="shared" si="5"/>
        <v>0.47499999999999998</v>
      </c>
      <c r="N40" s="30">
        <v>14</v>
      </c>
      <c r="O40" s="328">
        <f>1-ABS(SIGN(Knoten!E16))</f>
        <v>1</v>
      </c>
      <c r="P40">
        <f>IF(ISNUMBER(Knoten!C16),Knoten!C16+$O$1*(Knoten!K16+Knoten!N16),KnotenData!$H$2)</f>
        <v>0.5</v>
      </c>
      <c r="Q40">
        <f>IF(ISNUMBER(Knoten!C16),P40-0.866*$E$1*O40,P40)</f>
        <v>0.5</v>
      </c>
      <c r="R40" s="12">
        <f>IF(ISNUMBER(Knoten!C16),P40-0.866*$E$1*O40,P40)</f>
        <v>0.5</v>
      </c>
      <c r="S40" s="30">
        <f t="shared" si="6"/>
        <v>0.5</v>
      </c>
      <c r="T40">
        <f>IF(ISNUMBER(Knoten!D16),Knoten!D16+$O$1*(Knoten!L16+Knoten!O16),KnotenData!$H$3)</f>
        <v>0.47499999999999998</v>
      </c>
      <c r="U40">
        <f>IF(ISNUMBER(Knoten!D16),T40+0.5*$E$1*O40,T40)</f>
        <v>0.47499999999999998</v>
      </c>
      <c r="V40" s="12">
        <f>IF(ISNUMBER(Knoten!D16),T40-0.5*$E$1*O40,T40)</f>
        <v>0.47499999999999998</v>
      </c>
      <c r="W40" s="30">
        <f t="shared" si="7"/>
        <v>0.47499999999999998</v>
      </c>
    </row>
    <row r="41" spans="1:23" x14ac:dyDescent="0.2">
      <c r="A41" s="30">
        <v>15</v>
      </c>
      <c r="B41" s="328">
        <f>1-ABS(SIGN(Knoten!E17))</f>
        <v>1</v>
      </c>
      <c r="C41">
        <f>IF(ISNUMBER(Knoten!C17),Knoten!C17,KnotenData!$H$2)</f>
        <v>0.5</v>
      </c>
      <c r="D41">
        <f>IF(ISNUMBER(Knoten!C17),C41-0.866*$E$1*B41,C41)</f>
        <v>0.5</v>
      </c>
      <c r="E41" s="12">
        <f>IF(ISNUMBER(Knoten!C17),C41-0.866*$E$1*B41,C41)</f>
        <v>0.5</v>
      </c>
      <c r="F41" s="30">
        <f t="shared" si="4"/>
        <v>0.5</v>
      </c>
      <c r="G41">
        <f>IF(ISNUMBER(Knoten!D17),Knoten!D17,KnotenData!$H$3)</f>
        <v>0.47499999999999998</v>
      </c>
      <c r="H41">
        <f>IF(ISNUMBER(Knoten!D17),G41+0.5*$E$1*B41,G41)</f>
        <v>0.47499999999999998</v>
      </c>
      <c r="I41" s="12">
        <f>IF(ISNUMBER(Knoten!D17),G41-0.5*$E$1*B41,G41)</f>
        <v>0.47499999999999998</v>
      </c>
      <c r="J41" s="30">
        <f t="shared" si="5"/>
        <v>0.47499999999999998</v>
      </c>
      <c r="N41" s="30">
        <v>15</v>
      </c>
      <c r="O41" s="328">
        <f>1-ABS(SIGN(Knoten!E17))</f>
        <v>1</v>
      </c>
      <c r="P41">
        <f>IF(ISNUMBER(Knoten!C17),Knoten!C17+$O$1*(Knoten!K17+Knoten!N17),KnotenData!$H$2)</f>
        <v>0.5</v>
      </c>
      <c r="Q41">
        <f>IF(ISNUMBER(Knoten!C17),P41-0.866*$E$1*O41,P41)</f>
        <v>0.5</v>
      </c>
      <c r="R41" s="12">
        <f>IF(ISNUMBER(Knoten!C17),P41-0.866*$E$1*O41,P41)</f>
        <v>0.5</v>
      </c>
      <c r="S41" s="30">
        <f t="shared" si="6"/>
        <v>0.5</v>
      </c>
      <c r="T41">
        <f>IF(ISNUMBER(Knoten!D17),Knoten!D17+$O$1*(Knoten!L17+Knoten!O17),KnotenData!$H$3)</f>
        <v>0.47499999999999998</v>
      </c>
      <c r="U41">
        <f>IF(ISNUMBER(Knoten!D17),T41+0.5*$E$1*O41,T41)</f>
        <v>0.47499999999999998</v>
      </c>
      <c r="V41" s="12">
        <f>IF(ISNUMBER(Knoten!D17),T41-0.5*$E$1*O41,T41)</f>
        <v>0.47499999999999998</v>
      </c>
      <c r="W41" s="30">
        <f t="shared" si="7"/>
        <v>0.47499999999999998</v>
      </c>
    </row>
    <row r="42" spans="1:23" x14ac:dyDescent="0.2">
      <c r="A42" s="30">
        <v>16</v>
      </c>
      <c r="B42" s="328">
        <f>1-ABS(SIGN(Knoten!E18))</f>
        <v>1</v>
      </c>
      <c r="C42">
        <f>IF(ISNUMBER(Knoten!C18),Knoten!C18,KnotenData!$H$2)</f>
        <v>0.5</v>
      </c>
      <c r="D42">
        <f>IF(ISNUMBER(Knoten!C18),C42-0.866*$E$1*B42,C42)</f>
        <v>0.5</v>
      </c>
      <c r="E42" s="12">
        <f>IF(ISNUMBER(Knoten!C18),C42-0.866*$E$1*B42,C42)</f>
        <v>0.5</v>
      </c>
      <c r="F42" s="30">
        <f t="shared" si="4"/>
        <v>0.5</v>
      </c>
      <c r="G42">
        <f>IF(ISNUMBER(Knoten!D18),Knoten!D18,KnotenData!$H$3)</f>
        <v>0.47499999999999998</v>
      </c>
      <c r="H42">
        <f>IF(ISNUMBER(Knoten!D18),G42+0.5*$E$1*B42,G42)</f>
        <v>0.47499999999999998</v>
      </c>
      <c r="I42" s="12">
        <f>IF(ISNUMBER(Knoten!D18),G42-0.5*$E$1*B42,G42)</f>
        <v>0.47499999999999998</v>
      </c>
      <c r="J42" s="30">
        <f t="shared" si="5"/>
        <v>0.47499999999999998</v>
      </c>
      <c r="N42" s="30">
        <v>16</v>
      </c>
      <c r="O42" s="328">
        <f>1-ABS(SIGN(Knoten!E18))</f>
        <v>1</v>
      </c>
      <c r="P42">
        <f>IF(ISNUMBER(Knoten!C18),Knoten!C18+$O$1*(Knoten!K18+Knoten!N18),KnotenData!$H$2)</f>
        <v>0.5</v>
      </c>
      <c r="Q42">
        <f>IF(ISNUMBER(Knoten!C18),P42-0.866*$E$1*O42,P42)</f>
        <v>0.5</v>
      </c>
      <c r="R42" s="12">
        <f>IF(ISNUMBER(Knoten!C18),P42-0.866*$E$1*O42,P42)</f>
        <v>0.5</v>
      </c>
      <c r="S42" s="30">
        <f t="shared" si="6"/>
        <v>0.5</v>
      </c>
      <c r="T42">
        <f>IF(ISNUMBER(Knoten!D18),Knoten!D18+$O$1*(Knoten!L18+Knoten!O18),KnotenData!$H$3)</f>
        <v>0.47499999999999998</v>
      </c>
      <c r="U42">
        <f>IF(ISNUMBER(Knoten!D18),T42+0.5*$E$1*O42,T42)</f>
        <v>0.47499999999999998</v>
      </c>
      <c r="V42" s="12">
        <f>IF(ISNUMBER(Knoten!D18),T42-0.5*$E$1*O42,T42)</f>
        <v>0.47499999999999998</v>
      </c>
      <c r="W42" s="30">
        <f t="shared" si="7"/>
        <v>0.47499999999999998</v>
      </c>
    </row>
    <row r="43" spans="1:23" x14ac:dyDescent="0.2">
      <c r="A43" s="30">
        <v>17</v>
      </c>
      <c r="B43" s="328">
        <f>1-ABS(SIGN(Knoten!E19))</f>
        <v>1</v>
      </c>
      <c r="C43">
        <f>IF(ISNUMBER(Knoten!C19),Knoten!C19,KnotenData!$H$2)</f>
        <v>0.5</v>
      </c>
      <c r="D43">
        <f>IF(ISNUMBER(Knoten!C19),C43-0.866*$E$1*B43,C43)</f>
        <v>0.5</v>
      </c>
      <c r="E43" s="12">
        <f>IF(ISNUMBER(Knoten!C19),C43-0.866*$E$1*B43,C43)</f>
        <v>0.5</v>
      </c>
      <c r="F43" s="30">
        <f t="shared" si="4"/>
        <v>0.5</v>
      </c>
      <c r="G43">
        <f>IF(ISNUMBER(Knoten!D19),Knoten!D19,KnotenData!$H$3)</f>
        <v>0.47499999999999998</v>
      </c>
      <c r="H43">
        <f>IF(ISNUMBER(Knoten!D19),G43+0.5*$E$1*B43,G43)</f>
        <v>0.47499999999999998</v>
      </c>
      <c r="I43" s="12">
        <f>IF(ISNUMBER(Knoten!D19),G43-0.5*$E$1*B43,G43)</f>
        <v>0.47499999999999998</v>
      </c>
      <c r="J43" s="30">
        <f t="shared" si="5"/>
        <v>0.47499999999999998</v>
      </c>
      <c r="N43" s="30">
        <v>17</v>
      </c>
      <c r="O43" s="328">
        <f>1-ABS(SIGN(Knoten!E19))</f>
        <v>1</v>
      </c>
      <c r="P43">
        <f>IF(ISNUMBER(Knoten!C19),Knoten!C19+$O$1*(Knoten!K19+Knoten!N19),KnotenData!$H$2)</f>
        <v>0.5</v>
      </c>
      <c r="Q43">
        <f>IF(ISNUMBER(Knoten!C19),P43-0.866*$E$1*O43,P43)</f>
        <v>0.5</v>
      </c>
      <c r="R43" s="12">
        <f>IF(ISNUMBER(Knoten!C19),P43-0.866*$E$1*O43,P43)</f>
        <v>0.5</v>
      </c>
      <c r="S43" s="30">
        <f t="shared" si="6"/>
        <v>0.5</v>
      </c>
      <c r="T43">
        <f>IF(ISNUMBER(Knoten!D19),Knoten!D19+$O$1*(Knoten!L19+Knoten!O19),KnotenData!$H$3)</f>
        <v>0.47499999999999998</v>
      </c>
      <c r="U43">
        <f>IF(ISNUMBER(Knoten!D19),T43+0.5*$E$1*O43,T43)</f>
        <v>0.47499999999999998</v>
      </c>
      <c r="V43" s="12">
        <f>IF(ISNUMBER(Knoten!D19),T43-0.5*$E$1*O43,T43)</f>
        <v>0.47499999999999998</v>
      </c>
      <c r="W43" s="30">
        <f t="shared" si="7"/>
        <v>0.47499999999999998</v>
      </c>
    </row>
    <row r="44" spans="1:23" x14ac:dyDescent="0.2">
      <c r="A44" s="30">
        <v>18</v>
      </c>
      <c r="B44" s="328">
        <f>1-ABS(SIGN(Knoten!E20))</f>
        <v>1</v>
      </c>
      <c r="C44">
        <f>IF(ISNUMBER(Knoten!C20),Knoten!C20,KnotenData!$H$2)</f>
        <v>0.5</v>
      </c>
      <c r="D44">
        <f>IF(ISNUMBER(Knoten!C20),C44-0.866*$E$1*B44,C44)</f>
        <v>0.5</v>
      </c>
      <c r="E44" s="12">
        <f>IF(ISNUMBER(Knoten!C20),C44-0.866*$E$1*B44,C44)</f>
        <v>0.5</v>
      </c>
      <c r="F44" s="30">
        <f t="shared" si="4"/>
        <v>0.5</v>
      </c>
      <c r="G44">
        <f>IF(ISNUMBER(Knoten!D20),Knoten!D20,KnotenData!$H$3)</f>
        <v>0.47499999999999998</v>
      </c>
      <c r="H44">
        <f>IF(ISNUMBER(Knoten!D20),G44+0.5*$E$1*B44,G44)</f>
        <v>0.47499999999999998</v>
      </c>
      <c r="I44" s="12">
        <f>IF(ISNUMBER(Knoten!D20),G44-0.5*$E$1*B44,G44)</f>
        <v>0.47499999999999998</v>
      </c>
      <c r="J44" s="30">
        <f t="shared" si="5"/>
        <v>0.47499999999999998</v>
      </c>
      <c r="N44" s="30">
        <v>18</v>
      </c>
      <c r="O44" s="328">
        <f>1-ABS(SIGN(Knoten!E20))</f>
        <v>1</v>
      </c>
      <c r="P44">
        <f>IF(ISNUMBER(Knoten!C20),Knoten!C20+$O$1*(Knoten!K20+Knoten!N20),KnotenData!$H$2)</f>
        <v>0.5</v>
      </c>
      <c r="Q44">
        <f>IF(ISNUMBER(Knoten!C20),P44-0.866*$E$1*O44,P44)</f>
        <v>0.5</v>
      </c>
      <c r="R44" s="12">
        <f>IF(ISNUMBER(Knoten!C20),P44-0.866*$E$1*O44,P44)</f>
        <v>0.5</v>
      </c>
      <c r="S44" s="30">
        <f t="shared" si="6"/>
        <v>0.5</v>
      </c>
      <c r="T44">
        <f>IF(ISNUMBER(Knoten!D20),Knoten!D20+$O$1*(Knoten!L20+Knoten!O20),KnotenData!$H$3)</f>
        <v>0.47499999999999998</v>
      </c>
      <c r="U44">
        <f>IF(ISNUMBER(Knoten!D20),T44+0.5*$E$1*O44,T44)</f>
        <v>0.47499999999999998</v>
      </c>
      <c r="V44" s="12">
        <f>IF(ISNUMBER(Knoten!D20),T44-0.5*$E$1*O44,T44)</f>
        <v>0.47499999999999998</v>
      </c>
      <c r="W44" s="30">
        <f t="shared" si="7"/>
        <v>0.47499999999999998</v>
      </c>
    </row>
    <row r="45" spans="1:23" x14ac:dyDescent="0.2">
      <c r="A45" s="30">
        <v>19</v>
      </c>
      <c r="B45" s="328">
        <f>1-ABS(SIGN(Knoten!E21))</f>
        <v>1</v>
      </c>
      <c r="C45">
        <f>IF(ISNUMBER(Knoten!C21),Knoten!C21,KnotenData!$H$2)</f>
        <v>0.5</v>
      </c>
      <c r="D45">
        <f>IF(ISNUMBER(Knoten!C21),C45-0.866*$E$1*B45,C45)</f>
        <v>0.5</v>
      </c>
      <c r="E45" s="12">
        <f>IF(ISNUMBER(Knoten!C21),C45-0.866*$E$1*B45,C45)</f>
        <v>0.5</v>
      </c>
      <c r="F45" s="30">
        <f t="shared" si="4"/>
        <v>0.5</v>
      </c>
      <c r="G45">
        <f>IF(ISNUMBER(Knoten!D21),Knoten!D21,KnotenData!$H$3)</f>
        <v>0.47499999999999998</v>
      </c>
      <c r="H45">
        <f>IF(ISNUMBER(Knoten!D21),G45+0.5*$E$1*B45,G45)</f>
        <v>0.47499999999999998</v>
      </c>
      <c r="I45" s="12">
        <f>IF(ISNUMBER(Knoten!D21),G45-0.5*$E$1*B45,G45)</f>
        <v>0.47499999999999998</v>
      </c>
      <c r="J45" s="30">
        <f t="shared" si="5"/>
        <v>0.47499999999999998</v>
      </c>
      <c r="N45" s="30">
        <v>19</v>
      </c>
      <c r="O45" s="328">
        <f>1-ABS(SIGN(Knoten!E21))</f>
        <v>1</v>
      </c>
      <c r="P45">
        <f>IF(ISNUMBER(Knoten!C21),Knoten!C21+$O$1*(Knoten!K21+Knoten!N21),KnotenData!$H$2)</f>
        <v>0.5</v>
      </c>
      <c r="Q45">
        <f>IF(ISNUMBER(Knoten!C21),P45-0.866*$E$1*O45,P45)</f>
        <v>0.5</v>
      </c>
      <c r="R45" s="12">
        <f>IF(ISNUMBER(Knoten!C21),P45-0.866*$E$1*O45,P45)</f>
        <v>0.5</v>
      </c>
      <c r="S45" s="30">
        <f t="shared" si="6"/>
        <v>0.5</v>
      </c>
      <c r="T45">
        <f>IF(ISNUMBER(Knoten!D21),Knoten!D21+$O$1*(Knoten!L21+Knoten!O21),KnotenData!$H$3)</f>
        <v>0.47499999999999998</v>
      </c>
      <c r="U45">
        <f>IF(ISNUMBER(Knoten!D21),T45+0.5*$E$1*O45,T45)</f>
        <v>0.47499999999999998</v>
      </c>
      <c r="V45" s="12">
        <f>IF(ISNUMBER(Knoten!D21),T45-0.5*$E$1*O45,T45)</f>
        <v>0.47499999999999998</v>
      </c>
      <c r="W45" s="30">
        <f t="shared" si="7"/>
        <v>0.47499999999999998</v>
      </c>
    </row>
    <row r="46" spans="1:23" x14ac:dyDescent="0.2">
      <c r="A46" s="30">
        <v>20</v>
      </c>
      <c r="B46" s="328">
        <f>1-ABS(SIGN(Knoten!E22))</f>
        <v>1</v>
      </c>
      <c r="C46">
        <f>IF(ISNUMBER(Knoten!C22),Knoten!C22,KnotenData!$H$2)</f>
        <v>0.5</v>
      </c>
      <c r="D46">
        <f>IF(ISNUMBER(Knoten!C22),C46-0.866*$E$1*B46,C46)</f>
        <v>0.5</v>
      </c>
      <c r="E46" s="12">
        <f>IF(ISNUMBER(Knoten!C22),C46-0.866*$E$1*B46,C46)</f>
        <v>0.5</v>
      </c>
      <c r="F46" s="30">
        <f t="shared" si="4"/>
        <v>0.5</v>
      </c>
      <c r="G46">
        <f>IF(ISNUMBER(Knoten!D22),Knoten!D22,KnotenData!$H$3)</f>
        <v>0.47499999999999998</v>
      </c>
      <c r="H46">
        <f>IF(ISNUMBER(Knoten!D22),G46+0.5*$E$1*B46,G46)</f>
        <v>0.47499999999999998</v>
      </c>
      <c r="I46" s="12">
        <f>IF(ISNUMBER(Knoten!D22),G46-0.5*$E$1*B46,G46)</f>
        <v>0.47499999999999998</v>
      </c>
      <c r="J46" s="30">
        <f t="shared" si="5"/>
        <v>0.47499999999999998</v>
      </c>
      <c r="N46" s="30">
        <v>20</v>
      </c>
      <c r="O46" s="328">
        <f>1-ABS(SIGN(Knoten!E22))</f>
        <v>1</v>
      </c>
      <c r="P46">
        <f>IF(ISNUMBER(Knoten!C22),Knoten!C22+$O$1*(Knoten!K22+Knoten!N22),KnotenData!$H$2)</f>
        <v>0.5</v>
      </c>
      <c r="Q46">
        <f>IF(ISNUMBER(Knoten!C22),P46-0.866*$E$1*O46,P46)</f>
        <v>0.5</v>
      </c>
      <c r="R46" s="12">
        <f>IF(ISNUMBER(Knoten!C22),P46-0.866*$E$1*O46,P46)</f>
        <v>0.5</v>
      </c>
      <c r="S46" s="30">
        <f t="shared" si="6"/>
        <v>0.5</v>
      </c>
      <c r="T46">
        <f>IF(ISNUMBER(Knoten!D22),Knoten!D22+$O$1*(Knoten!L22+Knoten!O22),KnotenData!$H$3)</f>
        <v>0.47499999999999998</v>
      </c>
      <c r="U46">
        <f>IF(ISNUMBER(Knoten!D22),T46+0.5*$E$1*O46,T46)</f>
        <v>0.47499999999999998</v>
      </c>
      <c r="V46" s="12">
        <f>IF(ISNUMBER(Knoten!D22),T46-0.5*$E$1*O46,T46)</f>
        <v>0.47499999999999998</v>
      </c>
      <c r="W46" s="30">
        <f t="shared" si="7"/>
        <v>0.47499999999999998</v>
      </c>
    </row>
    <row r="49" spans="1:25" ht="13.5" thickBot="1" x14ac:dyDescent="0.25">
      <c r="A49" s="329" t="s">
        <v>118</v>
      </c>
      <c r="B49" s="89"/>
      <c r="C49" s="482" t="s">
        <v>1</v>
      </c>
      <c r="D49" s="483"/>
      <c r="E49" s="483"/>
      <c r="F49" s="483"/>
      <c r="G49" s="484"/>
      <c r="H49" s="482" t="s">
        <v>111</v>
      </c>
      <c r="I49" s="483"/>
      <c r="J49" s="483"/>
      <c r="K49" s="483"/>
      <c r="L49" s="484"/>
      <c r="N49" s="329" t="s">
        <v>118</v>
      </c>
      <c r="O49" s="89"/>
      <c r="P49" s="482" t="s">
        <v>1</v>
      </c>
      <c r="Q49" s="483"/>
      <c r="R49" s="483"/>
      <c r="S49" s="483"/>
      <c r="T49" s="484"/>
      <c r="U49" s="482" t="s">
        <v>111</v>
      </c>
      <c r="V49" s="483"/>
      <c r="W49" s="483"/>
      <c r="X49" s="483"/>
      <c r="Y49" s="484"/>
    </row>
    <row r="50" spans="1:25" x14ac:dyDescent="0.2">
      <c r="A50" s="30">
        <v>1</v>
      </c>
      <c r="B50" s="328">
        <f>1-ABS(SIGN(Knoten!G3))</f>
        <v>0</v>
      </c>
      <c r="C50">
        <f>IF(ISNUMBER(Knoten!C3),Knoten!C3+$H$1*$E$1*B50,KnotenData!$H$2)</f>
        <v>0</v>
      </c>
      <c r="D50">
        <f>C50</f>
        <v>0</v>
      </c>
      <c r="E50" s="12">
        <f>IF(ISNUMBER(Knoten!C3),C50-2*$H$1*$E$1*B50,C50)</f>
        <v>0</v>
      </c>
      <c r="F50" s="12">
        <f>E50</f>
        <v>0</v>
      </c>
      <c r="G50" s="30">
        <f>C50</f>
        <v>0</v>
      </c>
      <c r="H50">
        <f>IF(ISNUMBER(Knoten!D3),Knoten!D3-$H$1*$E$1*B50,KnotenData!$H$3)</f>
        <v>0.75</v>
      </c>
      <c r="I50">
        <f>IF(ISNUMBER(Knoten!D3),H50+2*$H$1*$E$1*B50,H50)</f>
        <v>0.75</v>
      </c>
      <c r="J50" s="12">
        <f>I50</f>
        <v>0.75</v>
      </c>
      <c r="K50" s="12">
        <f>H50</f>
        <v>0.75</v>
      </c>
      <c r="L50" s="30">
        <f>H50</f>
        <v>0.75</v>
      </c>
      <c r="N50" s="30">
        <v>1</v>
      </c>
      <c r="O50" s="328">
        <f>1-ABS(SIGN(Knoten!G3))</f>
        <v>0</v>
      </c>
      <c r="P50">
        <f ca="1">IF(ISNUMBER(Knoten!C3),Knoten!C3+$O$1*(Knoten!K3+Knoten!N3)+$H$1*$E$1*O50,KnotenData!$H$2)</f>
        <v>0</v>
      </c>
      <c r="Q50">
        <f ca="1">P50</f>
        <v>0</v>
      </c>
      <c r="R50" s="12">
        <f ca="1">IF(ISNUMBER(Knoten!C3),P50-2*$H$1*$E$1*O50,P50)</f>
        <v>0</v>
      </c>
      <c r="S50" s="12">
        <f ca="1">R50</f>
        <v>0</v>
      </c>
      <c r="T50" s="30">
        <f ca="1">P50</f>
        <v>0</v>
      </c>
      <c r="U50">
        <f ca="1">IF(ISNUMBER(Knoten!D3),Knoten!D3+$O$1*(Knoten!L3+Knoten!O3)-$H$1*$E$1*O50,KnotenData!$H$3)</f>
        <v>0.75</v>
      </c>
      <c r="V50">
        <f ca="1">IF(ISNUMBER(Knoten!D3),U50+2*$H$1*$E$1*O50,U50)</f>
        <v>0.75</v>
      </c>
      <c r="W50" s="12">
        <f ca="1">V50</f>
        <v>0.75</v>
      </c>
      <c r="X50" s="12">
        <f ca="1">U50</f>
        <v>0.75</v>
      </c>
      <c r="Y50" s="30">
        <f ca="1">U50</f>
        <v>0.75</v>
      </c>
    </row>
    <row r="51" spans="1:25" x14ac:dyDescent="0.2">
      <c r="A51" s="30">
        <v>2</v>
      </c>
      <c r="B51" s="328">
        <f>1-ABS(SIGN(Knoten!G4))</f>
        <v>0</v>
      </c>
      <c r="C51">
        <f>IF(ISNUMBER(Knoten!C4),Knoten!C4+$H$1*$E$1*B51,KnotenData!$H$2)</f>
        <v>0.5</v>
      </c>
      <c r="D51">
        <f t="shared" ref="D51:D69" si="8">C51</f>
        <v>0.5</v>
      </c>
      <c r="E51" s="12">
        <f>IF(ISNUMBER(Knoten!C4),C51-2*$H$1*$E$1*B51,C51)</f>
        <v>0.5</v>
      </c>
      <c r="F51" s="12">
        <f t="shared" ref="F51:F69" si="9">E51</f>
        <v>0.5</v>
      </c>
      <c r="G51" s="30">
        <f t="shared" ref="G51:G69" si="10">C51</f>
        <v>0.5</v>
      </c>
      <c r="H51">
        <f>IF(ISNUMBER(Knoten!D4),Knoten!D4-$H$1*$E$1*B51,KnotenData!$H$3)</f>
        <v>0.25</v>
      </c>
      <c r="I51">
        <f>IF(ISNUMBER(Knoten!D4),H51+2*$H$1*$E$1*B51,H51)</f>
        <v>0.25</v>
      </c>
      <c r="J51" s="12">
        <f t="shared" ref="J51:J69" si="11">I51</f>
        <v>0.25</v>
      </c>
      <c r="K51" s="12">
        <f t="shared" ref="K51:K69" si="12">H51</f>
        <v>0.25</v>
      </c>
      <c r="L51" s="30">
        <f t="shared" ref="L51:L69" si="13">H51</f>
        <v>0.25</v>
      </c>
      <c r="N51" s="30">
        <v>2</v>
      </c>
      <c r="O51" s="328">
        <f>1-ABS(SIGN(Knoten!G4))</f>
        <v>0</v>
      </c>
      <c r="P51">
        <f ca="1">IF(ISNUMBER(Knoten!C4),Knoten!C4+$O$1*(Knoten!K4+Knoten!N4)+$H$1*$E$1*O51,KnotenData!$H$2)</f>
        <v>0.55885637953108702</v>
      </c>
      <c r="Q51">
        <f t="shared" ref="Q51:Q69" ca="1" si="14">P51</f>
        <v>0.55885637953108702</v>
      </c>
      <c r="R51" s="12">
        <f ca="1">IF(ISNUMBER(Knoten!C4),P51-2*$H$1*$E$1*O51,P51)</f>
        <v>0.55885637953108702</v>
      </c>
      <c r="S51" s="12">
        <f t="shared" ref="S51:S69" ca="1" si="15">R51</f>
        <v>0.55885637953108702</v>
      </c>
      <c r="T51" s="30">
        <f t="shared" ref="T51:T69" ca="1" si="16">P51</f>
        <v>0.55885637953108702</v>
      </c>
      <c r="U51">
        <f ca="1">IF(ISNUMBER(Knoten!D4),Knoten!D4+$O$1*(Knoten!L4+Knoten!O4)-$H$1*$E$1*O51,KnotenData!$H$3)</f>
        <v>0.50107966863129327</v>
      </c>
      <c r="V51">
        <f ca="1">IF(ISNUMBER(Knoten!D4),U51+2*$H$1*$E$1*O51,U51)</f>
        <v>0.50107966863129327</v>
      </c>
      <c r="W51" s="12">
        <f t="shared" ref="W51:W69" ca="1" si="17">V51</f>
        <v>0.50107966863129327</v>
      </c>
      <c r="X51" s="12">
        <f t="shared" ref="X51:X69" ca="1" si="18">U51</f>
        <v>0.50107966863129327</v>
      </c>
      <c r="Y51" s="30">
        <f t="shared" ref="Y51:Y69" ca="1" si="19">U51</f>
        <v>0.50107966863129327</v>
      </c>
    </row>
    <row r="52" spans="1:25" x14ac:dyDescent="0.2">
      <c r="A52" s="30">
        <v>3</v>
      </c>
      <c r="B52" s="328">
        <f>1-ABS(SIGN(Knoten!G5))</f>
        <v>0</v>
      </c>
      <c r="C52">
        <f>IF(ISNUMBER(Knoten!C5),Knoten!C5+$H$1*$E$1*B52,KnotenData!$H$2)</f>
        <v>1</v>
      </c>
      <c r="D52">
        <f t="shared" si="8"/>
        <v>1</v>
      </c>
      <c r="E52" s="12">
        <f>IF(ISNUMBER(Knoten!C5),C52-2*$H$1*$E$1*B52,C52)</f>
        <v>1</v>
      </c>
      <c r="F52" s="12">
        <f t="shared" si="9"/>
        <v>1</v>
      </c>
      <c r="G52" s="30">
        <f t="shared" si="10"/>
        <v>1</v>
      </c>
      <c r="H52">
        <f>IF(ISNUMBER(Knoten!D5),Knoten!D5-$H$1*$E$1*B52,KnotenData!$H$3)</f>
        <v>0.25</v>
      </c>
      <c r="I52">
        <f>IF(ISNUMBER(Knoten!D5),H52+2*$H$1*$E$1*B52,H52)</f>
        <v>0.25</v>
      </c>
      <c r="J52" s="12">
        <f t="shared" si="11"/>
        <v>0.25</v>
      </c>
      <c r="K52" s="12">
        <f t="shared" si="12"/>
        <v>0.25</v>
      </c>
      <c r="L52" s="30">
        <f t="shared" si="13"/>
        <v>0.25</v>
      </c>
      <c r="N52" s="30">
        <v>3</v>
      </c>
      <c r="O52" s="328">
        <f>1-ABS(SIGN(Knoten!G5))</f>
        <v>0</v>
      </c>
      <c r="P52">
        <f ca="1">IF(ISNUMBER(Knoten!C5),Knoten!C5+$O$1*(Knoten!K5+Knoten!N5)+$H$1*$E$1*O52,KnotenData!$H$2)</f>
        <v>1</v>
      </c>
      <c r="Q52">
        <f t="shared" ca="1" si="14"/>
        <v>1</v>
      </c>
      <c r="R52" s="12">
        <f ca="1">IF(ISNUMBER(Knoten!C5),P52-2*$H$1*$E$1*O52,P52)</f>
        <v>1</v>
      </c>
      <c r="S52" s="12">
        <f t="shared" ca="1" si="15"/>
        <v>1</v>
      </c>
      <c r="T52" s="30">
        <f t="shared" ca="1" si="16"/>
        <v>1</v>
      </c>
      <c r="U52">
        <f ca="1">IF(ISNUMBER(Knoten!D5),Knoten!D5+$O$1*(Knoten!L5+Knoten!O5)-$H$1*$E$1*O52,KnotenData!$H$3)</f>
        <v>0.25</v>
      </c>
      <c r="V52">
        <f ca="1">IF(ISNUMBER(Knoten!D5),U52+2*$H$1*$E$1*O52,U52)</f>
        <v>0.25</v>
      </c>
      <c r="W52" s="12">
        <f t="shared" ca="1" si="17"/>
        <v>0.25</v>
      </c>
      <c r="X52" s="12">
        <f t="shared" ca="1" si="18"/>
        <v>0.25</v>
      </c>
      <c r="Y52" s="30">
        <f t="shared" ca="1" si="19"/>
        <v>0.25</v>
      </c>
    </row>
    <row r="53" spans="1:25" x14ac:dyDescent="0.2">
      <c r="A53" s="30">
        <v>4</v>
      </c>
      <c r="B53" s="328">
        <f>1-ABS(SIGN(Knoten!G6))</f>
        <v>1</v>
      </c>
      <c r="C53">
        <f>IF(ISNUMBER(Knoten!C6),Knoten!C6+$H$1*$E$1*B53,KnotenData!$H$2)</f>
        <v>0.5</v>
      </c>
      <c r="D53">
        <f t="shared" si="8"/>
        <v>0.5</v>
      </c>
      <c r="E53" s="12">
        <f>IF(ISNUMBER(Knoten!C6),C53-2*$H$1*$E$1*B53,C53)</f>
        <v>0.5</v>
      </c>
      <c r="F53" s="12">
        <f t="shared" si="9"/>
        <v>0.5</v>
      </c>
      <c r="G53" s="30">
        <f t="shared" si="10"/>
        <v>0.5</v>
      </c>
      <c r="H53">
        <f>IF(ISNUMBER(Knoten!D6),Knoten!D6-$H$1*$E$1*B53,KnotenData!$H$3)</f>
        <v>0.47499999999999998</v>
      </c>
      <c r="I53">
        <f>IF(ISNUMBER(Knoten!D6),H53+2*$H$1*$E$1*B53,H53)</f>
        <v>0.47499999999999998</v>
      </c>
      <c r="J53" s="12">
        <f t="shared" si="11"/>
        <v>0.47499999999999998</v>
      </c>
      <c r="K53" s="12">
        <f t="shared" si="12"/>
        <v>0.47499999999999998</v>
      </c>
      <c r="L53" s="30">
        <f t="shared" si="13"/>
        <v>0.47499999999999998</v>
      </c>
      <c r="N53" s="30">
        <v>4</v>
      </c>
      <c r="O53" s="328">
        <f>1-ABS(SIGN(Knoten!G6))</f>
        <v>1</v>
      </c>
      <c r="P53">
        <f>IF(ISNUMBER(Knoten!C6),Knoten!C6+$O$1*(Knoten!K6+Knoten!N6)+$H$1*$E$1*O53,KnotenData!$H$2)</f>
        <v>0.5</v>
      </c>
      <c r="Q53">
        <f t="shared" si="14"/>
        <v>0.5</v>
      </c>
      <c r="R53" s="12">
        <f>IF(ISNUMBER(Knoten!C6),P53-2*$H$1*$E$1*O53,P53)</f>
        <v>0.5</v>
      </c>
      <c r="S53" s="12">
        <f t="shared" si="15"/>
        <v>0.5</v>
      </c>
      <c r="T53" s="30">
        <f t="shared" si="16"/>
        <v>0.5</v>
      </c>
      <c r="U53">
        <f>IF(ISNUMBER(Knoten!D6),Knoten!D6+$O$1*(Knoten!L6+Knoten!O6)-$H$1*$E$1*O53,KnotenData!$H$3)</f>
        <v>0.47499999999999998</v>
      </c>
      <c r="V53">
        <f>IF(ISNUMBER(Knoten!D6),U53+2*$H$1*$E$1*O53,U53)</f>
        <v>0.47499999999999998</v>
      </c>
      <c r="W53" s="12">
        <f t="shared" si="17"/>
        <v>0.47499999999999998</v>
      </c>
      <c r="X53" s="12">
        <f t="shared" si="18"/>
        <v>0.47499999999999998</v>
      </c>
      <c r="Y53" s="30">
        <f t="shared" si="19"/>
        <v>0.47499999999999998</v>
      </c>
    </row>
    <row r="54" spans="1:25" x14ac:dyDescent="0.2">
      <c r="A54" s="30">
        <v>5</v>
      </c>
      <c r="B54" s="328">
        <f>1-ABS(SIGN(Knoten!G7))</f>
        <v>1</v>
      </c>
      <c r="C54">
        <f>IF(ISNUMBER(Knoten!C7),Knoten!C7+$H$1*$E$1*B54,KnotenData!$H$2)</f>
        <v>0.5</v>
      </c>
      <c r="D54">
        <f t="shared" si="8"/>
        <v>0.5</v>
      </c>
      <c r="E54" s="12">
        <f>IF(ISNUMBER(Knoten!C7),C54-2*$H$1*$E$1*B54,C54)</f>
        <v>0.5</v>
      </c>
      <c r="F54" s="12">
        <f t="shared" si="9"/>
        <v>0.5</v>
      </c>
      <c r="G54" s="30">
        <f t="shared" si="10"/>
        <v>0.5</v>
      </c>
      <c r="H54">
        <f>IF(ISNUMBER(Knoten!D7),Knoten!D7-$H$1*$E$1*B54,KnotenData!$H$3)</f>
        <v>0.47499999999999998</v>
      </c>
      <c r="I54">
        <f>IF(ISNUMBER(Knoten!D7),H54+2*$H$1*$E$1*B54,H54)</f>
        <v>0.47499999999999998</v>
      </c>
      <c r="J54" s="12">
        <f t="shared" si="11"/>
        <v>0.47499999999999998</v>
      </c>
      <c r="K54" s="12">
        <f t="shared" si="12"/>
        <v>0.47499999999999998</v>
      </c>
      <c r="L54" s="30">
        <f t="shared" si="13"/>
        <v>0.47499999999999998</v>
      </c>
      <c r="N54" s="30">
        <v>5</v>
      </c>
      <c r="O54" s="328">
        <f>1-ABS(SIGN(Knoten!G7))</f>
        <v>1</v>
      </c>
      <c r="P54">
        <f>IF(ISNUMBER(Knoten!C7),Knoten!C7+$O$1*(Knoten!K7+Knoten!N7)+$H$1*$E$1*O54,KnotenData!$H$2)</f>
        <v>0.5</v>
      </c>
      <c r="Q54">
        <f t="shared" si="14"/>
        <v>0.5</v>
      </c>
      <c r="R54" s="12">
        <f>IF(ISNUMBER(Knoten!C7),P54-2*$H$1*$E$1*O54,P54)</f>
        <v>0.5</v>
      </c>
      <c r="S54" s="12">
        <f t="shared" si="15"/>
        <v>0.5</v>
      </c>
      <c r="T54" s="30">
        <f t="shared" si="16"/>
        <v>0.5</v>
      </c>
      <c r="U54">
        <f>IF(ISNUMBER(Knoten!D7),Knoten!D7+$O$1*(Knoten!L7+Knoten!O7)-$H$1*$E$1*O54,KnotenData!$H$3)</f>
        <v>0.47499999999999998</v>
      </c>
      <c r="V54">
        <f>IF(ISNUMBER(Knoten!D7),U54+2*$H$1*$E$1*O54,U54)</f>
        <v>0.47499999999999998</v>
      </c>
      <c r="W54" s="12">
        <f t="shared" si="17"/>
        <v>0.47499999999999998</v>
      </c>
      <c r="X54" s="12">
        <f t="shared" si="18"/>
        <v>0.47499999999999998</v>
      </c>
      <c r="Y54" s="30">
        <f t="shared" si="19"/>
        <v>0.47499999999999998</v>
      </c>
    </row>
    <row r="55" spans="1:25" x14ac:dyDescent="0.2">
      <c r="A55" s="30">
        <v>6</v>
      </c>
      <c r="B55" s="328">
        <f>1-ABS(SIGN(Knoten!G8))</f>
        <v>1</v>
      </c>
      <c r="C55">
        <f>IF(ISNUMBER(Knoten!C8),Knoten!C8+$H$1*$E$1*B55,KnotenData!$H$2)</f>
        <v>0.5</v>
      </c>
      <c r="D55">
        <f t="shared" si="8"/>
        <v>0.5</v>
      </c>
      <c r="E55" s="12">
        <f>IF(ISNUMBER(Knoten!C8),C55-2*$H$1*$E$1*B55,C55)</f>
        <v>0.5</v>
      </c>
      <c r="F55" s="12">
        <f t="shared" si="9"/>
        <v>0.5</v>
      </c>
      <c r="G55" s="30">
        <f t="shared" si="10"/>
        <v>0.5</v>
      </c>
      <c r="H55">
        <f>IF(ISNUMBER(Knoten!D8),Knoten!D8-$H$1*$E$1*B55,KnotenData!$H$3)</f>
        <v>0.47499999999999998</v>
      </c>
      <c r="I55">
        <f>IF(ISNUMBER(Knoten!D8),H55+2*$H$1*$E$1*B55,H55)</f>
        <v>0.47499999999999998</v>
      </c>
      <c r="J55" s="12">
        <f t="shared" si="11"/>
        <v>0.47499999999999998</v>
      </c>
      <c r="K55" s="12">
        <f t="shared" si="12"/>
        <v>0.47499999999999998</v>
      </c>
      <c r="L55" s="30">
        <f t="shared" si="13"/>
        <v>0.47499999999999998</v>
      </c>
      <c r="N55" s="30">
        <v>6</v>
      </c>
      <c r="O55" s="328">
        <f>1-ABS(SIGN(Knoten!G8))</f>
        <v>1</v>
      </c>
      <c r="P55">
        <f>IF(ISNUMBER(Knoten!C8),Knoten!C8+$O$1*(Knoten!K8+Knoten!N8)+$H$1*$E$1*O55,KnotenData!$H$2)</f>
        <v>0.5</v>
      </c>
      <c r="Q55">
        <f t="shared" si="14"/>
        <v>0.5</v>
      </c>
      <c r="R55" s="12">
        <f>IF(ISNUMBER(Knoten!C8),P55-2*$H$1*$E$1*O55,P55)</f>
        <v>0.5</v>
      </c>
      <c r="S55" s="12">
        <f t="shared" si="15"/>
        <v>0.5</v>
      </c>
      <c r="T55" s="30">
        <f t="shared" si="16"/>
        <v>0.5</v>
      </c>
      <c r="U55">
        <f>IF(ISNUMBER(Knoten!D8),Knoten!D8+$O$1*(Knoten!L8+Knoten!O8)-$H$1*$E$1*O55,KnotenData!$H$3)</f>
        <v>0.47499999999999998</v>
      </c>
      <c r="V55">
        <f>IF(ISNUMBER(Knoten!D8),U55+2*$H$1*$E$1*O55,U55)</f>
        <v>0.47499999999999998</v>
      </c>
      <c r="W55" s="12">
        <f t="shared" si="17"/>
        <v>0.47499999999999998</v>
      </c>
      <c r="X55" s="12">
        <f t="shared" si="18"/>
        <v>0.47499999999999998</v>
      </c>
      <c r="Y55" s="30">
        <f t="shared" si="19"/>
        <v>0.47499999999999998</v>
      </c>
    </row>
    <row r="56" spans="1:25" x14ac:dyDescent="0.2">
      <c r="A56" s="30">
        <v>7</v>
      </c>
      <c r="B56" s="328">
        <f>1-ABS(SIGN(Knoten!G9))</f>
        <v>1</v>
      </c>
      <c r="C56">
        <f>IF(ISNUMBER(Knoten!C9),Knoten!C9+$H$1*$E$1*B56,KnotenData!$H$2)</f>
        <v>0.5</v>
      </c>
      <c r="D56">
        <f t="shared" si="8"/>
        <v>0.5</v>
      </c>
      <c r="E56" s="12">
        <f>IF(ISNUMBER(Knoten!C9),C56-2*$H$1*$E$1*B56,C56)</f>
        <v>0.5</v>
      </c>
      <c r="F56" s="12">
        <f t="shared" si="9"/>
        <v>0.5</v>
      </c>
      <c r="G56" s="30">
        <f t="shared" si="10"/>
        <v>0.5</v>
      </c>
      <c r="H56">
        <f>IF(ISNUMBER(Knoten!D9),Knoten!D9-$H$1*$E$1*B56,KnotenData!$H$3)</f>
        <v>0.47499999999999998</v>
      </c>
      <c r="I56">
        <f>IF(ISNUMBER(Knoten!D9),H56+2*$H$1*$E$1*B56,H56)</f>
        <v>0.47499999999999998</v>
      </c>
      <c r="J56" s="12">
        <f t="shared" si="11"/>
        <v>0.47499999999999998</v>
      </c>
      <c r="K56" s="12">
        <f t="shared" si="12"/>
        <v>0.47499999999999998</v>
      </c>
      <c r="L56" s="30">
        <f t="shared" si="13"/>
        <v>0.47499999999999998</v>
      </c>
      <c r="N56" s="30">
        <v>7</v>
      </c>
      <c r="O56" s="328">
        <f>1-ABS(SIGN(Knoten!G9))</f>
        <v>1</v>
      </c>
      <c r="P56">
        <f>IF(ISNUMBER(Knoten!C9),Knoten!C9+$O$1*(Knoten!K9+Knoten!N9)+$H$1*$E$1*O56,KnotenData!$H$2)</f>
        <v>0.5</v>
      </c>
      <c r="Q56">
        <f t="shared" si="14"/>
        <v>0.5</v>
      </c>
      <c r="R56" s="12">
        <f>IF(ISNUMBER(Knoten!C9),P56-2*$H$1*$E$1*O56,P56)</f>
        <v>0.5</v>
      </c>
      <c r="S56" s="12">
        <f t="shared" si="15"/>
        <v>0.5</v>
      </c>
      <c r="T56" s="30">
        <f t="shared" si="16"/>
        <v>0.5</v>
      </c>
      <c r="U56">
        <f>IF(ISNUMBER(Knoten!D9),Knoten!D9+$O$1*(Knoten!L9+Knoten!O9)-$H$1*$E$1*O56,KnotenData!$H$3)</f>
        <v>0.47499999999999998</v>
      </c>
      <c r="V56">
        <f>IF(ISNUMBER(Knoten!D9),U56+2*$H$1*$E$1*O56,U56)</f>
        <v>0.47499999999999998</v>
      </c>
      <c r="W56" s="12">
        <f t="shared" si="17"/>
        <v>0.47499999999999998</v>
      </c>
      <c r="X56" s="12">
        <f t="shared" si="18"/>
        <v>0.47499999999999998</v>
      </c>
      <c r="Y56" s="30">
        <f t="shared" si="19"/>
        <v>0.47499999999999998</v>
      </c>
    </row>
    <row r="57" spans="1:25" x14ac:dyDescent="0.2">
      <c r="A57" s="30">
        <v>8</v>
      </c>
      <c r="B57" s="328">
        <f>1-ABS(SIGN(Knoten!G10))</f>
        <v>1</v>
      </c>
      <c r="C57">
        <f>IF(ISNUMBER(Knoten!C10),Knoten!C10+$H$1*$E$1*B57,KnotenData!$H$2)</f>
        <v>0.5</v>
      </c>
      <c r="D57">
        <f t="shared" si="8"/>
        <v>0.5</v>
      </c>
      <c r="E57" s="12">
        <f>IF(ISNUMBER(Knoten!C10),C57-2*$H$1*$E$1*B57,C57)</f>
        <v>0.5</v>
      </c>
      <c r="F57" s="12">
        <f t="shared" si="9"/>
        <v>0.5</v>
      </c>
      <c r="G57" s="30">
        <f t="shared" si="10"/>
        <v>0.5</v>
      </c>
      <c r="H57">
        <f>IF(ISNUMBER(Knoten!D10),Knoten!D10-$H$1*$E$1*B57,KnotenData!$H$3)</f>
        <v>0.47499999999999998</v>
      </c>
      <c r="I57">
        <f>IF(ISNUMBER(Knoten!D10),H57+2*$H$1*$E$1*B57,H57)</f>
        <v>0.47499999999999998</v>
      </c>
      <c r="J57" s="12">
        <f t="shared" si="11"/>
        <v>0.47499999999999998</v>
      </c>
      <c r="K57" s="12">
        <f t="shared" si="12"/>
        <v>0.47499999999999998</v>
      </c>
      <c r="L57" s="30">
        <f t="shared" si="13"/>
        <v>0.47499999999999998</v>
      </c>
      <c r="N57" s="30">
        <v>8</v>
      </c>
      <c r="O57" s="328">
        <f>1-ABS(SIGN(Knoten!G10))</f>
        <v>1</v>
      </c>
      <c r="P57">
        <f>IF(ISNUMBER(Knoten!C10),Knoten!C10+$O$1*(Knoten!K10+Knoten!N10)+$H$1*$E$1*O57,KnotenData!$H$2)</f>
        <v>0.5</v>
      </c>
      <c r="Q57">
        <f t="shared" si="14"/>
        <v>0.5</v>
      </c>
      <c r="R57" s="12">
        <f>IF(ISNUMBER(Knoten!C10),P57-2*$H$1*$E$1*O57,P57)</f>
        <v>0.5</v>
      </c>
      <c r="S57" s="12">
        <f t="shared" si="15"/>
        <v>0.5</v>
      </c>
      <c r="T57" s="30">
        <f t="shared" si="16"/>
        <v>0.5</v>
      </c>
      <c r="U57">
        <f>IF(ISNUMBER(Knoten!D10),Knoten!D10+$O$1*(Knoten!L10+Knoten!O10)-$H$1*$E$1*O57,KnotenData!$H$3)</f>
        <v>0.47499999999999998</v>
      </c>
      <c r="V57">
        <f>IF(ISNUMBER(Knoten!D10),U57+2*$H$1*$E$1*O57,U57)</f>
        <v>0.47499999999999998</v>
      </c>
      <c r="W57" s="12">
        <f t="shared" si="17"/>
        <v>0.47499999999999998</v>
      </c>
      <c r="X57" s="12">
        <f t="shared" si="18"/>
        <v>0.47499999999999998</v>
      </c>
      <c r="Y57" s="30">
        <f t="shared" si="19"/>
        <v>0.47499999999999998</v>
      </c>
    </row>
    <row r="58" spans="1:25" x14ac:dyDescent="0.2">
      <c r="A58" s="30">
        <v>9</v>
      </c>
      <c r="B58" s="328">
        <f>1-ABS(SIGN(Knoten!G11))</f>
        <v>1</v>
      </c>
      <c r="C58">
        <f>IF(ISNUMBER(Knoten!C11),Knoten!C11+$H$1*$E$1*B58,KnotenData!$H$2)</f>
        <v>0.5</v>
      </c>
      <c r="D58">
        <f t="shared" si="8"/>
        <v>0.5</v>
      </c>
      <c r="E58" s="12">
        <f>IF(ISNUMBER(Knoten!C11),C58-2*$H$1*$E$1*B58,C58)</f>
        <v>0.5</v>
      </c>
      <c r="F58" s="12">
        <f t="shared" si="9"/>
        <v>0.5</v>
      </c>
      <c r="G58" s="30">
        <f t="shared" si="10"/>
        <v>0.5</v>
      </c>
      <c r="H58">
        <f>IF(ISNUMBER(Knoten!D11),Knoten!D11-$H$1*$E$1*B58,KnotenData!$H$3)</f>
        <v>0.47499999999999998</v>
      </c>
      <c r="I58">
        <f>IF(ISNUMBER(Knoten!D11),H58+2*$H$1*$E$1*B58,H58)</f>
        <v>0.47499999999999998</v>
      </c>
      <c r="J58" s="12">
        <f t="shared" si="11"/>
        <v>0.47499999999999998</v>
      </c>
      <c r="K58" s="12">
        <f t="shared" si="12"/>
        <v>0.47499999999999998</v>
      </c>
      <c r="L58" s="30">
        <f t="shared" si="13"/>
        <v>0.47499999999999998</v>
      </c>
      <c r="N58" s="30">
        <v>9</v>
      </c>
      <c r="O58" s="328">
        <f>1-ABS(SIGN(Knoten!G11))</f>
        <v>1</v>
      </c>
      <c r="P58">
        <f>IF(ISNUMBER(Knoten!C11),Knoten!C11+$O$1*(Knoten!K11+Knoten!N11)+$H$1*$E$1*O58,KnotenData!$H$2)</f>
        <v>0.5</v>
      </c>
      <c r="Q58">
        <f t="shared" si="14"/>
        <v>0.5</v>
      </c>
      <c r="R58" s="12">
        <f>IF(ISNUMBER(Knoten!C11),P58-2*$H$1*$E$1*O58,P58)</f>
        <v>0.5</v>
      </c>
      <c r="S58" s="12">
        <f t="shared" si="15"/>
        <v>0.5</v>
      </c>
      <c r="T58" s="30">
        <f t="shared" si="16"/>
        <v>0.5</v>
      </c>
      <c r="U58">
        <f>IF(ISNUMBER(Knoten!D11),Knoten!D11+$O$1*(Knoten!L11+Knoten!O11)-$H$1*$E$1*O58,KnotenData!$H$3)</f>
        <v>0.47499999999999998</v>
      </c>
      <c r="V58">
        <f>IF(ISNUMBER(Knoten!D11),U58+2*$H$1*$E$1*O58,U58)</f>
        <v>0.47499999999999998</v>
      </c>
      <c r="W58" s="12">
        <f t="shared" si="17"/>
        <v>0.47499999999999998</v>
      </c>
      <c r="X58" s="12">
        <f t="shared" si="18"/>
        <v>0.47499999999999998</v>
      </c>
      <c r="Y58" s="30">
        <f t="shared" si="19"/>
        <v>0.47499999999999998</v>
      </c>
    </row>
    <row r="59" spans="1:25" x14ac:dyDescent="0.2">
      <c r="A59" s="30">
        <v>10</v>
      </c>
      <c r="B59" s="328">
        <f>1-ABS(SIGN(Knoten!G12))</f>
        <v>1</v>
      </c>
      <c r="C59">
        <f>IF(ISNUMBER(Knoten!C12),Knoten!C12+$H$1*$E$1*B59,KnotenData!$H$2)</f>
        <v>0.5</v>
      </c>
      <c r="D59">
        <f t="shared" si="8"/>
        <v>0.5</v>
      </c>
      <c r="E59" s="12">
        <f>IF(ISNUMBER(Knoten!C12),C59-2*$H$1*$E$1*B59,C59)</f>
        <v>0.5</v>
      </c>
      <c r="F59" s="12">
        <f t="shared" si="9"/>
        <v>0.5</v>
      </c>
      <c r="G59" s="30">
        <f t="shared" si="10"/>
        <v>0.5</v>
      </c>
      <c r="H59">
        <f>IF(ISNUMBER(Knoten!D12),Knoten!D12-$H$1*$E$1*B59,KnotenData!$H$3)</f>
        <v>0.47499999999999998</v>
      </c>
      <c r="I59">
        <f>IF(ISNUMBER(Knoten!D12),H59+2*$H$1*$E$1*B59,H59)</f>
        <v>0.47499999999999998</v>
      </c>
      <c r="J59" s="12">
        <f t="shared" si="11"/>
        <v>0.47499999999999998</v>
      </c>
      <c r="K59" s="12">
        <f t="shared" si="12"/>
        <v>0.47499999999999998</v>
      </c>
      <c r="L59" s="30">
        <f t="shared" si="13"/>
        <v>0.47499999999999998</v>
      </c>
      <c r="N59" s="30">
        <v>10</v>
      </c>
      <c r="O59" s="328">
        <f>1-ABS(SIGN(Knoten!G12))</f>
        <v>1</v>
      </c>
      <c r="P59">
        <f>IF(ISNUMBER(Knoten!C12),Knoten!C12+$O$1*(Knoten!K12+Knoten!N12)+$H$1*$E$1*O59,KnotenData!$H$2)</f>
        <v>0.5</v>
      </c>
      <c r="Q59">
        <f t="shared" si="14"/>
        <v>0.5</v>
      </c>
      <c r="R59" s="12">
        <f>IF(ISNUMBER(Knoten!C12),P59-2*$H$1*$E$1*O59,P59)</f>
        <v>0.5</v>
      </c>
      <c r="S59" s="12">
        <f t="shared" si="15"/>
        <v>0.5</v>
      </c>
      <c r="T59" s="30">
        <f t="shared" si="16"/>
        <v>0.5</v>
      </c>
      <c r="U59">
        <f>IF(ISNUMBER(Knoten!D12),Knoten!D12+$O$1*(Knoten!L12+Knoten!O12)-$H$1*$E$1*O59,KnotenData!$H$3)</f>
        <v>0.47499999999999998</v>
      </c>
      <c r="V59">
        <f>IF(ISNUMBER(Knoten!D12),U59+2*$H$1*$E$1*O59,U59)</f>
        <v>0.47499999999999998</v>
      </c>
      <c r="W59" s="12">
        <f t="shared" si="17"/>
        <v>0.47499999999999998</v>
      </c>
      <c r="X59" s="12">
        <f t="shared" si="18"/>
        <v>0.47499999999999998</v>
      </c>
      <c r="Y59" s="30">
        <f t="shared" si="19"/>
        <v>0.47499999999999998</v>
      </c>
    </row>
    <row r="60" spans="1:25" x14ac:dyDescent="0.2">
      <c r="A60" s="30">
        <v>11</v>
      </c>
      <c r="B60" s="328">
        <f>1-ABS(SIGN(Knoten!G13))</f>
        <v>1</v>
      </c>
      <c r="C60">
        <f>IF(ISNUMBER(Knoten!C13),Knoten!C13+$H$1*$E$1*B60,KnotenData!$H$2)</f>
        <v>0.5</v>
      </c>
      <c r="D60">
        <f t="shared" si="8"/>
        <v>0.5</v>
      </c>
      <c r="E60" s="12">
        <f>IF(ISNUMBER(Knoten!C13),C60-2*$H$1*$E$1*B60,C60)</f>
        <v>0.5</v>
      </c>
      <c r="F60" s="12">
        <f t="shared" si="9"/>
        <v>0.5</v>
      </c>
      <c r="G60" s="30">
        <f t="shared" si="10"/>
        <v>0.5</v>
      </c>
      <c r="H60">
        <f>IF(ISNUMBER(Knoten!D13),Knoten!D13-$H$1*$E$1*B60,KnotenData!$H$3)</f>
        <v>0.47499999999999998</v>
      </c>
      <c r="I60">
        <f>IF(ISNUMBER(Knoten!D13),H60+2*$H$1*$E$1*B60,H60)</f>
        <v>0.47499999999999998</v>
      </c>
      <c r="J60" s="12">
        <f t="shared" si="11"/>
        <v>0.47499999999999998</v>
      </c>
      <c r="K60" s="12">
        <f t="shared" si="12"/>
        <v>0.47499999999999998</v>
      </c>
      <c r="L60" s="30">
        <f t="shared" si="13"/>
        <v>0.47499999999999998</v>
      </c>
      <c r="N60" s="30">
        <v>11</v>
      </c>
      <c r="O60" s="328">
        <f>1-ABS(SIGN(Knoten!G13))</f>
        <v>1</v>
      </c>
      <c r="P60">
        <f>IF(ISNUMBER(Knoten!C13),Knoten!C13+$O$1*(Knoten!K13+Knoten!N13)+$H$1*$E$1*O60,KnotenData!$H$2)</f>
        <v>0.5</v>
      </c>
      <c r="Q60">
        <f t="shared" si="14"/>
        <v>0.5</v>
      </c>
      <c r="R60" s="12">
        <f>IF(ISNUMBER(Knoten!C13),P60-2*$H$1*$E$1*O60,P60)</f>
        <v>0.5</v>
      </c>
      <c r="S60" s="12">
        <f t="shared" si="15"/>
        <v>0.5</v>
      </c>
      <c r="T60" s="30">
        <f t="shared" si="16"/>
        <v>0.5</v>
      </c>
      <c r="U60">
        <f>IF(ISNUMBER(Knoten!D13),Knoten!D13+$O$1*(Knoten!L13+Knoten!O13)-$H$1*$E$1*O60,KnotenData!$H$3)</f>
        <v>0.47499999999999998</v>
      </c>
      <c r="V60">
        <f>IF(ISNUMBER(Knoten!D13),U60+2*$H$1*$E$1*O60,U60)</f>
        <v>0.47499999999999998</v>
      </c>
      <c r="W60" s="12">
        <f t="shared" si="17"/>
        <v>0.47499999999999998</v>
      </c>
      <c r="X60" s="12">
        <f t="shared" si="18"/>
        <v>0.47499999999999998</v>
      </c>
      <c r="Y60" s="30">
        <f t="shared" si="19"/>
        <v>0.47499999999999998</v>
      </c>
    </row>
    <row r="61" spans="1:25" x14ac:dyDescent="0.2">
      <c r="A61" s="30">
        <v>12</v>
      </c>
      <c r="B61" s="328">
        <f>1-ABS(SIGN(Knoten!G14))</f>
        <v>1</v>
      </c>
      <c r="C61">
        <f>IF(ISNUMBER(Knoten!C14),Knoten!C14+$H$1*$E$1*B61,KnotenData!$H$2)</f>
        <v>0.5</v>
      </c>
      <c r="D61">
        <f t="shared" si="8"/>
        <v>0.5</v>
      </c>
      <c r="E61" s="12">
        <f>IF(ISNUMBER(Knoten!C14),C61-2*$H$1*$E$1*B61,C61)</f>
        <v>0.5</v>
      </c>
      <c r="F61" s="12">
        <f t="shared" si="9"/>
        <v>0.5</v>
      </c>
      <c r="G61" s="30">
        <f t="shared" si="10"/>
        <v>0.5</v>
      </c>
      <c r="H61">
        <f>IF(ISNUMBER(Knoten!D14),Knoten!D14-$H$1*$E$1*B61,KnotenData!$H$3)</f>
        <v>0.47499999999999998</v>
      </c>
      <c r="I61">
        <f>IF(ISNUMBER(Knoten!D14),H61+2*$H$1*$E$1*B61,H61)</f>
        <v>0.47499999999999998</v>
      </c>
      <c r="J61" s="12">
        <f t="shared" si="11"/>
        <v>0.47499999999999998</v>
      </c>
      <c r="K61" s="12">
        <f t="shared" si="12"/>
        <v>0.47499999999999998</v>
      </c>
      <c r="L61" s="30">
        <f t="shared" si="13"/>
        <v>0.47499999999999998</v>
      </c>
      <c r="N61" s="30">
        <v>12</v>
      </c>
      <c r="O61" s="328">
        <f>1-ABS(SIGN(Knoten!G14))</f>
        <v>1</v>
      </c>
      <c r="P61">
        <f>IF(ISNUMBER(Knoten!C14),Knoten!C14+$O$1*(Knoten!K14+Knoten!N14)+$H$1*$E$1*O61,KnotenData!$H$2)</f>
        <v>0.5</v>
      </c>
      <c r="Q61">
        <f t="shared" si="14"/>
        <v>0.5</v>
      </c>
      <c r="R61" s="12">
        <f>IF(ISNUMBER(Knoten!C14),P61-2*$H$1*$E$1*O61,P61)</f>
        <v>0.5</v>
      </c>
      <c r="S61" s="12">
        <f t="shared" si="15"/>
        <v>0.5</v>
      </c>
      <c r="T61" s="30">
        <f t="shared" si="16"/>
        <v>0.5</v>
      </c>
      <c r="U61">
        <f>IF(ISNUMBER(Knoten!D14),Knoten!D14+$O$1*(Knoten!L14+Knoten!O14)-$H$1*$E$1*O61,KnotenData!$H$3)</f>
        <v>0.47499999999999998</v>
      </c>
      <c r="V61">
        <f>IF(ISNUMBER(Knoten!D14),U61+2*$H$1*$E$1*O61,U61)</f>
        <v>0.47499999999999998</v>
      </c>
      <c r="W61" s="12">
        <f t="shared" si="17"/>
        <v>0.47499999999999998</v>
      </c>
      <c r="X61" s="12">
        <f t="shared" si="18"/>
        <v>0.47499999999999998</v>
      </c>
      <c r="Y61" s="30">
        <f t="shared" si="19"/>
        <v>0.47499999999999998</v>
      </c>
    </row>
    <row r="62" spans="1:25" x14ac:dyDescent="0.2">
      <c r="A62" s="30">
        <v>13</v>
      </c>
      <c r="B62" s="328">
        <f>1-ABS(SIGN(Knoten!G15))</f>
        <v>1</v>
      </c>
      <c r="C62">
        <f>IF(ISNUMBER(Knoten!C15),Knoten!C15+$H$1*$E$1*B62,KnotenData!$H$2)</f>
        <v>0.5</v>
      </c>
      <c r="D62">
        <f t="shared" si="8"/>
        <v>0.5</v>
      </c>
      <c r="E62" s="12">
        <f>IF(ISNUMBER(Knoten!C15),C62-2*$H$1*$E$1*B62,C62)</f>
        <v>0.5</v>
      </c>
      <c r="F62" s="12">
        <f t="shared" si="9"/>
        <v>0.5</v>
      </c>
      <c r="G62" s="30">
        <f t="shared" si="10"/>
        <v>0.5</v>
      </c>
      <c r="H62">
        <f>IF(ISNUMBER(Knoten!D15),Knoten!D15-$H$1*$E$1*B62,KnotenData!$H$3)</f>
        <v>0.47499999999999998</v>
      </c>
      <c r="I62">
        <f>IF(ISNUMBER(Knoten!D15),H62+2*$H$1*$E$1*B62,H62)</f>
        <v>0.47499999999999998</v>
      </c>
      <c r="J62" s="12">
        <f t="shared" si="11"/>
        <v>0.47499999999999998</v>
      </c>
      <c r="K62" s="12">
        <f t="shared" si="12"/>
        <v>0.47499999999999998</v>
      </c>
      <c r="L62" s="30">
        <f t="shared" si="13"/>
        <v>0.47499999999999998</v>
      </c>
      <c r="N62" s="30">
        <v>13</v>
      </c>
      <c r="O62" s="328">
        <f>1-ABS(SIGN(Knoten!G15))</f>
        <v>1</v>
      </c>
      <c r="P62">
        <f>IF(ISNUMBER(Knoten!C15),Knoten!C15+$O$1*(Knoten!K15+Knoten!N15)+$H$1*$E$1*O62,KnotenData!$H$2)</f>
        <v>0.5</v>
      </c>
      <c r="Q62">
        <f t="shared" si="14"/>
        <v>0.5</v>
      </c>
      <c r="R62" s="12">
        <f>IF(ISNUMBER(Knoten!C15),P62-2*$H$1*$E$1*O62,P62)</f>
        <v>0.5</v>
      </c>
      <c r="S62" s="12">
        <f t="shared" si="15"/>
        <v>0.5</v>
      </c>
      <c r="T62" s="30">
        <f t="shared" si="16"/>
        <v>0.5</v>
      </c>
      <c r="U62">
        <f>IF(ISNUMBER(Knoten!D15),Knoten!D15+$O$1*(Knoten!L15+Knoten!O15)-$H$1*$E$1*O62,KnotenData!$H$3)</f>
        <v>0.47499999999999998</v>
      </c>
      <c r="V62">
        <f>IF(ISNUMBER(Knoten!D15),U62+2*$H$1*$E$1*O62,U62)</f>
        <v>0.47499999999999998</v>
      </c>
      <c r="W62" s="12">
        <f t="shared" si="17"/>
        <v>0.47499999999999998</v>
      </c>
      <c r="X62" s="12">
        <f t="shared" si="18"/>
        <v>0.47499999999999998</v>
      </c>
      <c r="Y62" s="30">
        <f t="shared" si="19"/>
        <v>0.47499999999999998</v>
      </c>
    </row>
    <row r="63" spans="1:25" x14ac:dyDescent="0.2">
      <c r="A63" s="30">
        <v>14</v>
      </c>
      <c r="B63" s="328">
        <f>1-ABS(SIGN(Knoten!G16))</f>
        <v>1</v>
      </c>
      <c r="C63">
        <f>IF(ISNUMBER(Knoten!C16),Knoten!C16+$H$1*$E$1*B63,KnotenData!$H$2)</f>
        <v>0.5</v>
      </c>
      <c r="D63">
        <f t="shared" si="8"/>
        <v>0.5</v>
      </c>
      <c r="E63" s="12">
        <f>IF(ISNUMBER(Knoten!C16),C63-2*$H$1*$E$1*B63,C63)</f>
        <v>0.5</v>
      </c>
      <c r="F63" s="12">
        <f t="shared" si="9"/>
        <v>0.5</v>
      </c>
      <c r="G63" s="30">
        <f t="shared" si="10"/>
        <v>0.5</v>
      </c>
      <c r="H63">
        <f>IF(ISNUMBER(Knoten!D16),Knoten!D16-$H$1*$E$1*B63,KnotenData!$H$3)</f>
        <v>0.47499999999999998</v>
      </c>
      <c r="I63">
        <f>IF(ISNUMBER(Knoten!D16),H63+2*$H$1*$E$1*B63,H63)</f>
        <v>0.47499999999999998</v>
      </c>
      <c r="J63" s="12">
        <f t="shared" si="11"/>
        <v>0.47499999999999998</v>
      </c>
      <c r="K63" s="12">
        <f t="shared" si="12"/>
        <v>0.47499999999999998</v>
      </c>
      <c r="L63" s="30">
        <f t="shared" si="13"/>
        <v>0.47499999999999998</v>
      </c>
      <c r="N63" s="30">
        <v>14</v>
      </c>
      <c r="O63" s="328">
        <f>1-ABS(SIGN(Knoten!G16))</f>
        <v>1</v>
      </c>
      <c r="P63">
        <f>IF(ISNUMBER(Knoten!C16),Knoten!C16+$O$1*(Knoten!K16+Knoten!N16)+$H$1*$E$1*O63,KnotenData!$H$2)</f>
        <v>0.5</v>
      </c>
      <c r="Q63">
        <f t="shared" si="14"/>
        <v>0.5</v>
      </c>
      <c r="R63" s="12">
        <f>IF(ISNUMBER(Knoten!C16),P63-2*$H$1*$E$1*O63,P63)</f>
        <v>0.5</v>
      </c>
      <c r="S63" s="12">
        <f t="shared" si="15"/>
        <v>0.5</v>
      </c>
      <c r="T63" s="30">
        <f t="shared" si="16"/>
        <v>0.5</v>
      </c>
      <c r="U63">
        <f>IF(ISNUMBER(Knoten!D16),Knoten!D16+$O$1*(Knoten!L16+Knoten!O16)-$H$1*$E$1*O63,KnotenData!$H$3)</f>
        <v>0.47499999999999998</v>
      </c>
      <c r="V63">
        <f>IF(ISNUMBER(Knoten!D16),U63+2*$H$1*$E$1*O63,U63)</f>
        <v>0.47499999999999998</v>
      </c>
      <c r="W63" s="12">
        <f t="shared" si="17"/>
        <v>0.47499999999999998</v>
      </c>
      <c r="X63" s="12">
        <f t="shared" si="18"/>
        <v>0.47499999999999998</v>
      </c>
      <c r="Y63" s="30">
        <f t="shared" si="19"/>
        <v>0.47499999999999998</v>
      </c>
    </row>
    <row r="64" spans="1:25" x14ac:dyDescent="0.2">
      <c r="A64" s="30">
        <v>15</v>
      </c>
      <c r="B64" s="328">
        <f>1-ABS(SIGN(Knoten!G17))</f>
        <v>1</v>
      </c>
      <c r="C64">
        <f>IF(ISNUMBER(Knoten!C17),Knoten!C17+$H$1*$E$1*B64,KnotenData!$H$2)</f>
        <v>0.5</v>
      </c>
      <c r="D64">
        <f t="shared" si="8"/>
        <v>0.5</v>
      </c>
      <c r="E64" s="12">
        <f>IF(ISNUMBER(Knoten!C17),C64-2*$H$1*$E$1*B64,C64)</f>
        <v>0.5</v>
      </c>
      <c r="F64" s="12">
        <f t="shared" si="9"/>
        <v>0.5</v>
      </c>
      <c r="G64" s="30">
        <f t="shared" si="10"/>
        <v>0.5</v>
      </c>
      <c r="H64">
        <f>IF(ISNUMBER(Knoten!D17),Knoten!D17-$H$1*$E$1*B64,KnotenData!$H$3)</f>
        <v>0.47499999999999998</v>
      </c>
      <c r="I64">
        <f>IF(ISNUMBER(Knoten!D17),H64+2*$H$1*$E$1*B64,H64)</f>
        <v>0.47499999999999998</v>
      </c>
      <c r="J64" s="12">
        <f t="shared" si="11"/>
        <v>0.47499999999999998</v>
      </c>
      <c r="K64" s="12">
        <f t="shared" si="12"/>
        <v>0.47499999999999998</v>
      </c>
      <c r="L64" s="30">
        <f t="shared" si="13"/>
        <v>0.47499999999999998</v>
      </c>
      <c r="N64" s="30">
        <v>15</v>
      </c>
      <c r="O64" s="328">
        <f>1-ABS(SIGN(Knoten!G17))</f>
        <v>1</v>
      </c>
      <c r="P64">
        <f>IF(ISNUMBER(Knoten!C17),Knoten!C17+$O$1*(Knoten!K17+Knoten!N17)+$H$1*$E$1*O64,KnotenData!$H$2)</f>
        <v>0.5</v>
      </c>
      <c r="Q64">
        <f t="shared" si="14"/>
        <v>0.5</v>
      </c>
      <c r="R64" s="12">
        <f>IF(ISNUMBER(Knoten!C17),P64-2*$H$1*$E$1*O64,P64)</f>
        <v>0.5</v>
      </c>
      <c r="S64" s="12">
        <f t="shared" si="15"/>
        <v>0.5</v>
      </c>
      <c r="T64" s="30">
        <f t="shared" si="16"/>
        <v>0.5</v>
      </c>
      <c r="U64">
        <f>IF(ISNUMBER(Knoten!D17),Knoten!D17+$O$1*(Knoten!L17+Knoten!O17)-$H$1*$E$1*O64,KnotenData!$H$3)</f>
        <v>0.47499999999999998</v>
      </c>
      <c r="V64">
        <f>IF(ISNUMBER(Knoten!D17),U64+2*$H$1*$E$1*O64,U64)</f>
        <v>0.47499999999999998</v>
      </c>
      <c r="W64" s="12">
        <f t="shared" si="17"/>
        <v>0.47499999999999998</v>
      </c>
      <c r="X64" s="12">
        <f t="shared" si="18"/>
        <v>0.47499999999999998</v>
      </c>
      <c r="Y64" s="30">
        <f t="shared" si="19"/>
        <v>0.47499999999999998</v>
      </c>
    </row>
    <row r="65" spans="1:25" x14ac:dyDescent="0.2">
      <c r="A65" s="30">
        <v>16</v>
      </c>
      <c r="B65" s="328">
        <f>1-ABS(SIGN(Knoten!G18))</f>
        <v>1</v>
      </c>
      <c r="C65">
        <f>IF(ISNUMBER(Knoten!C18),Knoten!C18+$H$1*$E$1*B65,KnotenData!$H$2)</f>
        <v>0.5</v>
      </c>
      <c r="D65">
        <f t="shared" si="8"/>
        <v>0.5</v>
      </c>
      <c r="E65" s="12">
        <f>IF(ISNUMBER(Knoten!C18),C65-2*$H$1*$E$1*B65,C65)</f>
        <v>0.5</v>
      </c>
      <c r="F65" s="12">
        <f t="shared" si="9"/>
        <v>0.5</v>
      </c>
      <c r="G65" s="30">
        <f t="shared" si="10"/>
        <v>0.5</v>
      </c>
      <c r="H65">
        <f>IF(ISNUMBER(Knoten!D18),Knoten!D18-$H$1*$E$1*B65,KnotenData!$H$3)</f>
        <v>0.47499999999999998</v>
      </c>
      <c r="I65">
        <f>IF(ISNUMBER(Knoten!D18),H65+2*$H$1*$E$1*B65,H65)</f>
        <v>0.47499999999999998</v>
      </c>
      <c r="J65" s="12">
        <f t="shared" si="11"/>
        <v>0.47499999999999998</v>
      </c>
      <c r="K65" s="12">
        <f t="shared" si="12"/>
        <v>0.47499999999999998</v>
      </c>
      <c r="L65" s="30">
        <f t="shared" si="13"/>
        <v>0.47499999999999998</v>
      </c>
      <c r="N65" s="30">
        <v>16</v>
      </c>
      <c r="O65" s="328">
        <f>1-ABS(SIGN(Knoten!G18))</f>
        <v>1</v>
      </c>
      <c r="P65">
        <f>IF(ISNUMBER(Knoten!C18),Knoten!C18+$O$1*(Knoten!K18+Knoten!N18)+$H$1*$E$1*O65,KnotenData!$H$2)</f>
        <v>0.5</v>
      </c>
      <c r="Q65">
        <f t="shared" si="14"/>
        <v>0.5</v>
      </c>
      <c r="R65" s="12">
        <f>IF(ISNUMBER(Knoten!C18),P65-2*$H$1*$E$1*O65,P65)</f>
        <v>0.5</v>
      </c>
      <c r="S65" s="12">
        <f t="shared" si="15"/>
        <v>0.5</v>
      </c>
      <c r="T65" s="30">
        <f t="shared" si="16"/>
        <v>0.5</v>
      </c>
      <c r="U65">
        <f>IF(ISNUMBER(Knoten!D18),Knoten!D18+$O$1*(Knoten!L18+Knoten!O18)-$H$1*$E$1*O65,KnotenData!$H$3)</f>
        <v>0.47499999999999998</v>
      </c>
      <c r="V65">
        <f>IF(ISNUMBER(Knoten!D18),U65+2*$H$1*$E$1*O65,U65)</f>
        <v>0.47499999999999998</v>
      </c>
      <c r="W65" s="12">
        <f t="shared" si="17"/>
        <v>0.47499999999999998</v>
      </c>
      <c r="X65" s="12">
        <f t="shared" si="18"/>
        <v>0.47499999999999998</v>
      </c>
      <c r="Y65" s="30">
        <f t="shared" si="19"/>
        <v>0.47499999999999998</v>
      </c>
    </row>
    <row r="66" spans="1:25" x14ac:dyDescent="0.2">
      <c r="A66" s="30">
        <v>17</v>
      </c>
      <c r="B66" s="328">
        <f>1-ABS(SIGN(Knoten!G19))</f>
        <v>1</v>
      </c>
      <c r="C66">
        <f>IF(ISNUMBER(Knoten!C19),Knoten!C19+$H$1*$E$1*B66,KnotenData!$H$2)</f>
        <v>0.5</v>
      </c>
      <c r="D66">
        <f t="shared" si="8"/>
        <v>0.5</v>
      </c>
      <c r="E66" s="12">
        <f>IF(ISNUMBER(Knoten!C19),C66-2*$H$1*$E$1*B66,C66)</f>
        <v>0.5</v>
      </c>
      <c r="F66" s="12">
        <f t="shared" si="9"/>
        <v>0.5</v>
      </c>
      <c r="G66" s="30">
        <f t="shared" si="10"/>
        <v>0.5</v>
      </c>
      <c r="H66">
        <f>IF(ISNUMBER(Knoten!D19),Knoten!D19-$H$1*$E$1*B66,KnotenData!$H$3)</f>
        <v>0.47499999999999998</v>
      </c>
      <c r="I66">
        <f>IF(ISNUMBER(Knoten!D19),H66+2*$H$1*$E$1*B66,H66)</f>
        <v>0.47499999999999998</v>
      </c>
      <c r="J66" s="12">
        <f t="shared" si="11"/>
        <v>0.47499999999999998</v>
      </c>
      <c r="K66" s="12">
        <f t="shared" si="12"/>
        <v>0.47499999999999998</v>
      </c>
      <c r="L66" s="30">
        <f t="shared" si="13"/>
        <v>0.47499999999999998</v>
      </c>
      <c r="N66" s="30">
        <v>17</v>
      </c>
      <c r="O66" s="328">
        <f>1-ABS(SIGN(Knoten!G19))</f>
        <v>1</v>
      </c>
      <c r="P66">
        <f>IF(ISNUMBER(Knoten!C19),Knoten!C19+$O$1*(Knoten!K19+Knoten!N19)+$H$1*$E$1*O66,KnotenData!$H$2)</f>
        <v>0.5</v>
      </c>
      <c r="Q66">
        <f t="shared" si="14"/>
        <v>0.5</v>
      </c>
      <c r="R66" s="12">
        <f>IF(ISNUMBER(Knoten!C19),P66-2*$H$1*$E$1*O66,P66)</f>
        <v>0.5</v>
      </c>
      <c r="S66" s="12">
        <f t="shared" si="15"/>
        <v>0.5</v>
      </c>
      <c r="T66" s="30">
        <f t="shared" si="16"/>
        <v>0.5</v>
      </c>
      <c r="U66">
        <f>IF(ISNUMBER(Knoten!D19),Knoten!D19+$O$1*(Knoten!L19+Knoten!O19)-$H$1*$E$1*O66,KnotenData!$H$3)</f>
        <v>0.47499999999999998</v>
      </c>
      <c r="V66">
        <f>IF(ISNUMBER(Knoten!D19),U66+2*$H$1*$E$1*O66,U66)</f>
        <v>0.47499999999999998</v>
      </c>
      <c r="W66" s="12">
        <f t="shared" si="17"/>
        <v>0.47499999999999998</v>
      </c>
      <c r="X66" s="12">
        <f t="shared" si="18"/>
        <v>0.47499999999999998</v>
      </c>
      <c r="Y66" s="30">
        <f t="shared" si="19"/>
        <v>0.47499999999999998</v>
      </c>
    </row>
    <row r="67" spans="1:25" x14ac:dyDescent="0.2">
      <c r="A67" s="30">
        <v>18</v>
      </c>
      <c r="B67" s="328">
        <f>1-ABS(SIGN(Knoten!G20))</f>
        <v>1</v>
      </c>
      <c r="C67">
        <f>IF(ISNUMBER(Knoten!C20),Knoten!C20+$H$1*$E$1*B67,KnotenData!$H$2)</f>
        <v>0.5</v>
      </c>
      <c r="D67">
        <f t="shared" si="8"/>
        <v>0.5</v>
      </c>
      <c r="E67" s="12">
        <f>IF(ISNUMBER(Knoten!C20),C67-2*$H$1*$E$1*B67,C67)</f>
        <v>0.5</v>
      </c>
      <c r="F67" s="12">
        <f t="shared" si="9"/>
        <v>0.5</v>
      </c>
      <c r="G67" s="30">
        <f t="shared" si="10"/>
        <v>0.5</v>
      </c>
      <c r="H67">
        <f>IF(ISNUMBER(Knoten!D20),Knoten!D20-$H$1*$E$1*B67,KnotenData!$H$3)</f>
        <v>0.47499999999999998</v>
      </c>
      <c r="I67">
        <f>IF(ISNUMBER(Knoten!D20),H67+2*$H$1*$E$1*B67,H67)</f>
        <v>0.47499999999999998</v>
      </c>
      <c r="J67" s="12">
        <f t="shared" si="11"/>
        <v>0.47499999999999998</v>
      </c>
      <c r="K67" s="12">
        <f t="shared" si="12"/>
        <v>0.47499999999999998</v>
      </c>
      <c r="L67" s="30">
        <f t="shared" si="13"/>
        <v>0.47499999999999998</v>
      </c>
      <c r="N67" s="30">
        <v>18</v>
      </c>
      <c r="O67" s="328">
        <f>1-ABS(SIGN(Knoten!G20))</f>
        <v>1</v>
      </c>
      <c r="P67">
        <f>IF(ISNUMBER(Knoten!C20),Knoten!C20+$O$1*(Knoten!K20+Knoten!N20)+$H$1*$E$1*O67,KnotenData!$H$2)</f>
        <v>0.5</v>
      </c>
      <c r="Q67">
        <f t="shared" si="14"/>
        <v>0.5</v>
      </c>
      <c r="R67" s="12">
        <f>IF(ISNUMBER(Knoten!C20),P67-2*$H$1*$E$1*O67,P67)</f>
        <v>0.5</v>
      </c>
      <c r="S67" s="12">
        <f t="shared" si="15"/>
        <v>0.5</v>
      </c>
      <c r="T67" s="30">
        <f t="shared" si="16"/>
        <v>0.5</v>
      </c>
      <c r="U67">
        <f>IF(ISNUMBER(Knoten!D20),Knoten!D20+$O$1*(Knoten!L20+Knoten!O20)-$H$1*$E$1*O67,KnotenData!$H$3)</f>
        <v>0.47499999999999998</v>
      </c>
      <c r="V67">
        <f>IF(ISNUMBER(Knoten!D20),U67+2*$H$1*$E$1*O67,U67)</f>
        <v>0.47499999999999998</v>
      </c>
      <c r="W67" s="12">
        <f t="shared" si="17"/>
        <v>0.47499999999999998</v>
      </c>
      <c r="X67" s="12">
        <f t="shared" si="18"/>
        <v>0.47499999999999998</v>
      </c>
      <c r="Y67" s="30">
        <f t="shared" si="19"/>
        <v>0.47499999999999998</v>
      </c>
    </row>
    <row r="68" spans="1:25" x14ac:dyDescent="0.2">
      <c r="A68" s="30">
        <v>19</v>
      </c>
      <c r="B68" s="328">
        <f>1-ABS(SIGN(Knoten!G21))</f>
        <v>1</v>
      </c>
      <c r="C68">
        <f>IF(ISNUMBER(Knoten!C21),Knoten!C21+$H$1*$E$1*B68,KnotenData!$H$2)</f>
        <v>0.5</v>
      </c>
      <c r="D68">
        <f t="shared" si="8"/>
        <v>0.5</v>
      </c>
      <c r="E68" s="12">
        <f>IF(ISNUMBER(Knoten!C21),C68-2*$H$1*$E$1*B68,C68)</f>
        <v>0.5</v>
      </c>
      <c r="F68" s="12">
        <f t="shared" si="9"/>
        <v>0.5</v>
      </c>
      <c r="G68" s="30">
        <f t="shared" si="10"/>
        <v>0.5</v>
      </c>
      <c r="H68">
        <f>IF(ISNUMBER(Knoten!D21),Knoten!D21-$H$1*$E$1*B68,KnotenData!$H$3)</f>
        <v>0.47499999999999998</v>
      </c>
      <c r="I68">
        <f>IF(ISNUMBER(Knoten!D21),H68+2*$H$1*$E$1*B68,H68)</f>
        <v>0.47499999999999998</v>
      </c>
      <c r="J68" s="12">
        <f t="shared" si="11"/>
        <v>0.47499999999999998</v>
      </c>
      <c r="K68" s="12">
        <f t="shared" si="12"/>
        <v>0.47499999999999998</v>
      </c>
      <c r="L68" s="30">
        <f t="shared" si="13"/>
        <v>0.47499999999999998</v>
      </c>
      <c r="N68" s="30">
        <v>19</v>
      </c>
      <c r="O68" s="328">
        <f>1-ABS(SIGN(Knoten!G21))</f>
        <v>1</v>
      </c>
      <c r="P68">
        <f>IF(ISNUMBER(Knoten!C21),Knoten!C21+$O$1*(Knoten!K21+Knoten!N21)+$H$1*$E$1*O68,KnotenData!$H$2)</f>
        <v>0.5</v>
      </c>
      <c r="Q68">
        <f t="shared" si="14"/>
        <v>0.5</v>
      </c>
      <c r="R68" s="12">
        <f>IF(ISNUMBER(Knoten!C21),P68-2*$H$1*$E$1*O68,P68)</f>
        <v>0.5</v>
      </c>
      <c r="S68" s="12">
        <f t="shared" si="15"/>
        <v>0.5</v>
      </c>
      <c r="T68" s="30">
        <f t="shared" si="16"/>
        <v>0.5</v>
      </c>
      <c r="U68">
        <f>IF(ISNUMBER(Knoten!D21),Knoten!D21+$O$1*(Knoten!L21+Knoten!O21)-$H$1*$E$1*O68,KnotenData!$H$3)</f>
        <v>0.47499999999999998</v>
      </c>
      <c r="V68">
        <f>IF(ISNUMBER(Knoten!D21),U68+2*$H$1*$E$1*O68,U68)</f>
        <v>0.47499999999999998</v>
      </c>
      <c r="W68" s="12">
        <f t="shared" si="17"/>
        <v>0.47499999999999998</v>
      </c>
      <c r="X68" s="12">
        <f t="shared" si="18"/>
        <v>0.47499999999999998</v>
      </c>
      <c r="Y68" s="30">
        <f t="shared" si="19"/>
        <v>0.47499999999999998</v>
      </c>
    </row>
    <row r="69" spans="1:25" x14ac:dyDescent="0.2">
      <c r="A69" s="30">
        <v>20</v>
      </c>
      <c r="B69" s="328">
        <f>1-ABS(SIGN(Knoten!G22))</f>
        <v>1</v>
      </c>
      <c r="C69">
        <f>IF(ISNUMBER(Knoten!C22),Knoten!C22+$H$1*$E$1*B69,KnotenData!$H$2)</f>
        <v>0.5</v>
      </c>
      <c r="D69">
        <f t="shared" si="8"/>
        <v>0.5</v>
      </c>
      <c r="E69" s="12">
        <f>IF(ISNUMBER(Knoten!C22),C69-2*$H$1*$E$1*B69,C69)</f>
        <v>0.5</v>
      </c>
      <c r="F69" s="12">
        <f t="shared" si="9"/>
        <v>0.5</v>
      </c>
      <c r="G69" s="30">
        <f t="shared" si="10"/>
        <v>0.5</v>
      </c>
      <c r="H69">
        <f>IF(ISNUMBER(Knoten!D22),Knoten!D22-$H$1*$E$1*B69,KnotenData!$H$3)</f>
        <v>0.47499999999999998</v>
      </c>
      <c r="I69">
        <f>IF(ISNUMBER(Knoten!D22),H69+2*$H$1*$E$1*B69,H69)</f>
        <v>0.47499999999999998</v>
      </c>
      <c r="J69" s="12">
        <f t="shared" si="11"/>
        <v>0.47499999999999998</v>
      </c>
      <c r="K69" s="12">
        <f t="shared" si="12"/>
        <v>0.47499999999999998</v>
      </c>
      <c r="L69" s="30">
        <f t="shared" si="13"/>
        <v>0.47499999999999998</v>
      </c>
      <c r="N69" s="30">
        <v>20</v>
      </c>
      <c r="O69" s="328">
        <f>1-ABS(SIGN(Knoten!G22))</f>
        <v>1</v>
      </c>
      <c r="P69">
        <f>IF(ISNUMBER(Knoten!C22),Knoten!C22+$O$1*(Knoten!K22+Knoten!N22)+$H$1*$E$1*O69,KnotenData!$H$2)</f>
        <v>0.5</v>
      </c>
      <c r="Q69">
        <f t="shared" si="14"/>
        <v>0.5</v>
      </c>
      <c r="R69" s="12">
        <f>IF(ISNUMBER(Knoten!C22),P69-2*$H$1*$E$1*O69,P69)</f>
        <v>0.5</v>
      </c>
      <c r="S69" s="12">
        <f t="shared" si="15"/>
        <v>0.5</v>
      </c>
      <c r="T69" s="30">
        <f t="shared" si="16"/>
        <v>0.5</v>
      </c>
      <c r="U69">
        <f>IF(ISNUMBER(Knoten!D22),Knoten!D22+$O$1*(Knoten!L22+Knoten!O22)-$H$1*$E$1*O69,KnotenData!$H$3)</f>
        <v>0.47499999999999998</v>
      </c>
      <c r="V69">
        <f>IF(ISNUMBER(Knoten!D22),U69+2*$H$1*$E$1*O69,U69)</f>
        <v>0.47499999999999998</v>
      </c>
      <c r="W69" s="12">
        <f t="shared" si="17"/>
        <v>0.47499999999999998</v>
      </c>
      <c r="X69" s="12">
        <f t="shared" si="18"/>
        <v>0.47499999999999998</v>
      </c>
      <c r="Y69" s="30">
        <f t="shared" si="19"/>
        <v>0.47499999999999998</v>
      </c>
    </row>
    <row r="70" spans="1:25" x14ac:dyDescent="0.2">
      <c r="F70" s="12"/>
      <c r="K70" s="12"/>
    </row>
  </sheetData>
  <sheetProtection password="C690" sheet="1" objects="1" scenarios="1"/>
  <mergeCells count="13">
    <mergeCell ref="M1:N1"/>
    <mergeCell ref="C49:G49"/>
    <mergeCell ref="H49:L49"/>
    <mergeCell ref="P3:S3"/>
    <mergeCell ref="T3:W3"/>
    <mergeCell ref="P26:S26"/>
    <mergeCell ref="T26:W26"/>
    <mergeCell ref="P49:T49"/>
    <mergeCell ref="U49:Y49"/>
    <mergeCell ref="C3:F3"/>
    <mergeCell ref="G3:J3"/>
    <mergeCell ref="C26:F26"/>
    <mergeCell ref="G26:J26"/>
  </mergeCells>
  <phoneticPr fontId="5"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O74"/>
  <sheetViews>
    <sheetView zoomScale="75" workbookViewId="0">
      <selection activeCell="R58" sqref="R58"/>
    </sheetView>
  </sheetViews>
  <sheetFormatPr baseColWidth="10" defaultRowHeight="12.75" x14ac:dyDescent="0.2"/>
  <sheetData>
    <row r="1" spans="1:41" ht="13.5" thickBot="1" x14ac:dyDescent="0.25">
      <c r="A1" s="330" t="s">
        <v>49</v>
      </c>
      <c r="B1" s="330">
        <v>0.2</v>
      </c>
      <c r="D1" s="339" t="s">
        <v>90</v>
      </c>
      <c r="E1" s="1">
        <f>$B$1*KnotenData!$H$4</f>
        <v>0.12553983431564661</v>
      </c>
      <c r="G1" s="327" t="s">
        <v>125</v>
      </c>
      <c r="H1" s="75">
        <v>0.2</v>
      </c>
      <c r="I1" s="327" t="s">
        <v>123</v>
      </c>
      <c r="J1" s="75">
        <v>0.1</v>
      </c>
      <c r="K1" s="327" t="s">
        <v>124</v>
      </c>
      <c r="L1" s="75">
        <v>0.35</v>
      </c>
      <c r="M1" s="492"/>
      <c r="N1" s="492"/>
      <c r="O1" s="12"/>
    </row>
    <row r="2" spans="1:41" x14ac:dyDescent="0.2">
      <c r="I2" s="12"/>
      <c r="J2" s="12"/>
      <c r="K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13.5" thickBot="1" x14ac:dyDescent="0.25">
      <c r="A3" s="329" t="s">
        <v>120</v>
      </c>
      <c r="B3" s="89"/>
      <c r="C3" s="482" t="s">
        <v>1</v>
      </c>
      <c r="D3" s="483"/>
      <c r="E3" s="483"/>
      <c r="F3" s="483"/>
      <c r="G3" s="484"/>
      <c r="H3" s="482" t="s">
        <v>111</v>
      </c>
      <c r="I3" s="483"/>
      <c r="J3" s="483"/>
      <c r="K3" s="483"/>
      <c r="L3" s="484"/>
      <c r="M3" s="12"/>
      <c r="N3" s="314"/>
      <c r="O3" s="12"/>
      <c r="P3" s="492"/>
      <c r="Q3" s="492"/>
      <c r="R3" s="492"/>
      <c r="S3" s="492"/>
      <c r="T3" s="492"/>
      <c r="U3" s="492"/>
      <c r="V3" s="492"/>
      <c r="W3" s="492"/>
      <c r="X3" s="12"/>
      <c r="Y3" s="12"/>
      <c r="Z3" s="12"/>
      <c r="AA3" s="12"/>
      <c r="AB3" s="12"/>
      <c r="AC3" s="12"/>
      <c r="AD3" s="12"/>
      <c r="AE3" s="12"/>
      <c r="AF3" s="12"/>
      <c r="AG3" s="12"/>
      <c r="AH3" s="12"/>
      <c r="AI3" s="12"/>
      <c r="AJ3" s="12"/>
      <c r="AK3" s="12"/>
      <c r="AL3" s="12"/>
      <c r="AM3" s="12"/>
      <c r="AN3" s="12"/>
      <c r="AO3" s="12"/>
    </row>
    <row r="4" spans="1:41" x14ac:dyDescent="0.2">
      <c r="A4" s="30">
        <v>1</v>
      </c>
      <c r="B4" s="328">
        <f>SIGN(Knoten!I3)</f>
        <v>0</v>
      </c>
      <c r="C4">
        <f>IF(ISNUMBER(Knoten!C3),Knoten!C3,KnotenData!$H$2)</f>
        <v>0</v>
      </c>
      <c r="D4">
        <f>C4</f>
        <v>0</v>
      </c>
      <c r="E4" s="12">
        <f>IF(ISNUMBER(Knoten!C3),D4-ABS(B4)*$J$1*$E$1,D4)</f>
        <v>0</v>
      </c>
      <c r="F4" s="12">
        <f>IF(ISNUMBER(Knoten!C3),E4+ABS(B4)*2*$J$1*$E$1,D4)</f>
        <v>0</v>
      </c>
      <c r="G4" s="30">
        <f>D4</f>
        <v>0</v>
      </c>
      <c r="H4">
        <f>IF(ISNUMBER(Knoten!D3),Knoten!D3-B4*(($H$1+1)*$E$1),KnotenData!$H$3)</f>
        <v>0.75</v>
      </c>
      <c r="I4">
        <f>IF(ISNUMBER(Knoten!D3),H4+B4*$E$1,H4)</f>
        <v>0.75</v>
      </c>
      <c r="J4" s="12">
        <f>IF(ISNUMBER(Knoten!D3),I4-B4*$L$1*$E$1,H4)</f>
        <v>0.75</v>
      </c>
      <c r="K4" s="12">
        <f>J4</f>
        <v>0.75</v>
      </c>
      <c r="L4" s="30">
        <f>I4</f>
        <v>0.75</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2">
      <c r="A5" s="30">
        <v>2</v>
      </c>
      <c r="B5" s="328">
        <f>SIGN(Knoten!I4)</f>
        <v>1</v>
      </c>
      <c r="C5">
        <f>IF(ISNUMBER(Knoten!C4),Knoten!C4,KnotenData!$H$2)</f>
        <v>0.5</v>
      </c>
      <c r="D5">
        <f t="shared" ref="D5:D23" si="0">C5</f>
        <v>0.5</v>
      </c>
      <c r="E5" s="12">
        <f>IF(ISNUMBER(Knoten!C4),D5-ABS(B5)*$J$1*$E$1,D5)</f>
        <v>0.48744601656843534</v>
      </c>
      <c r="F5" s="12">
        <f>IF(ISNUMBER(Knoten!C4),E5+ABS(B5)*2*$J$1*$E$1,D5)</f>
        <v>0.51255398343156466</v>
      </c>
      <c r="G5" s="30">
        <f t="shared" ref="G5:G23" si="1">D5</f>
        <v>0.5</v>
      </c>
      <c r="H5">
        <f>IF(ISNUMBER(Knoten!D4),Knoten!D4-B5*(($H$1+1)*$E$1),KnotenData!$H$3)</f>
        <v>9.9352198821224064E-2</v>
      </c>
      <c r="I5">
        <f>IF(ISNUMBER(Knoten!D4),H5+B5*$E$1,H5)</f>
        <v>0.22489203313687067</v>
      </c>
      <c r="J5" s="12">
        <f>IF(ISNUMBER(Knoten!D4),I5-B5*$L$1*$E$1,H5)</f>
        <v>0.18095309112639435</v>
      </c>
      <c r="K5" s="12">
        <f t="shared" ref="K5:K23" si="2">J5</f>
        <v>0.18095309112639435</v>
      </c>
      <c r="L5" s="30">
        <f t="shared" ref="L5:L23" si="3">I5</f>
        <v>0.22489203313687067</v>
      </c>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2">
      <c r="A6" s="30">
        <v>3</v>
      </c>
      <c r="B6" s="328">
        <f>SIGN(Knoten!I5)</f>
        <v>0</v>
      </c>
      <c r="C6">
        <f>IF(ISNUMBER(Knoten!C5),Knoten!C5,KnotenData!$H$2)</f>
        <v>1</v>
      </c>
      <c r="D6">
        <f t="shared" si="0"/>
        <v>1</v>
      </c>
      <c r="E6" s="12">
        <f>IF(ISNUMBER(Knoten!C5),D6-ABS(B6)*$J$1*$E$1,D6)</f>
        <v>1</v>
      </c>
      <c r="F6" s="12">
        <f>IF(ISNUMBER(Knoten!C5),E6+ABS(B6)*2*$J$1*$E$1,D6)</f>
        <v>1</v>
      </c>
      <c r="G6" s="30">
        <f t="shared" si="1"/>
        <v>1</v>
      </c>
      <c r="H6">
        <f>IF(ISNUMBER(Knoten!D5),Knoten!D5-B6*(($H$1+1)*$E$1),KnotenData!$H$3)</f>
        <v>0.25</v>
      </c>
      <c r="I6">
        <f>IF(ISNUMBER(Knoten!D5),H6+B6*$E$1,H6)</f>
        <v>0.25</v>
      </c>
      <c r="J6" s="12">
        <f>IF(ISNUMBER(Knoten!D5),I6-B6*$L$1*$E$1,H6)</f>
        <v>0.25</v>
      </c>
      <c r="K6" s="12">
        <f t="shared" si="2"/>
        <v>0.25</v>
      </c>
      <c r="L6" s="30">
        <f t="shared" si="3"/>
        <v>0.25</v>
      </c>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2">
      <c r="A7" s="30">
        <v>4</v>
      </c>
      <c r="B7" s="328">
        <f>SIGN(Knoten!I6)</f>
        <v>0</v>
      </c>
      <c r="C7">
        <f>IF(ISNUMBER(Knoten!C6),Knoten!C6,KnotenData!$H$2)</f>
        <v>0.5</v>
      </c>
      <c r="D7">
        <f t="shared" si="0"/>
        <v>0.5</v>
      </c>
      <c r="E7" s="12">
        <f>IF(ISNUMBER(Knoten!C6),D7-ABS(B7)*$J$1*$E$1,D7)</f>
        <v>0.5</v>
      </c>
      <c r="F7" s="12">
        <f>IF(ISNUMBER(Knoten!C6),E7+ABS(B7)*2*$J$1*$E$1,D7)</f>
        <v>0.5</v>
      </c>
      <c r="G7" s="30">
        <f t="shared" si="1"/>
        <v>0.5</v>
      </c>
      <c r="H7">
        <f>IF(ISNUMBER(Knoten!D6),Knoten!D6-B7*(($H$1+1)*$E$1),KnotenData!$H$3)</f>
        <v>0.47499999999999998</v>
      </c>
      <c r="I7">
        <f>IF(ISNUMBER(Knoten!D6),H7+B7*$E$1,H7)</f>
        <v>0.47499999999999998</v>
      </c>
      <c r="J7" s="12">
        <f>IF(ISNUMBER(Knoten!D6),I7-B7*$L$1*$E$1,H7)</f>
        <v>0.47499999999999998</v>
      </c>
      <c r="K7" s="12">
        <f t="shared" si="2"/>
        <v>0.47499999999999998</v>
      </c>
      <c r="L7" s="30">
        <f t="shared" si="3"/>
        <v>0.47499999999999998</v>
      </c>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2">
      <c r="A8" s="30">
        <v>5</v>
      </c>
      <c r="B8" s="328">
        <f>SIGN(Knoten!I7)</f>
        <v>0</v>
      </c>
      <c r="C8">
        <f>IF(ISNUMBER(Knoten!C7),Knoten!C7,KnotenData!$H$2)</f>
        <v>0.5</v>
      </c>
      <c r="D8">
        <f t="shared" si="0"/>
        <v>0.5</v>
      </c>
      <c r="E8" s="12">
        <f>IF(ISNUMBER(Knoten!C7),D8-ABS(B8)*$J$1*$E$1,D8)</f>
        <v>0.5</v>
      </c>
      <c r="F8" s="12">
        <f>IF(ISNUMBER(Knoten!C7),E8+ABS(B8)*2*$J$1*$E$1,D8)</f>
        <v>0.5</v>
      </c>
      <c r="G8" s="30">
        <f t="shared" si="1"/>
        <v>0.5</v>
      </c>
      <c r="H8">
        <f>IF(ISNUMBER(Knoten!D7),Knoten!D7-B8*(($H$1+1)*$E$1),KnotenData!$H$3)</f>
        <v>0.47499999999999998</v>
      </c>
      <c r="I8">
        <f>IF(ISNUMBER(Knoten!D7),H8+B8*$E$1,H8)</f>
        <v>0.47499999999999998</v>
      </c>
      <c r="J8" s="12">
        <f>IF(ISNUMBER(Knoten!D7),I8-B8*$L$1*$E$1,H8)</f>
        <v>0.47499999999999998</v>
      </c>
      <c r="K8" s="12">
        <f t="shared" si="2"/>
        <v>0.47499999999999998</v>
      </c>
      <c r="L8" s="30">
        <f t="shared" si="3"/>
        <v>0.47499999999999998</v>
      </c>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2">
      <c r="A9" s="30">
        <v>6</v>
      </c>
      <c r="B9" s="328">
        <f>SIGN(Knoten!I8)</f>
        <v>0</v>
      </c>
      <c r="C9">
        <f>IF(ISNUMBER(Knoten!C8),Knoten!C8,KnotenData!$H$2)</f>
        <v>0.5</v>
      </c>
      <c r="D9">
        <f t="shared" si="0"/>
        <v>0.5</v>
      </c>
      <c r="E9" s="12">
        <f>IF(ISNUMBER(Knoten!C8),D9-ABS(B9)*$J$1*$E$1,D9)</f>
        <v>0.5</v>
      </c>
      <c r="F9" s="12">
        <f>IF(ISNUMBER(Knoten!C8),E9+ABS(B9)*2*$J$1*$E$1,D9)</f>
        <v>0.5</v>
      </c>
      <c r="G9" s="30">
        <f t="shared" si="1"/>
        <v>0.5</v>
      </c>
      <c r="H9">
        <f>IF(ISNUMBER(Knoten!D8),Knoten!D8-B9*(($H$1+1)*$E$1),KnotenData!$H$3)</f>
        <v>0.47499999999999998</v>
      </c>
      <c r="I9">
        <f>IF(ISNUMBER(Knoten!D8),H9+B9*$E$1,H9)</f>
        <v>0.47499999999999998</v>
      </c>
      <c r="J9" s="12">
        <f>IF(ISNUMBER(Knoten!D8),I9-B9*$L$1*$E$1,H9)</f>
        <v>0.47499999999999998</v>
      </c>
      <c r="K9" s="12">
        <f t="shared" si="2"/>
        <v>0.47499999999999998</v>
      </c>
      <c r="L9" s="30">
        <f t="shared" si="3"/>
        <v>0.47499999999999998</v>
      </c>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2">
      <c r="A10" s="30">
        <v>7</v>
      </c>
      <c r="B10" s="328">
        <f>SIGN(Knoten!I9)</f>
        <v>0</v>
      </c>
      <c r="C10">
        <f>IF(ISNUMBER(Knoten!C9),Knoten!C9,KnotenData!$H$2)</f>
        <v>0.5</v>
      </c>
      <c r="D10">
        <f t="shared" si="0"/>
        <v>0.5</v>
      </c>
      <c r="E10" s="12">
        <f>IF(ISNUMBER(Knoten!C9),D10-ABS(B10)*$J$1*$E$1,D10)</f>
        <v>0.5</v>
      </c>
      <c r="F10" s="12">
        <f>IF(ISNUMBER(Knoten!C9),E10+ABS(B10)*2*$J$1*$E$1,D10)</f>
        <v>0.5</v>
      </c>
      <c r="G10" s="30">
        <f t="shared" si="1"/>
        <v>0.5</v>
      </c>
      <c r="H10">
        <f>IF(ISNUMBER(Knoten!D9),Knoten!D9-B10*(($H$1+1)*$E$1),KnotenData!$H$3)</f>
        <v>0.47499999999999998</v>
      </c>
      <c r="I10">
        <f>IF(ISNUMBER(Knoten!D9),H10+B10*$E$1,H10)</f>
        <v>0.47499999999999998</v>
      </c>
      <c r="J10" s="12">
        <f>IF(ISNUMBER(Knoten!D9),I10-B10*$L$1*$E$1,H10)</f>
        <v>0.47499999999999998</v>
      </c>
      <c r="K10" s="12">
        <f t="shared" si="2"/>
        <v>0.47499999999999998</v>
      </c>
      <c r="L10" s="30">
        <f t="shared" si="3"/>
        <v>0.47499999999999998</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2">
      <c r="A11" s="30">
        <v>8</v>
      </c>
      <c r="B11" s="328">
        <f>SIGN(Knoten!I10)</f>
        <v>0</v>
      </c>
      <c r="C11">
        <f>IF(ISNUMBER(Knoten!C10),Knoten!C10,KnotenData!$H$2)</f>
        <v>0.5</v>
      </c>
      <c r="D11">
        <f t="shared" si="0"/>
        <v>0.5</v>
      </c>
      <c r="E11" s="12">
        <f>IF(ISNUMBER(Knoten!C10),D11-ABS(B11)*$J$1*$E$1,D11)</f>
        <v>0.5</v>
      </c>
      <c r="F11" s="12">
        <f>IF(ISNUMBER(Knoten!C10),E11+ABS(B11)*2*$J$1*$E$1,D11)</f>
        <v>0.5</v>
      </c>
      <c r="G11" s="30">
        <f t="shared" si="1"/>
        <v>0.5</v>
      </c>
      <c r="H11">
        <f>IF(ISNUMBER(Knoten!D10),Knoten!D10-B11*(($H$1+1)*$E$1),KnotenData!$H$3)</f>
        <v>0.47499999999999998</v>
      </c>
      <c r="I11">
        <f>IF(ISNUMBER(Knoten!D10),H11+B11*$E$1,H11)</f>
        <v>0.47499999999999998</v>
      </c>
      <c r="J11" s="12">
        <f>IF(ISNUMBER(Knoten!D10),I11-B11*$L$1*$E$1,H11)</f>
        <v>0.47499999999999998</v>
      </c>
      <c r="K11" s="12">
        <f t="shared" si="2"/>
        <v>0.47499999999999998</v>
      </c>
      <c r="L11" s="30">
        <f t="shared" si="3"/>
        <v>0.47499999999999998</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2">
      <c r="A12" s="30">
        <v>9</v>
      </c>
      <c r="B12" s="328">
        <f>SIGN(Knoten!I11)</f>
        <v>0</v>
      </c>
      <c r="C12">
        <f>IF(ISNUMBER(Knoten!C11),Knoten!C11,KnotenData!$H$2)</f>
        <v>0.5</v>
      </c>
      <c r="D12">
        <f t="shared" si="0"/>
        <v>0.5</v>
      </c>
      <c r="E12" s="12">
        <f>IF(ISNUMBER(Knoten!C11),D12-ABS(B12)*$J$1*$E$1,D12)</f>
        <v>0.5</v>
      </c>
      <c r="F12" s="12">
        <f>IF(ISNUMBER(Knoten!C11),E12+ABS(B12)*2*$J$1*$E$1,D12)</f>
        <v>0.5</v>
      </c>
      <c r="G12" s="30">
        <f t="shared" si="1"/>
        <v>0.5</v>
      </c>
      <c r="H12">
        <f>IF(ISNUMBER(Knoten!D11),Knoten!D11-B12*(($H$1+1)*$E$1),KnotenData!$H$3)</f>
        <v>0.47499999999999998</v>
      </c>
      <c r="I12">
        <f>IF(ISNUMBER(Knoten!D11),H12+B12*$E$1,H12)</f>
        <v>0.47499999999999998</v>
      </c>
      <c r="J12" s="12">
        <f>IF(ISNUMBER(Knoten!D11),I12-B12*$L$1*$E$1,H12)</f>
        <v>0.47499999999999998</v>
      </c>
      <c r="K12" s="12">
        <f t="shared" si="2"/>
        <v>0.47499999999999998</v>
      </c>
      <c r="L12" s="30">
        <f t="shared" si="3"/>
        <v>0.47499999999999998</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x14ac:dyDescent="0.2">
      <c r="A13" s="30">
        <v>10</v>
      </c>
      <c r="B13" s="328">
        <f>SIGN(Knoten!I12)</f>
        <v>0</v>
      </c>
      <c r="C13">
        <f>IF(ISNUMBER(Knoten!C12),Knoten!C12,KnotenData!$H$2)</f>
        <v>0.5</v>
      </c>
      <c r="D13">
        <f t="shared" si="0"/>
        <v>0.5</v>
      </c>
      <c r="E13" s="12">
        <f>IF(ISNUMBER(Knoten!C12),D13-ABS(B13)*$J$1*$E$1,D13)</f>
        <v>0.5</v>
      </c>
      <c r="F13" s="12">
        <f>IF(ISNUMBER(Knoten!C12),E13+ABS(B13)*2*$J$1*$E$1,D13)</f>
        <v>0.5</v>
      </c>
      <c r="G13" s="30">
        <f t="shared" si="1"/>
        <v>0.5</v>
      </c>
      <c r="H13">
        <f>IF(ISNUMBER(Knoten!D12),Knoten!D12-B13*(($H$1+1)*$E$1),KnotenData!$H$3)</f>
        <v>0.47499999999999998</v>
      </c>
      <c r="I13">
        <f>IF(ISNUMBER(Knoten!D12),H13+B13*$E$1,H13)</f>
        <v>0.47499999999999998</v>
      </c>
      <c r="J13" s="12">
        <f>IF(ISNUMBER(Knoten!D12),I13-B13*$L$1*$E$1,H13)</f>
        <v>0.47499999999999998</v>
      </c>
      <c r="K13" s="12">
        <f t="shared" si="2"/>
        <v>0.47499999999999998</v>
      </c>
      <c r="L13" s="30">
        <f t="shared" si="3"/>
        <v>0.47499999999999998</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x14ac:dyDescent="0.2">
      <c r="A14" s="30">
        <v>11</v>
      </c>
      <c r="B14" s="328">
        <f>SIGN(Knoten!I13)</f>
        <v>0</v>
      </c>
      <c r="C14">
        <f>IF(ISNUMBER(Knoten!C13),Knoten!C13,KnotenData!$H$2)</f>
        <v>0.5</v>
      </c>
      <c r="D14">
        <f t="shared" si="0"/>
        <v>0.5</v>
      </c>
      <c r="E14" s="12">
        <f>IF(ISNUMBER(Knoten!C13),D14-ABS(B14)*$J$1*$E$1,D14)</f>
        <v>0.5</v>
      </c>
      <c r="F14" s="12">
        <f>IF(ISNUMBER(Knoten!C13),E14+ABS(B14)*2*$J$1*$E$1,D14)</f>
        <v>0.5</v>
      </c>
      <c r="G14" s="30">
        <f t="shared" si="1"/>
        <v>0.5</v>
      </c>
      <c r="H14">
        <f>IF(ISNUMBER(Knoten!D13),Knoten!D13-B14*(($H$1+1)*$E$1),KnotenData!$H$3)</f>
        <v>0.47499999999999998</v>
      </c>
      <c r="I14">
        <f>IF(ISNUMBER(Knoten!D13),H14+B14*$E$1,H14)</f>
        <v>0.47499999999999998</v>
      </c>
      <c r="J14" s="12">
        <f>IF(ISNUMBER(Knoten!D13),I14-B14*$L$1*$E$1,H14)</f>
        <v>0.47499999999999998</v>
      </c>
      <c r="K14" s="12">
        <f t="shared" si="2"/>
        <v>0.47499999999999998</v>
      </c>
      <c r="L14" s="30">
        <f t="shared" si="3"/>
        <v>0.47499999999999998</v>
      </c>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2">
      <c r="A15" s="30">
        <v>12</v>
      </c>
      <c r="B15" s="328">
        <f>SIGN(Knoten!I14)</f>
        <v>0</v>
      </c>
      <c r="C15">
        <f>IF(ISNUMBER(Knoten!C14),Knoten!C14,KnotenData!$H$2)</f>
        <v>0.5</v>
      </c>
      <c r="D15">
        <f t="shared" si="0"/>
        <v>0.5</v>
      </c>
      <c r="E15" s="12">
        <f>IF(ISNUMBER(Knoten!C14),D15-ABS(B15)*$J$1*$E$1,D15)</f>
        <v>0.5</v>
      </c>
      <c r="F15" s="12">
        <f>IF(ISNUMBER(Knoten!C14),E15+ABS(B15)*2*$J$1*$E$1,D15)</f>
        <v>0.5</v>
      </c>
      <c r="G15" s="30">
        <f t="shared" si="1"/>
        <v>0.5</v>
      </c>
      <c r="H15">
        <f>IF(ISNUMBER(Knoten!D14),Knoten!D14-B15*(($H$1+1)*$E$1),KnotenData!$H$3)</f>
        <v>0.47499999999999998</v>
      </c>
      <c r="I15">
        <f>IF(ISNUMBER(Knoten!D14),H15+B15*$E$1,H15)</f>
        <v>0.47499999999999998</v>
      </c>
      <c r="J15" s="12">
        <f>IF(ISNUMBER(Knoten!D14),I15-B15*$L$1*$E$1,H15)</f>
        <v>0.47499999999999998</v>
      </c>
      <c r="K15" s="12">
        <f t="shared" si="2"/>
        <v>0.47499999999999998</v>
      </c>
      <c r="L15" s="30">
        <f t="shared" si="3"/>
        <v>0.47499999999999998</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2">
      <c r="A16" s="30">
        <v>13</v>
      </c>
      <c r="B16" s="328">
        <f>SIGN(Knoten!I15)</f>
        <v>0</v>
      </c>
      <c r="C16">
        <f>IF(ISNUMBER(Knoten!C15),Knoten!C15,KnotenData!$H$2)</f>
        <v>0.5</v>
      </c>
      <c r="D16">
        <f t="shared" si="0"/>
        <v>0.5</v>
      </c>
      <c r="E16" s="12">
        <f>IF(ISNUMBER(Knoten!C15),D16-ABS(B16)*$J$1*$E$1,D16)</f>
        <v>0.5</v>
      </c>
      <c r="F16" s="12">
        <f>IF(ISNUMBER(Knoten!C15),E16+ABS(B16)*2*$J$1*$E$1,D16)</f>
        <v>0.5</v>
      </c>
      <c r="G16" s="30">
        <f t="shared" si="1"/>
        <v>0.5</v>
      </c>
      <c r="H16">
        <f>IF(ISNUMBER(Knoten!D15),Knoten!D15-B16*(($H$1+1)*$E$1),KnotenData!$H$3)</f>
        <v>0.47499999999999998</v>
      </c>
      <c r="I16">
        <f>IF(ISNUMBER(Knoten!D15),H16+B16*$E$1,H16)</f>
        <v>0.47499999999999998</v>
      </c>
      <c r="J16" s="12">
        <f>IF(ISNUMBER(Knoten!D15),I16-B16*$L$1*$E$1,H16)</f>
        <v>0.47499999999999998</v>
      </c>
      <c r="K16" s="12">
        <f t="shared" si="2"/>
        <v>0.47499999999999998</v>
      </c>
      <c r="L16" s="30">
        <f t="shared" si="3"/>
        <v>0.47499999999999998</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2">
      <c r="A17" s="30">
        <v>14</v>
      </c>
      <c r="B17" s="328">
        <f>SIGN(Knoten!I16)</f>
        <v>0</v>
      </c>
      <c r="C17">
        <f>IF(ISNUMBER(Knoten!C16),Knoten!C16,KnotenData!$H$2)</f>
        <v>0.5</v>
      </c>
      <c r="D17">
        <f t="shared" si="0"/>
        <v>0.5</v>
      </c>
      <c r="E17" s="12">
        <f>IF(ISNUMBER(Knoten!C16),D17-ABS(B17)*$J$1*$E$1,D17)</f>
        <v>0.5</v>
      </c>
      <c r="F17" s="12">
        <f>IF(ISNUMBER(Knoten!C16),E17+ABS(B17)*2*$J$1*$E$1,D17)</f>
        <v>0.5</v>
      </c>
      <c r="G17" s="30">
        <f t="shared" si="1"/>
        <v>0.5</v>
      </c>
      <c r="H17">
        <f>IF(ISNUMBER(Knoten!D16),Knoten!D16-B17*(($H$1+1)*$E$1),KnotenData!$H$3)</f>
        <v>0.47499999999999998</v>
      </c>
      <c r="I17">
        <f>IF(ISNUMBER(Knoten!D16),H17+B17*$E$1,H17)</f>
        <v>0.47499999999999998</v>
      </c>
      <c r="J17" s="12">
        <f>IF(ISNUMBER(Knoten!D16),I17-B17*$L$1*$E$1,H17)</f>
        <v>0.47499999999999998</v>
      </c>
      <c r="K17" s="12">
        <f t="shared" si="2"/>
        <v>0.47499999999999998</v>
      </c>
      <c r="L17" s="30">
        <f t="shared" si="3"/>
        <v>0.47499999999999998</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x14ac:dyDescent="0.2">
      <c r="A18" s="30">
        <v>15</v>
      </c>
      <c r="B18" s="328">
        <f>SIGN(Knoten!I17)</f>
        <v>0</v>
      </c>
      <c r="C18">
        <f>IF(ISNUMBER(Knoten!C17),Knoten!C17,KnotenData!$H$2)</f>
        <v>0.5</v>
      </c>
      <c r="D18">
        <f t="shared" si="0"/>
        <v>0.5</v>
      </c>
      <c r="E18" s="12">
        <f>IF(ISNUMBER(Knoten!C17),D18-ABS(B18)*$J$1*$E$1,D18)</f>
        <v>0.5</v>
      </c>
      <c r="F18" s="12">
        <f>IF(ISNUMBER(Knoten!C17),E18+ABS(B18)*2*$J$1*$E$1,D18)</f>
        <v>0.5</v>
      </c>
      <c r="G18" s="30">
        <f t="shared" si="1"/>
        <v>0.5</v>
      </c>
      <c r="H18">
        <f>IF(ISNUMBER(Knoten!D17),Knoten!D17-B18*(($H$1+1)*$E$1),KnotenData!$H$3)</f>
        <v>0.47499999999999998</v>
      </c>
      <c r="I18">
        <f>IF(ISNUMBER(Knoten!D17),H18+B18*$E$1,H18)</f>
        <v>0.47499999999999998</v>
      </c>
      <c r="J18" s="12">
        <f>IF(ISNUMBER(Knoten!D17),I18-B18*$L$1*$E$1,H18)</f>
        <v>0.47499999999999998</v>
      </c>
      <c r="K18" s="12">
        <f t="shared" si="2"/>
        <v>0.47499999999999998</v>
      </c>
      <c r="L18" s="30">
        <f t="shared" si="3"/>
        <v>0.47499999999999998</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x14ac:dyDescent="0.2">
      <c r="A19" s="30">
        <v>16</v>
      </c>
      <c r="B19" s="328">
        <f>SIGN(Knoten!I18)</f>
        <v>0</v>
      </c>
      <c r="C19">
        <f>IF(ISNUMBER(Knoten!C18),Knoten!C18,KnotenData!$H$2)</f>
        <v>0.5</v>
      </c>
      <c r="D19">
        <f t="shared" si="0"/>
        <v>0.5</v>
      </c>
      <c r="E19" s="12">
        <f>IF(ISNUMBER(Knoten!C18),D19-ABS(B19)*$J$1*$E$1,D19)</f>
        <v>0.5</v>
      </c>
      <c r="F19" s="12">
        <f>IF(ISNUMBER(Knoten!C18),E19+ABS(B19)*2*$J$1*$E$1,D19)</f>
        <v>0.5</v>
      </c>
      <c r="G19" s="30">
        <f t="shared" si="1"/>
        <v>0.5</v>
      </c>
      <c r="H19">
        <f>IF(ISNUMBER(Knoten!D18),Knoten!D18-B19*(($H$1+1)*$E$1),KnotenData!$H$3)</f>
        <v>0.47499999999999998</v>
      </c>
      <c r="I19">
        <f>IF(ISNUMBER(Knoten!D18),H19+B19*$E$1,H19)</f>
        <v>0.47499999999999998</v>
      </c>
      <c r="J19" s="12">
        <f>IF(ISNUMBER(Knoten!D18),I19-B19*$L$1*$E$1,H19)</f>
        <v>0.47499999999999998</v>
      </c>
      <c r="K19" s="12">
        <f t="shared" si="2"/>
        <v>0.47499999999999998</v>
      </c>
      <c r="L19" s="30">
        <f t="shared" si="3"/>
        <v>0.47499999999999998</v>
      </c>
      <c r="N19" s="12"/>
      <c r="O19" s="12"/>
      <c r="P19" s="12"/>
      <c r="Q19" s="12"/>
      <c r="R19" s="12"/>
      <c r="S19" s="12"/>
      <c r="T19" s="12"/>
      <c r="U19" s="12"/>
      <c r="V19" s="12"/>
      <c r="W19" s="12"/>
      <c r="X19" s="12"/>
      <c r="Y19" s="12"/>
      <c r="Z19" s="12"/>
    </row>
    <row r="20" spans="1:41" x14ac:dyDescent="0.2">
      <c r="A20" s="30">
        <v>17</v>
      </c>
      <c r="B20" s="328">
        <f>SIGN(Knoten!I19)</f>
        <v>0</v>
      </c>
      <c r="C20">
        <f>IF(ISNUMBER(Knoten!C19),Knoten!C19,KnotenData!$H$2)</f>
        <v>0.5</v>
      </c>
      <c r="D20">
        <f t="shared" si="0"/>
        <v>0.5</v>
      </c>
      <c r="E20" s="12">
        <f>IF(ISNUMBER(Knoten!C19),D20-ABS(B20)*$J$1*$E$1,D20)</f>
        <v>0.5</v>
      </c>
      <c r="F20" s="12">
        <f>IF(ISNUMBER(Knoten!C19),E20+ABS(B20)*2*$J$1*$E$1,D20)</f>
        <v>0.5</v>
      </c>
      <c r="G20" s="30">
        <f t="shared" si="1"/>
        <v>0.5</v>
      </c>
      <c r="H20">
        <f>IF(ISNUMBER(Knoten!D19),Knoten!D19-B20*(($H$1+1)*$E$1),KnotenData!$H$3)</f>
        <v>0.47499999999999998</v>
      </c>
      <c r="I20">
        <f>IF(ISNUMBER(Knoten!D19),H20+B20*$E$1,H20)</f>
        <v>0.47499999999999998</v>
      </c>
      <c r="J20" s="12">
        <f>IF(ISNUMBER(Knoten!D19),I20-B20*$L$1*$E$1,H20)</f>
        <v>0.47499999999999998</v>
      </c>
      <c r="K20" s="12">
        <f t="shared" si="2"/>
        <v>0.47499999999999998</v>
      </c>
      <c r="L20" s="30">
        <f t="shared" si="3"/>
        <v>0.47499999999999998</v>
      </c>
      <c r="N20" s="12"/>
      <c r="O20" s="12"/>
      <c r="P20" s="12"/>
      <c r="Q20" s="12"/>
      <c r="R20" s="12"/>
      <c r="S20" s="12"/>
      <c r="T20" s="12"/>
      <c r="U20" s="12"/>
      <c r="V20" s="12"/>
      <c r="W20" s="12"/>
      <c r="X20" s="12"/>
      <c r="Y20" s="12"/>
      <c r="Z20" s="12"/>
    </row>
    <row r="21" spans="1:41" x14ac:dyDescent="0.2">
      <c r="A21" s="30">
        <v>18</v>
      </c>
      <c r="B21" s="328">
        <f>SIGN(Knoten!I20)</f>
        <v>0</v>
      </c>
      <c r="C21">
        <f>IF(ISNUMBER(Knoten!C20),Knoten!C20,KnotenData!$H$2)</f>
        <v>0.5</v>
      </c>
      <c r="D21">
        <f t="shared" si="0"/>
        <v>0.5</v>
      </c>
      <c r="E21" s="12">
        <f>IF(ISNUMBER(Knoten!C20),D21-ABS(B21)*$J$1*$E$1,D21)</f>
        <v>0.5</v>
      </c>
      <c r="F21" s="12">
        <f>IF(ISNUMBER(Knoten!C20),E21+ABS(B21)*2*$J$1*$E$1,D21)</f>
        <v>0.5</v>
      </c>
      <c r="G21" s="30">
        <f t="shared" si="1"/>
        <v>0.5</v>
      </c>
      <c r="H21">
        <f>IF(ISNUMBER(Knoten!D20),Knoten!D20-B21*(($H$1+1)*$E$1),KnotenData!$H$3)</f>
        <v>0.47499999999999998</v>
      </c>
      <c r="I21">
        <f>IF(ISNUMBER(Knoten!D20),H21+B21*$E$1,H21)</f>
        <v>0.47499999999999998</v>
      </c>
      <c r="J21" s="12">
        <f>IF(ISNUMBER(Knoten!D20),I21-B21*$L$1*$E$1,H21)</f>
        <v>0.47499999999999998</v>
      </c>
      <c r="K21" s="12">
        <f t="shared" si="2"/>
        <v>0.47499999999999998</v>
      </c>
      <c r="L21" s="30">
        <f t="shared" si="3"/>
        <v>0.47499999999999998</v>
      </c>
      <c r="N21" s="12"/>
      <c r="O21" s="12"/>
      <c r="P21" s="12"/>
      <c r="Q21" s="12"/>
      <c r="R21" s="12"/>
      <c r="S21" s="12"/>
      <c r="T21" s="12"/>
      <c r="U21" s="12"/>
      <c r="V21" s="12"/>
      <c r="W21" s="12"/>
      <c r="X21" s="12"/>
      <c r="Y21" s="12"/>
      <c r="Z21" s="12"/>
    </row>
    <row r="22" spans="1:41" x14ac:dyDescent="0.2">
      <c r="A22" s="30">
        <v>19</v>
      </c>
      <c r="B22" s="328">
        <f>SIGN(Knoten!I21)</f>
        <v>0</v>
      </c>
      <c r="C22">
        <f>IF(ISNUMBER(Knoten!C21),Knoten!C21,KnotenData!$H$2)</f>
        <v>0.5</v>
      </c>
      <c r="D22">
        <f t="shared" si="0"/>
        <v>0.5</v>
      </c>
      <c r="E22" s="12">
        <f>IF(ISNUMBER(Knoten!C21),D22-ABS(B22)*$J$1*$E$1,D22)</f>
        <v>0.5</v>
      </c>
      <c r="F22" s="12">
        <f>IF(ISNUMBER(Knoten!C21),E22+ABS(B22)*2*$J$1*$E$1,D22)</f>
        <v>0.5</v>
      </c>
      <c r="G22" s="30">
        <f t="shared" si="1"/>
        <v>0.5</v>
      </c>
      <c r="H22">
        <f>IF(ISNUMBER(Knoten!D21),Knoten!D21-B22*(($H$1+1)*$E$1),KnotenData!$H$3)</f>
        <v>0.47499999999999998</v>
      </c>
      <c r="I22">
        <f>IF(ISNUMBER(Knoten!D21),H22+B22*$E$1,H22)</f>
        <v>0.47499999999999998</v>
      </c>
      <c r="J22" s="12">
        <f>IF(ISNUMBER(Knoten!D21),I22-B22*$L$1*$E$1,H22)</f>
        <v>0.47499999999999998</v>
      </c>
      <c r="K22" s="12">
        <f t="shared" si="2"/>
        <v>0.47499999999999998</v>
      </c>
      <c r="L22" s="30">
        <f t="shared" si="3"/>
        <v>0.47499999999999998</v>
      </c>
      <c r="N22" s="12"/>
      <c r="O22" s="12"/>
      <c r="P22" s="12"/>
      <c r="Q22" s="12"/>
      <c r="R22" s="12"/>
      <c r="S22" s="12"/>
      <c r="T22" s="12"/>
      <c r="U22" s="12"/>
      <c r="V22" s="12"/>
      <c r="W22" s="12"/>
      <c r="X22" s="12"/>
      <c r="Y22" s="12"/>
      <c r="Z22" s="12"/>
    </row>
    <row r="23" spans="1:41" x14ac:dyDescent="0.2">
      <c r="A23" s="30">
        <v>20</v>
      </c>
      <c r="B23" s="328">
        <f>SIGN(Knoten!I22)</f>
        <v>0</v>
      </c>
      <c r="C23">
        <f>IF(ISNUMBER(Knoten!C22),Knoten!C22,KnotenData!$H$2)</f>
        <v>0.5</v>
      </c>
      <c r="D23">
        <f t="shared" si="0"/>
        <v>0.5</v>
      </c>
      <c r="E23" s="12">
        <f>IF(ISNUMBER(Knoten!C22),D23-ABS(B23)*$J$1*$E$1,D23)</f>
        <v>0.5</v>
      </c>
      <c r="F23" s="12">
        <f>IF(ISNUMBER(Knoten!C22),E23+ABS(B23)*2*$J$1*$E$1,D23)</f>
        <v>0.5</v>
      </c>
      <c r="G23" s="30">
        <f t="shared" si="1"/>
        <v>0.5</v>
      </c>
      <c r="H23">
        <f>IF(ISNUMBER(Knoten!D22),Knoten!D22-B23*(($H$1+1)*$E$1),KnotenData!$H$3)</f>
        <v>0.47499999999999998</v>
      </c>
      <c r="I23">
        <f>IF(ISNUMBER(Knoten!D22),H23+B23*$E$1,H23)</f>
        <v>0.47499999999999998</v>
      </c>
      <c r="J23" s="12">
        <f>IF(ISNUMBER(Knoten!D22),I23-B23*$L$1*$E$1,H23)</f>
        <v>0.47499999999999998</v>
      </c>
      <c r="K23" s="12">
        <f t="shared" si="2"/>
        <v>0.47499999999999998</v>
      </c>
      <c r="L23" s="30">
        <f t="shared" si="3"/>
        <v>0.47499999999999998</v>
      </c>
      <c r="N23" s="12"/>
      <c r="O23" s="12"/>
      <c r="P23" s="12"/>
      <c r="Q23" s="12"/>
      <c r="R23" s="12"/>
      <c r="S23" s="12"/>
      <c r="T23" s="12"/>
      <c r="U23" s="12"/>
      <c r="V23" s="12"/>
      <c r="W23" s="12"/>
      <c r="X23" s="12"/>
      <c r="Y23" s="12"/>
      <c r="Z23" s="12"/>
    </row>
    <row r="24" spans="1:41" x14ac:dyDescent="0.2">
      <c r="N24" s="12"/>
      <c r="O24" s="12"/>
      <c r="P24" s="12"/>
      <c r="Q24" s="12"/>
      <c r="R24" s="12"/>
      <c r="S24" s="12"/>
      <c r="T24" s="12"/>
      <c r="U24" s="12"/>
      <c r="V24" s="12"/>
      <c r="W24" s="12"/>
      <c r="X24" s="12"/>
      <c r="Y24" s="12"/>
      <c r="Z24" s="12"/>
    </row>
    <row r="25" spans="1:41" x14ac:dyDescent="0.2">
      <c r="N25" s="12"/>
      <c r="O25" s="12"/>
      <c r="P25" s="12"/>
      <c r="Q25" s="12"/>
      <c r="R25" s="12"/>
      <c r="S25" s="12"/>
      <c r="T25" s="12"/>
      <c r="U25" s="12"/>
      <c r="V25" s="12"/>
      <c r="W25" s="12"/>
      <c r="X25" s="12"/>
      <c r="Y25" s="12"/>
      <c r="Z25" s="12"/>
    </row>
    <row r="26" spans="1:41" ht="13.5" thickBot="1" x14ac:dyDescent="0.25">
      <c r="A26" s="329" t="s">
        <v>121</v>
      </c>
      <c r="B26" s="89"/>
      <c r="C26" s="482" t="s">
        <v>1</v>
      </c>
      <c r="D26" s="483"/>
      <c r="E26" s="483"/>
      <c r="F26" s="483"/>
      <c r="G26" s="484"/>
      <c r="H26" s="482" t="s">
        <v>111</v>
      </c>
      <c r="I26" s="483"/>
      <c r="J26" s="483"/>
      <c r="K26" s="483"/>
      <c r="L26" s="484"/>
      <c r="N26" s="314"/>
      <c r="O26" s="12"/>
      <c r="P26" s="492"/>
      <c r="Q26" s="492"/>
      <c r="R26" s="492"/>
      <c r="S26" s="492"/>
      <c r="T26" s="492"/>
      <c r="U26" s="492"/>
      <c r="V26" s="492"/>
      <c r="W26" s="492"/>
      <c r="X26" s="12"/>
      <c r="Y26" s="12"/>
      <c r="Z26" s="12"/>
    </row>
    <row r="27" spans="1:41" x14ac:dyDescent="0.2">
      <c r="A27" s="30">
        <v>1</v>
      </c>
      <c r="B27" s="328">
        <f>SIGN(Knoten!H3)</f>
        <v>0</v>
      </c>
      <c r="C27">
        <f>IF(ISNUMBER(Knoten!C3),Knoten!C3-B27*(($H$1+1)*$E$1),KnotenData!$H$2)</f>
        <v>0</v>
      </c>
      <c r="D27">
        <f>IF(ISNUMBER(Knoten!C3),C27+B27*$E$1,C27)</f>
        <v>0</v>
      </c>
      <c r="E27" s="12">
        <f>IF(ISNUMBER(Knoten!C3),D27-$L$1*$E$1*B27,C27)</f>
        <v>0</v>
      </c>
      <c r="F27" s="12">
        <f>E27</f>
        <v>0</v>
      </c>
      <c r="G27" s="30">
        <f>D27</f>
        <v>0</v>
      </c>
      <c r="H27">
        <f>IF(ISNUMBER(Knoten!D3),Knoten!D3,KnotenData!$H$3)</f>
        <v>0.75</v>
      </c>
      <c r="I27">
        <f>H27</f>
        <v>0.75</v>
      </c>
      <c r="J27" s="12">
        <f>IF(ISNUMBER(Knoten!D3),I27-ABS(B27)*$J$1*$E$1,H27)</f>
        <v>0.75</v>
      </c>
      <c r="K27" s="12">
        <f>IF(ISNUMBER(Knoten!D3),J27+ABS(B27)*2*$J$1*$E$1,H27)</f>
        <v>0.75</v>
      </c>
      <c r="L27" s="30">
        <f>I27</f>
        <v>0.75</v>
      </c>
      <c r="N27" s="12"/>
      <c r="O27" s="12"/>
      <c r="P27" s="12"/>
      <c r="Q27" s="12"/>
      <c r="R27" s="12"/>
      <c r="S27" s="12"/>
      <c r="T27" s="12"/>
      <c r="U27" s="12"/>
      <c r="V27" s="12"/>
      <c r="W27" s="12"/>
      <c r="X27" s="12"/>
      <c r="Y27" s="12"/>
      <c r="Z27" s="12"/>
    </row>
    <row r="28" spans="1:41" x14ac:dyDescent="0.2">
      <c r="A28" s="30">
        <v>2</v>
      </c>
      <c r="B28" s="328">
        <f>SIGN(Knoten!H4)</f>
        <v>0</v>
      </c>
      <c r="C28">
        <f>IF(ISNUMBER(Knoten!C4),Knoten!C4-B28*(($H$1+1)*$E$1),KnotenData!$H$2)</f>
        <v>0.5</v>
      </c>
      <c r="D28">
        <f>IF(ISNUMBER(Knoten!C4),C28+B28*$E$1,C28)</f>
        <v>0.5</v>
      </c>
      <c r="E28" s="12">
        <f>IF(ISNUMBER(Knoten!C4),D28-$L$1*$E$1*B28,C28)</f>
        <v>0.5</v>
      </c>
      <c r="F28" s="12">
        <f t="shared" ref="F28:F46" si="4">E28</f>
        <v>0.5</v>
      </c>
      <c r="G28" s="30">
        <f t="shared" ref="G28:G46" si="5">D28</f>
        <v>0.5</v>
      </c>
      <c r="H28">
        <f>IF(ISNUMBER(Knoten!D4),Knoten!D4,KnotenData!$H$3)</f>
        <v>0.25</v>
      </c>
      <c r="I28">
        <f t="shared" ref="I28:I46" si="6">H28</f>
        <v>0.25</v>
      </c>
      <c r="J28" s="12">
        <f>IF(ISNUMBER(Knoten!D4),I28-ABS(B28)*$J$1*$E$1,H28)</f>
        <v>0.25</v>
      </c>
      <c r="K28" s="12">
        <f>IF(ISNUMBER(Knoten!D4),J28+ABS(B28)*2*$J$1*$E$1,H28)</f>
        <v>0.25</v>
      </c>
      <c r="L28" s="30">
        <f t="shared" ref="L28:L46" si="7">I28</f>
        <v>0.25</v>
      </c>
      <c r="N28" s="12"/>
      <c r="O28" s="12"/>
      <c r="P28" s="12"/>
      <c r="Q28" s="12"/>
      <c r="R28" s="12"/>
      <c r="S28" s="12"/>
      <c r="T28" s="12"/>
      <c r="U28" s="12"/>
      <c r="V28" s="12"/>
      <c r="W28" s="12"/>
      <c r="X28" s="12"/>
      <c r="Y28" s="12"/>
      <c r="Z28" s="12"/>
    </row>
    <row r="29" spans="1:41" x14ac:dyDescent="0.2">
      <c r="A29" s="30">
        <v>3</v>
      </c>
      <c r="B29" s="328">
        <f>SIGN(Knoten!H5)</f>
        <v>0</v>
      </c>
      <c r="C29">
        <f>IF(ISNUMBER(Knoten!C5),Knoten!C5-B29*(($H$1+1)*$E$1),KnotenData!$H$2)</f>
        <v>1</v>
      </c>
      <c r="D29">
        <f>IF(ISNUMBER(Knoten!C5),C29+B29*$E$1,C29)</f>
        <v>1</v>
      </c>
      <c r="E29" s="12">
        <f>IF(ISNUMBER(Knoten!C5),D29-$L$1*$E$1*B29,C29)</f>
        <v>1</v>
      </c>
      <c r="F29" s="12">
        <f t="shared" si="4"/>
        <v>1</v>
      </c>
      <c r="G29" s="30">
        <f t="shared" si="5"/>
        <v>1</v>
      </c>
      <c r="H29">
        <f>IF(ISNUMBER(Knoten!D5),Knoten!D5,KnotenData!$H$3)</f>
        <v>0.25</v>
      </c>
      <c r="I29">
        <f t="shared" si="6"/>
        <v>0.25</v>
      </c>
      <c r="J29" s="12">
        <f>IF(ISNUMBER(Knoten!D5),I29-ABS(B29)*$J$1*$E$1,H29)</f>
        <v>0.25</v>
      </c>
      <c r="K29" s="12">
        <f>IF(ISNUMBER(Knoten!D5),J29+ABS(B29)*2*$J$1*$E$1,H29)</f>
        <v>0.25</v>
      </c>
      <c r="L29" s="30">
        <f t="shared" si="7"/>
        <v>0.25</v>
      </c>
      <c r="N29" s="12"/>
      <c r="O29" s="12"/>
      <c r="P29" s="12"/>
      <c r="Q29" s="12"/>
      <c r="R29" s="12"/>
      <c r="S29" s="12"/>
      <c r="T29" s="12"/>
      <c r="U29" s="12"/>
      <c r="V29" s="12"/>
      <c r="W29" s="12"/>
      <c r="X29" s="12"/>
      <c r="Y29" s="12"/>
      <c r="Z29" s="12"/>
    </row>
    <row r="30" spans="1:41" x14ac:dyDescent="0.2">
      <c r="A30" s="30">
        <v>4</v>
      </c>
      <c r="B30" s="328">
        <f>SIGN(Knoten!H6)</f>
        <v>0</v>
      </c>
      <c r="C30">
        <f>IF(ISNUMBER(Knoten!C6),Knoten!C6-B30*(($H$1+1)*$E$1),KnotenData!$H$2)</f>
        <v>0.5</v>
      </c>
      <c r="D30">
        <f>IF(ISNUMBER(Knoten!C6),C30+B30*$E$1,C30)</f>
        <v>0.5</v>
      </c>
      <c r="E30" s="12">
        <f>IF(ISNUMBER(Knoten!C6),D30-$L$1*$E$1*B30,C30)</f>
        <v>0.5</v>
      </c>
      <c r="F30" s="12">
        <f t="shared" si="4"/>
        <v>0.5</v>
      </c>
      <c r="G30" s="30">
        <f t="shared" si="5"/>
        <v>0.5</v>
      </c>
      <c r="H30">
        <f>IF(ISNUMBER(Knoten!D6),Knoten!D6,KnotenData!$H$3)</f>
        <v>0.47499999999999998</v>
      </c>
      <c r="I30">
        <f t="shared" si="6"/>
        <v>0.47499999999999998</v>
      </c>
      <c r="J30" s="12">
        <f>IF(ISNUMBER(Knoten!D6),I30-ABS(B30)*$J$1*$E$1,H30)</f>
        <v>0.47499999999999998</v>
      </c>
      <c r="K30" s="12">
        <f>IF(ISNUMBER(Knoten!D6),J30+ABS(B30)*2*$J$1*$E$1,H30)</f>
        <v>0.47499999999999998</v>
      </c>
      <c r="L30" s="30">
        <f t="shared" si="7"/>
        <v>0.47499999999999998</v>
      </c>
      <c r="N30" s="12"/>
      <c r="O30" s="12"/>
      <c r="P30" s="12"/>
      <c r="Q30" s="12"/>
      <c r="R30" s="12"/>
      <c r="S30" s="12"/>
      <c r="T30" s="12"/>
      <c r="U30" s="12"/>
      <c r="V30" s="12"/>
      <c r="W30" s="12"/>
      <c r="X30" s="12"/>
      <c r="Y30" s="12"/>
      <c r="Z30" s="12"/>
    </row>
    <row r="31" spans="1:41" x14ac:dyDescent="0.2">
      <c r="A31" s="30">
        <v>5</v>
      </c>
      <c r="B31" s="328">
        <f>SIGN(Knoten!H7)</f>
        <v>0</v>
      </c>
      <c r="C31">
        <f>IF(ISNUMBER(Knoten!C7),Knoten!C7-B31*(($H$1+1)*$E$1),KnotenData!$H$2)</f>
        <v>0.5</v>
      </c>
      <c r="D31">
        <f>IF(ISNUMBER(Knoten!C7),C31+B31*$E$1,C31)</f>
        <v>0.5</v>
      </c>
      <c r="E31" s="12">
        <f>IF(ISNUMBER(Knoten!C7),D31-$L$1*$E$1*B31,C31)</f>
        <v>0.5</v>
      </c>
      <c r="F31" s="12">
        <f t="shared" si="4"/>
        <v>0.5</v>
      </c>
      <c r="G31" s="30">
        <f t="shared" si="5"/>
        <v>0.5</v>
      </c>
      <c r="H31">
        <f>IF(ISNUMBER(Knoten!D7),Knoten!D7,KnotenData!$H$3)</f>
        <v>0.47499999999999998</v>
      </c>
      <c r="I31">
        <f t="shared" si="6"/>
        <v>0.47499999999999998</v>
      </c>
      <c r="J31" s="12">
        <f>IF(ISNUMBER(Knoten!D7),I31-ABS(B31)*$J$1*$E$1,H31)</f>
        <v>0.47499999999999998</v>
      </c>
      <c r="K31" s="12">
        <f>IF(ISNUMBER(Knoten!D7),J31+ABS(B31)*2*$J$1*$E$1,H31)</f>
        <v>0.47499999999999998</v>
      </c>
      <c r="L31" s="30">
        <f t="shared" si="7"/>
        <v>0.47499999999999998</v>
      </c>
      <c r="N31" s="12"/>
      <c r="O31" s="12"/>
      <c r="P31" s="12"/>
      <c r="Q31" s="12"/>
      <c r="R31" s="12"/>
      <c r="S31" s="12"/>
      <c r="T31" s="12"/>
      <c r="U31" s="12"/>
      <c r="V31" s="12"/>
      <c r="W31" s="12"/>
      <c r="X31" s="12"/>
      <c r="Y31" s="12"/>
      <c r="Z31" s="12"/>
    </row>
    <row r="32" spans="1:41" x14ac:dyDescent="0.2">
      <c r="A32" s="30">
        <v>6</v>
      </c>
      <c r="B32" s="328">
        <f>SIGN(Knoten!H8)</f>
        <v>0</v>
      </c>
      <c r="C32">
        <f>IF(ISNUMBER(Knoten!C8),Knoten!C8-B32*(($H$1+1)*$E$1),KnotenData!$H$2)</f>
        <v>0.5</v>
      </c>
      <c r="D32">
        <f>IF(ISNUMBER(Knoten!C8),C32+B32*$E$1,C32)</f>
        <v>0.5</v>
      </c>
      <c r="E32" s="12">
        <f>IF(ISNUMBER(Knoten!C8),D32-$L$1*$E$1*B32,C32)</f>
        <v>0.5</v>
      </c>
      <c r="F32" s="12">
        <f t="shared" si="4"/>
        <v>0.5</v>
      </c>
      <c r="G32" s="30">
        <f t="shared" si="5"/>
        <v>0.5</v>
      </c>
      <c r="H32">
        <f>IF(ISNUMBER(Knoten!D8),Knoten!D8,KnotenData!$H$3)</f>
        <v>0.47499999999999998</v>
      </c>
      <c r="I32">
        <f t="shared" si="6"/>
        <v>0.47499999999999998</v>
      </c>
      <c r="J32" s="12">
        <f>IF(ISNUMBER(Knoten!D8),I32-ABS(B32)*$J$1*$E$1,H32)</f>
        <v>0.47499999999999998</v>
      </c>
      <c r="K32" s="12">
        <f>IF(ISNUMBER(Knoten!D8),J32+ABS(B32)*2*$J$1*$E$1,H32)</f>
        <v>0.47499999999999998</v>
      </c>
      <c r="L32" s="30">
        <f t="shared" si="7"/>
        <v>0.47499999999999998</v>
      </c>
      <c r="N32" s="12"/>
      <c r="O32" s="12"/>
      <c r="P32" s="12"/>
      <c r="Q32" s="12"/>
      <c r="R32" s="12"/>
      <c r="S32" s="12"/>
      <c r="T32" s="12"/>
      <c r="U32" s="12"/>
      <c r="V32" s="12"/>
      <c r="W32" s="12"/>
      <c r="X32" s="12"/>
      <c r="Y32" s="12"/>
      <c r="Z32" s="12"/>
    </row>
    <row r="33" spans="1:26" x14ac:dyDescent="0.2">
      <c r="A33" s="30">
        <v>7</v>
      </c>
      <c r="B33" s="328">
        <f>SIGN(Knoten!H9)</f>
        <v>0</v>
      </c>
      <c r="C33">
        <f>IF(ISNUMBER(Knoten!C9),Knoten!C9-B33*(($H$1+1)*$E$1),KnotenData!$H$2)</f>
        <v>0.5</v>
      </c>
      <c r="D33">
        <f>IF(ISNUMBER(Knoten!C9),C33+B33*$E$1,C33)</f>
        <v>0.5</v>
      </c>
      <c r="E33" s="12">
        <f>IF(ISNUMBER(Knoten!C9),D33-$L$1*$E$1*B33,C33)</f>
        <v>0.5</v>
      </c>
      <c r="F33" s="12">
        <f t="shared" si="4"/>
        <v>0.5</v>
      </c>
      <c r="G33" s="30">
        <f t="shared" si="5"/>
        <v>0.5</v>
      </c>
      <c r="H33">
        <f>IF(ISNUMBER(Knoten!D9),Knoten!D9,KnotenData!$H$3)</f>
        <v>0.47499999999999998</v>
      </c>
      <c r="I33">
        <f t="shared" si="6"/>
        <v>0.47499999999999998</v>
      </c>
      <c r="J33" s="12">
        <f>IF(ISNUMBER(Knoten!D9),I33-ABS(B33)*$J$1*$E$1,H33)</f>
        <v>0.47499999999999998</v>
      </c>
      <c r="K33" s="12">
        <f>IF(ISNUMBER(Knoten!D9),J33+ABS(B33)*2*$J$1*$E$1,H33)</f>
        <v>0.47499999999999998</v>
      </c>
      <c r="L33" s="30">
        <f t="shared" si="7"/>
        <v>0.47499999999999998</v>
      </c>
      <c r="N33" s="12"/>
      <c r="O33" s="12"/>
      <c r="P33" s="12"/>
      <c r="Q33" s="12"/>
      <c r="R33" s="12"/>
      <c r="S33" s="12"/>
      <c r="T33" s="12"/>
      <c r="U33" s="12"/>
      <c r="V33" s="12"/>
      <c r="W33" s="12"/>
      <c r="X33" s="12"/>
      <c r="Y33" s="12"/>
      <c r="Z33" s="12"/>
    </row>
    <row r="34" spans="1:26" x14ac:dyDescent="0.2">
      <c r="A34" s="30">
        <v>8</v>
      </c>
      <c r="B34" s="328">
        <f>SIGN(Knoten!H10)</f>
        <v>0</v>
      </c>
      <c r="C34">
        <f>IF(ISNUMBER(Knoten!C10),Knoten!C10-B34*(($H$1+1)*$E$1),KnotenData!$H$2)</f>
        <v>0.5</v>
      </c>
      <c r="D34">
        <f>IF(ISNUMBER(Knoten!C10),C34+B34*$E$1,C34)</f>
        <v>0.5</v>
      </c>
      <c r="E34" s="12">
        <f>IF(ISNUMBER(Knoten!C10),D34-$L$1*$E$1*B34,C34)</f>
        <v>0.5</v>
      </c>
      <c r="F34" s="12">
        <f t="shared" si="4"/>
        <v>0.5</v>
      </c>
      <c r="G34" s="30">
        <f t="shared" si="5"/>
        <v>0.5</v>
      </c>
      <c r="H34">
        <f>IF(ISNUMBER(Knoten!D10),Knoten!D10,KnotenData!$H$3)</f>
        <v>0.47499999999999998</v>
      </c>
      <c r="I34">
        <f t="shared" si="6"/>
        <v>0.47499999999999998</v>
      </c>
      <c r="J34" s="12">
        <f>IF(ISNUMBER(Knoten!D10),I34-ABS(B34)*$J$1*$E$1,H34)</f>
        <v>0.47499999999999998</v>
      </c>
      <c r="K34" s="12">
        <f>IF(ISNUMBER(Knoten!D10),J34+ABS(B34)*2*$J$1*$E$1,H34)</f>
        <v>0.47499999999999998</v>
      </c>
      <c r="L34" s="30">
        <f t="shared" si="7"/>
        <v>0.47499999999999998</v>
      </c>
      <c r="N34" s="12"/>
      <c r="O34" s="12"/>
      <c r="P34" s="12"/>
      <c r="Q34" s="12"/>
      <c r="R34" s="12"/>
      <c r="S34" s="12"/>
      <c r="T34" s="12"/>
      <c r="U34" s="12"/>
      <c r="V34" s="12"/>
      <c r="W34" s="12"/>
      <c r="X34" s="12"/>
      <c r="Y34" s="12"/>
      <c r="Z34" s="12"/>
    </row>
    <row r="35" spans="1:26" x14ac:dyDescent="0.2">
      <c r="A35" s="30">
        <v>9</v>
      </c>
      <c r="B35" s="328">
        <f>SIGN(Knoten!H11)</f>
        <v>0</v>
      </c>
      <c r="C35">
        <f>IF(ISNUMBER(Knoten!C11),Knoten!C11-B35*(($H$1+1)*$E$1),KnotenData!$H$2)</f>
        <v>0.5</v>
      </c>
      <c r="D35">
        <f>IF(ISNUMBER(Knoten!C11),C35+B35*$E$1,C35)</f>
        <v>0.5</v>
      </c>
      <c r="E35" s="12">
        <f>IF(ISNUMBER(Knoten!C11),D35-$L$1*$E$1*B35,C35)</f>
        <v>0.5</v>
      </c>
      <c r="F35" s="12">
        <f t="shared" si="4"/>
        <v>0.5</v>
      </c>
      <c r="G35" s="30">
        <f t="shared" si="5"/>
        <v>0.5</v>
      </c>
      <c r="H35">
        <f>IF(ISNUMBER(Knoten!D11),Knoten!D11,KnotenData!$H$3)</f>
        <v>0.47499999999999998</v>
      </c>
      <c r="I35">
        <f t="shared" si="6"/>
        <v>0.47499999999999998</v>
      </c>
      <c r="J35" s="12">
        <f>IF(ISNUMBER(Knoten!D11),I35-ABS(B35)*$J$1*$E$1,H35)</f>
        <v>0.47499999999999998</v>
      </c>
      <c r="K35" s="12">
        <f>IF(ISNUMBER(Knoten!D11),J35+ABS(B35)*2*$J$1*$E$1,H35)</f>
        <v>0.47499999999999998</v>
      </c>
      <c r="L35" s="30">
        <f t="shared" si="7"/>
        <v>0.47499999999999998</v>
      </c>
      <c r="N35" s="12"/>
      <c r="O35" s="12"/>
      <c r="P35" s="12"/>
      <c r="Q35" s="12"/>
      <c r="R35" s="12"/>
      <c r="S35" s="12"/>
      <c r="T35" s="12"/>
      <c r="U35" s="12"/>
      <c r="V35" s="12"/>
      <c r="W35" s="12"/>
      <c r="X35" s="12"/>
      <c r="Y35" s="12"/>
      <c r="Z35" s="12"/>
    </row>
    <row r="36" spans="1:26" x14ac:dyDescent="0.2">
      <c r="A36" s="30">
        <v>10</v>
      </c>
      <c r="B36" s="328">
        <f>SIGN(Knoten!H12)</f>
        <v>0</v>
      </c>
      <c r="C36">
        <f>IF(ISNUMBER(Knoten!C12),Knoten!C12-B36*(($H$1+1)*$E$1),KnotenData!$H$2)</f>
        <v>0.5</v>
      </c>
      <c r="D36">
        <f>IF(ISNUMBER(Knoten!C12),C36+B36*$E$1,C36)</f>
        <v>0.5</v>
      </c>
      <c r="E36" s="12">
        <f>IF(ISNUMBER(Knoten!C12),D36-$L$1*$E$1*B36,C36)</f>
        <v>0.5</v>
      </c>
      <c r="F36" s="12">
        <f t="shared" si="4"/>
        <v>0.5</v>
      </c>
      <c r="G36" s="30">
        <f t="shared" si="5"/>
        <v>0.5</v>
      </c>
      <c r="H36">
        <f>IF(ISNUMBER(Knoten!D12),Knoten!D12,KnotenData!$H$3)</f>
        <v>0.47499999999999998</v>
      </c>
      <c r="I36">
        <f t="shared" si="6"/>
        <v>0.47499999999999998</v>
      </c>
      <c r="J36" s="12">
        <f>IF(ISNUMBER(Knoten!D12),I36-ABS(B36)*$J$1*$E$1,H36)</f>
        <v>0.47499999999999998</v>
      </c>
      <c r="K36" s="12">
        <f>IF(ISNUMBER(Knoten!D12),J36+ABS(B36)*2*$J$1*$E$1,H36)</f>
        <v>0.47499999999999998</v>
      </c>
      <c r="L36" s="30">
        <f t="shared" si="7"/>
        <v>0.47499999999999998</v>
      </c>
      <c r="N36" s="12"/>
      <c r="O36" s="12"/>
      <c r="P36" s="12"/>
      <c r="Q36" s="12"/>
      <c r="R36" s="12"/>
      <c r="S36" s="12"/>
      <c r="T36" s="12"/>
      <c r="U36" s="12"/>
      <c r="V36" s="12"/>
      <c r="W36" s="12"/>
      <c r="X36" s="12"/>
      <c r="Y36" s="12"/>
      <c r="Z36" s="12"/>
    </row>
    <row r="37" spans="1:26" x14ac:dyDescent="0.2">
      <c r="A37" s="30">
        <v>11</v>
      </c>
      <c r="B37" s="328">
        <f>SIGN(Knoten!H13)</f>
        <v>0</v>
      </c>
      <c r="C37">
        <f>IF(ISNUMBER(Knoten!C13),Knoten!C13-B37*(($H$1+1)*$E$1),KnotenData!$H$2)</f>
        <v>0.5</v>
      </c>
      <c r="D37">
        <f>IF(ISNUMBER(Knoten!C13),C37+B37*$E$1,C37)</f>
        <v>0.5</v>
      </c>
      <c r="E37" s="12">
        <f>IF(ISNUMBER(Knoten!C13),D37-$L$1*$E$1*B37,C37)</f>
        <v>0.5</v>
      </c>
      <c r="F37" s="12">
        <f t="shared" si="4"/>
        <v>0.5</v>
      </c>
      <c r="G37" s="30">
        <f t="shared" si="5"/>
        <v>0.5</v>
      </c>
      <c r="H37">
        <f>IF(ISNUMBER(Knoten!D13),Knoten!D13,KnotenData!$H$3)</f>
        <v>0.47499999999999998</v>
      </c>
      <c r="I37">
        <f t="shared" si="6"/>
        <v>0.47499999999999998</v>
      </c>
      <c r="J37" s="12">
        <f>IF(ISNUMBER(Knoten!D13),I37-ABS(B37)*$J$1*$E$1,H37)</f>
        <v>0.47499999999999998</v>
      </c>
      <c r="K37" s="12">
        <f>IF(ISNUMBER(Knoten!D13),J37+ABS(B37)*2*$J$1*$E$1,H37)</f>
        <v>0.47499999999999998</v>
      </c>
      <c r="L37" s="30">
        <f t="shared" si="7"/>
        <v>0.47499999999999998</v>
      </c>
      <c r="N37" s="12"/>
      <c r="O37" s="12"/>
      <c r="P37" s="12"/>
      <c r="Q37" s="12"/>
      <c r="R37" s="12"/>
      <c r="S37" s="12"/>
      <c r="T37" s="12"/>
      <c r="U37" s="12"/>
      <c r="V37" s="12"/>
      <c r="W37" s="12"/>
      <c r="X37" s="12"/>
      <c r="Y37" s="12"/>
      <c r="Z37" s="12"/>
    </row>
    <row r="38" spans="1:26" x14ac:dyDescent="0.2">
      <c r="A38" s="30">
        <v>12</v>
      </c>
      <c r="B38" s="328">
        <f>SIGN(Knoten!H14)</f>
        <v>0</v>
      </c>
      <c r="C38">
        <f>IF(ISNUMBER(Knoten!C14),Knoten!C14-B38*(($H$1+1)*$E$1),KnotenData!$H$2)</f>
        <v>0.5</v>
      </c>
      <c r="D38">
        <f>IF(ISNUMBER(Knoten!C14),C38+B38*$E$1,C38)</f>
        <v>0.5</v>
      </c>
      <c r="E38" s="12">
        <f>IF(ISNUMBER(Knoten!C14),D38-$L$1*$E$1*B38,C38)</f>
        <v>0.5</v>
      </c>
      <c r="F38" s="12">
        <f t="shared" si="4"/>
        <v>0.5</v>
      </c>
      <c r="G38" s="30">
        <f t="shared" si="5"/>
        <v>0.5</v>
      </c>
      <c r="H38">
        <f>IF(ISNUMBER(Knoten!D14),Knoten!D14,KnotenData!$H$3)</f>
        <v>0.47499999999999998</v>
      </c>
      <c r="I38">
        <f t="shared" si="6"/>
        <v>0.47499999999999998</v>
      </c>
      <c r="J38" s="12">
        <f>IF(ISNUMBER(Knoten!D14),I38-ABS(B38)*$J$1*$E$1,H38)</f>
        <v>0.47499999999999998</v>
      </c>
      <c r="K38" s="12">
        <f>IF(ISNUMBER(Knoten!D14),J38+ABS(B38)*2*$J$1*$E$1,H38)</f>
        <v>0.47499999999999998</v>
      </c>
      <c r="L38" s="30">
        <f t="shared" si="7"/>
        <v>0.47499999999999998</v>
      </c>
      <c r="N38" s="12"/>
      <c r="O38" s="12"/>
      <c r="P38" s="12"/>
      <c r="Q38" s="12"/>
      <c r="R38" s="12"/>
      <c r="S38" s="12"/>
      <c r="T38" s="12"/>
      <c r="U38" s="12"/>
      <c r="V38" s="12"/>
      <c r="W38" s="12"/>
      <c r="X38" s="12"/>
      <c r="Y38" s="12"/>
      <c r="Z38" s="12"/>
    </row>
    <row r="39" spans="1:26" x14ac:dyDescent="0.2">
      <c r="A39" s="30">
        <v>13</v>
      </c>
      <c r="B39" s="328">
        <f>SIGN(Knoten!H15)</f>
        <v>0</v>
      </c>
      <c r="C39">
        <f>IF(ISNUMBER(Knoten!C15),Knoten!C15-B39*(($H$1+1)*$E$1),KnotenData!$H$2)</f>
        <v>0.5</v>
      </c>
      <c r="D39">
        <f>IF(ISNUMBER(Knoten!C15),C39+B39*$E$1,C39)</f>
        <v>0.5</v>
      </c>
      <c r="E39" s="12">
        <f>IF(ISNUMBER(Knoten!C15),D39-$L$1*$E$1*B39,C39)</f>
        <v>0.5</v>
      </c>
      <c r="F39" s="12">
        <f t="shared" si="4"/>
        <v>0.5</v>
      </c>
      <c r="G39" s="30">
        <f t="shared" si="5"/>
        <v>0.5</v>
      </c>
      <c r="H39">
        <f>IF(ISNUMBER(Knoten!D15),Knoten!D15,KnotenData!$H$3)</f>
        <v>0.47499999999999998</v>
      </c>
      <c r="I39">
        <f t="shared" si="6"/>
        <v>0.47499999999999998</v>
      </c>
      <c r="J39" s="12">
        <f>IF(ISNUMBER(Knoten!D15),I39-ABS(B39)*$J$1*$E$1,H39)</f>
        <v>0.47499999999999998</v>
      </c>
      <c r="K39" s="12">
        <f>IF(ISNUMBER(Knoten!D15),J39+ABS(B39)*2*$J$1*$E$1,H39)</f>
        <v>0.47499999999999998</v>
      </c>
      <c r="L39" s="30">
        <f t="shared" si="7"/>
        <v>0.47499999999999998</v>
      </c>
      <c r="N39" s="12"/>
      <c r="T39" s="12"/>
      <c r="U39" s="12"/>
      <c r="V39" s="12"/>
      <c r="W39" s="12"/>
      <c r="X39" s="12"/>
      <c r="Y39" s="12"/>
      <c r="Z39" s="12"/>
    </row>
    <row r="40" spans="1:26" x14ac:dyDescent="0.2">
      <c r="A40" s="30">
        <v>14</v>
      </c>
      <c r="B40" s="328">
        <f>SIGN(Knoten!H16)</f>
        <v>0</v>
      </c>
      <c r="C40">
        <f>IF(ISNUMBER(Knoten!C16),Knoten!C16-B40*(($H$1+1)*$E$1),KnotenData!$H$2)</f>
        <v>0.5</v>
      </c>
      <c r="D40">
        <f>IF(ISNUMBER(Knoten!C16),C40+B40*$E$1,C40)</f>
        <v>0.5</v>
      </c>
      <c r="E40" s="12">
        <f>IF(ISNUMBER(Knoten!C16),D40-$L$1*$E$1*B40,C40)</f>
        <v>0.5</v>
      </c>
      <c r="F40" s="12">
        <f t="shared" si="4"/>
        <v>0.5</v>
      </c>
      <c r="G40" s="30">
        <f t="shared" si="5"/>
        <v>0.5</v>
      </c>
      <c r="H40">
        <f>IF(ISNUMBER(Knoten!D16),Knoten!D16,KnotenData!$H$3)</f>
        <v>0.47499999999999998</v>
      </c>
      <c r="I40">
        <f t="shared" si="6"/>
        <v>0.47499999999999998</v>
      </c>
      <c r="J40" s="12">
        <f>IF(ISNUMBER(Knoten!D16),I40-ABS(B40)*$J$1*$E$1,H40)</f>
        <v>0.47499999999999998</v>
      </c>
      <c r="K40" s="12">
        <f>IF(ISNUMBER(Knoten!D16),J40+ABS(B40)*2*$J$1*$E$1,H40)</f>
        <v>0.47499999999999998</v>
      </c>
      <c r="L40" s="30">
        <f t="shared" si="7"/>
        <v>0.47499999999999998</v>
      </c>
      <c r="N40" s="12"/>
      <c r="O40" s="12"/>
      <c r="P40" s="12"/>
      <c r="Q40" s="12"/>
      <c r="R40" s="12"/>
      <c r="S40" s="12"/>
      <c r="T40" s="12"/>
      <c r="U40" s="12"/>
      <c r="V40" s="12"/>
      <c r="W40" s="12"/>
      <c r="X40" s="12"/>
      <c r="Y40" s="12"/>
      <c r="Z40" s="12"/>
    </row>
    <row r="41" spans="1:26" x14ac:dyDescent="0.2">
      <c r="A41" s="30">
        <v>15</v>
      </c>
      <c r="B41" s="328">
        <f>SIGN(Knoten!H17)</f>
        <v>0</v>
      </c>
      <c r="C41">
        <f>IF(ISNUMBER(Knoten!C17),Knoten!C17-B41*(($H$1+1)*$E$1),KnotenData!$H$2)</f>
        <v>0.5</v>
      </c>
      <c r="D41">
        <f>IF(ISNUMBER(Knoten!C17),C41+B41*$E$1,C41)</f>
        <v>0.5</v>
      </c>
      <c r="E41" s="12">
        <f>IF(ISNUMBER(Knoten!C17),D41-$L$1*$E$1*B41,C41)</f>
        <v>0.5</v>
      </c>
      <c r="F41" s="12">
        <f t="shared" si="4"/>
        <v>0.5</v>
      </c>
      <c r="G41" s="30">
        <f t="shared" si="5"/>
        <v>0.5</v>
      </c>
      <c r="H41">
        <f>IF(ISNUMBER(Knoten!D17),Knoten!D17,KnotenData!$H$3)</f>
        <v>0.47499999999999998</v>
      </c>
      <c r="I41">
        <f t="shared" si="6"/>
        <v>0.47499999999999998</v>
      </c>
      <c r="J41" s="12">
        <f>IF(ISNUMBER(Knoten!D17),I41-ABS(B41)*$J$1*$E$1,H41)</f>
        <v>0.47499999999999998</v>
      </c>
      <c r="K41" s="12">
        <f>IF(ISNUMBER(Knoten!D17),J41+ABS(B41)*2*$J$1*$E$1,H41)</f>
        <v>0.47499999999999998</v>
      </c>
      <c r="L41" s="30">
        <f t="shared" si="7"/>
        <v>0.47499999999999998</v>
      </c>
      <c r="N41" s="12"/>
      <c r="O41" s="12"/>
      <c r="P41" s="12"/>
      <c r="Q41" s="12"/>
      <c r="R41" s="12"/>
      <c r="S41" s="12"/>
      <c r="T41" s="12"/>
      <c r="U41" s="12"/>
      <c r="V41" s="12"/>
      <c r="W41" s="12"/>
      <c r="X41" s="12"/>
      <c r="Y41" s="12"/>
      <c r="Z41" s="12"/>
    </row>
    <row r="42" spans="1:26" x14ac:dyDescent="0.2">
      <c r="A42" s="30">
        <v>16</v>
      </c>
      <c r="B42" s="328">
        <f>SIGN(Knoten!H18)</f>
        <v>0</v>
      </c>
      <c r="C42">
        <f>IF(ISNUMBER(Knoten!C18),Knoten!C18-B42*(($H$1+1)*$E$1),KnotenData!$H$2)</f>
        <v>0.5</v>
      </c>
      <c r="D42">
        <f>IF(ISNUMBER(Knoten!C18),C42+B42*$E$1,C42)</f>
        <v>0.5</v>
      </c>
      <c r="E42" s="12">
        <f>IF(ISNUMBER(Knoten!C18),D42-$L$1*$E$1*B42,C42)</f>
        <v>0.5</v>
      </c>
      <c r="F42" s="12">
        <f t="shared" si="4"/>
        <v>0.5</v>
      </c>
      <c r="G42" s="30">
        <f t="shared" si="5"/>
        <v>0.5</v>
      </c>
      <c r="H42">
        <f>IF(ISNUMBER(Knoten!D18),Knoten!D18,KnotenData!$H$3)</f>
        <v>0.47499999999999998</v>
      </c>
      <c r="I42">
        <f t="shared" si="6"/>
        <v>0.47499999999999998</v>
      </c>
      <c r="J42" s="12">
        <f>IF(ISNUMBER(Knoten!D18),I42-ABS(B42)*$J$1*$E$1,H42)</f>
        <v>0.47499999999999998</v>
      </c>
      <c r="K42" s="12">
        <f>IF(ISNUMBER(Knoten!D18),J42+ABS(B42)*2*$J$1*$E$1,H42)</f>
        <v>0.47499999999999998</v>
      </c>
      <c r="L42" s="30">
        <f t="shared" si="7"/>
        <v>0.47499999999999998</v>
      </c>
      <c r="N42" s="12"/>
      <c r="O42" s="12"/>
      <c r="P42" s="12"/>
      <c r="Q42" s="12"/>
      <c r="R42" s="12"/>
      <c r="S42" s="12"/>
      <c r="T42" s="12"/>
      <c r="U42" s="12"/>
      <c r="V42" s="12"/>
      <c r="W42" s="12"/>
      <c r="X42" s="12"/>
      <c r="Y42" s="12"/>
      <c r="Z42" s="12"/>
    </row>
    <row r="43" spans="1:26" x14ac:dyDescent="0.2">
      <c r="A43" s="30">
        <v>17</v>
      </c>
      <c r="B43" s="328">
        <f>SIGN(Knoten!H19)</f>
        <v>0</v>
      </c>
      <c r="C43">
        <f>IF(ISNUMBER(Knoten!C19),Knoten!C19-B43*(($H$1+1)*$E$1),KnotenData!$H$2)</f>
        <v>0.5</v>
      </c>
      <c r="D43">
        <f>IF(ISNUMBER(Knoten!C19),C43+B43*$E$1,C43)</f>
        <v>0.5</v>
      </c>
      <c r="E43" s="12">
        <f>IF(ISNUMBER(Knoten!C19),D43-$L$1*$E$1*B43,C43)</f>
        <v>0.5</v>
      </c>
      <c r="F43" s="12">
        <f t="shared" si="4"/>
        <v>0.5</v>
      </c>
      <c r="G43" s="30">
        <f t="shared" si="5"/>
        <v>0.5</v>
      </c>
      <c r="H43">
        <f>IF(ISNUMBER(Knoten!D19),Knoten!D19,KnotenData!$H$3)</f>
        <v>0.47499999999999998</v>
      </c>
      <c r="I43">
        <f t="shared" si="6"/>
        <v>0.47499999999999998</v>
      </c>
      <c r="J43" s="12">
        <f>IF(ISNUMBER(Knoten!D19),I43-ABS(B43)*$J$1*$E$1,H43)</f>
        <v>0.47499999999999998</v>
      </c>
      <c r="K43" s="12">
        <f>IF(ISNUMBER(Knoten!D19),J43+ABS(B43)*2*$J$1*$E$1,H43)</f>
        <v>0.47499999999999998</v>
      </c>
      <c r="L43" s="30">
        <f t="shared" si="7"/>
        <v>0.47499999999999998</v>
      </c>
      <c r="N43" s="12"/>
      <c r="O43" s="12"/>
      <c r="P43" s="12"/>
      <c r="Q43" s="12"/>
      <c r="R43" s="12"/>
      <c r="S43" s="12"/>
      <c r="T43" s="12"/>
      <c r="U43" s="12"/>
      <c r="V43" s="12"/>
      <c r="W43" s="12"/>
      <c r="X43" s="12"/>
      <c r="Y43" s="12"/>
      <c r="Z43" s="12"/>
    </row>
    <row r="44" spans="1:26" x14ac:dyDescent="0.2">
      <c r="A44" s="30">
        <v>18</v>
      </c>
      <c r="B44" s="328">
        <f>SIGN(Knoten!H20)</f>
        <v>0</v>
      </c>
      <c r="C44">
        <f>IF(ISNUMBER(Knoten!C20),Knoten!C20-B44*(($H$1+1)*$E$1),KnotenData!$H$2)</f>
        <v>0.5</v>
      </c>
      <c r="D44">
        <f>IF(ISNUMBER(Knoten!C20),C44+B44*$E$1,C44)</f>
        <v>0.5</v>
      </c>
      <c r="E44" s="12">
        <f>IF(ISNUMBER(Knoten!C20),D44-$L$1*$E$1*B44,C44)</f>
        <v>0.5</v>
      </c>
      <c r="F44" s="12">
        <f t="shared" si="4"/>
        <v>0.5</v>
      </c>
      <c r="G44" s="30">
        <f t="shared" si="5"/>
        <v>0.5</v>
      </c>
      <c r="H44">
        <f>IF(ISNUMBER(Knoten!D20),Knoten!D20,KnotenData!$H$3)</f>
        <v>0.47499999999999998</v>
      </c>
      <c r="I44">
        <f t="shared" si="6"/>
        <v>0.47499999999999998</v>
      </c>
      <c r="J44" s="12">
        <f>IF(ISNUMBER(Knoten!D20),I44-ABS(B44)*$J$1*$E$1,H44)</f>
        <v>0.47499999999999998</v>
      </c>
      <c r="K44" s="12">
        <f>IF(ISNUMBER(Knoten!D20),J44+ABS(B44)*2*$J$1*$E$1,H44)</f>
        <v>0.47499999999999998</v>
      </c>
      <c r="L44" s="30">
        <f t="shared" si="7"/>
        <v>0.47499999999999998</v>
      </c>
      <c r="N44" s="12"/>
      <c r="O44" s="12"/>
      <c r="P44" s="12"/>
      <c r="Q44" s="12"/>
      <c r="R44" s="12"/>
      <c r="S44" s="12"/>
      <c r="T44" s="12"/>
      <c r="U44" s="12"/>
      <c r="V44" s="12"/>
      <c r="W44" s="12"/>
      <c r="X44" s="12"/>
      <c r="Y44" s="12"/>
      <c r="Z44" s="12"/>
    </row>
    <row r="45" spans="1:26" x14ac:dyDescent="0.2">
      <c r="A45" s="30">
        <v>19</v>
      </c>
      <c r="B45" s="328">
        <f>SIGN(Knoten!H21)</f>
        <v>0</v>
      </c>
      <c r="C45">
        <f>IF(ISNUMBER(Knoten!C21),Knoten!C21-B45*(($H$1+1)*$E$1),KnotenData!$H$2)</f>
        <v>0.5</v>
      </c>
      <c r="D45">
        <f>IF(ISNUMBER(Knoten!C21),C45+B45*$E$1,C45)</f>
        <v>0.5</v>
      </c>
      <c r="E45" s="12">
        <f>IF(ISNUMBER(Knoten!C21),D45-$L$1*$E$1*B45,C45)</f>
        <v>0.5</v>
      </c>
      <c r="F45" s="12">
        <f t="shared" si="4"/>
        <v>0.5</v>
      </c>
      <c r="G45" s="30">
        <f t="shared" si="5"/>
        <v>0.5</v>
      </c>
      <c r="H45">
        <f>IF(ISNUMBER(Knoten!D21),Knoten!D21,KnotenData!$H$3)</f>
        <v>0.47499999999999998</v>
      </c>
      <c r="I45">
        <f t="shared" si="6"/>
        <v>0.47499999999999998</v>
      </c>
      <c r="J45" s="12">
        <f>IF(ISNUMBER(Knoten!D21),I45-ABS(B45)*$J$1*$E$1,H45)</f>
        <v>0.47499999999999998</v>
      </c>
      <c r="K45" s="12">
        <f>IF(ISNUMBER(Knoten!D21),J45+ABS(B45)*2*$J$1*$E$1,H45)</f>
        <v>0.47499999999999998</v>
      </c>
      <c r="L45" s="30">
        <f t="shared" si="7"/>
        <v>0.47499999999999998</v>
      </c>
      <c r="N45" s="12"/>
      <c r="O45" s="12"/>
      <c r="P45" s="12"/>
      <c r="Q45" s="12"/>
      <c r="R45" s="12"/>
      <c r="S45" s="12"/>
      <c r="T45" s="12"/>
      <c r="U45" s="12"/>
      <c r="V45" s="12"/>
      <c r="W45" s="12"/>
      <c r="X45" s="12"/>
      <c r="Y45" s="12"/>
      <c r="Z45" s="12"/>
    </row>
    <row r="46" spans="1:26" x14ac:dyDescent="0.2">
      <c r="A46" s="30">
        <v>20</v>
      </c>
      <c r="B46" s="328">
        <f>SIGN(Knoten!H22)</f>
        <v>0</v>
      </c>
      <c r="C46">
        <f>IF(ISNUMBER(Knoten!C22),Knoten!C22-B46*(($H$1+1)*$E$1),KnotenData!$H$2)</f>
        <v>0.5</v>
      </c>
      <c r="D46">
        <f>IF(ISNUMBER(Knoten!C22),C46+B46*$E$1,C46)</f>
        <v>0.5</v>
      </c>
      <c r="E46" s="12">
        <f>IF(ISNUMBER(Knoten!C22),D46-$L$1*$E$1*B46,C46)</f>
        <v>0.5</v>
      </c>
      <c r="F46" s="12">
        <f t="shared" si="4"/>
        <v>0.5</v>
      </c>
      <c r="G46" s="30">
        <f t="shared" si="5"/>
        <v>0.5</v>
      </c>
      <c r="H46">
        <f>IF(ISNUMBER(Knoten!D22),Knoten!D22,KnotenData!$H$3)</f>
        <v>0.47499999999999998</v>
      </c>
      <c r="I46">
        <f t="shared" si="6"/>
        <v>0.47499999999999998</v>
      </c>
      <c r="J46" s="12">
        <f>IF(ISNUMBER(Knoten!D22),I46-ABS(B46)*$J$1*$E$1,H46)</f>
        <v>0.47499999999999998</v>
      </c>
      <c r="K46" s="12">
        <f>IF(ISNUMBER(Knoten!D22),J46+ABS(B46)*2*$J$1*$E$1,H46)</f>
        <v>0.47499999999999998</v>
      </c>
      <c r="L46" s="30">
        <f t="shared" si="7"/>
        <v>0.47499999999999998</v>
      </c>
      <c r="N46" s="12"/>
      <c r="O46" s="12"/>
      <c r="P46" s="12"/>
      <c r="Q46" s="12"/>
      <c r="R46" s="12"/>
      <c r="S46" s="12"/>
      <c r="T46" s="12"/>
      <c r="U46" s="12"/>
      <c r="V46" s="12"/>
      <c r="W46" s="12"/>
      <c r="X46" s="12"/>
      <c r="Y46" s="12"/>
      <c r="Z46" s="12"/>
    </row>
    <row r="47" spans="1:26" ht="13.5" thickBot="1" x14ac:dyDescent="0.25">
      <c r="N47" s="12"/>
      <c r="O47" s="12"/>
      <c r="P47" s="12"/>
      <c r="Q47" s="12"/>
      <c r="R47" s="12"/>
      <c r="S47" s="12"/>
      <c r="T47" s="12"/>
      <c r="U47" s="12"/>
      <c r="V47" s="12"/>
      <c r="W47" s="12"/>
      <c r="X47" s="12"/>
      <c r="Y47" s="12"/>
      <c r="Z47" s="12"/>
    </row>
    <row r="48" spans="1:26" ht="13.5" thickBot="1" x14ac:dyDescent="0.25">
      <c r="C48" s="298" t="s">
        <v>126</v>
      </c>
      <c r="D48" s="75">
        <f>PI()*7/4</f>
        <v>5.497787143782138</v>
      </c>
      <c r="E48" s="327" t="s">
        <v>127</v>
      </c>
      <c r="F48" s="326">
        <f>PI()*5/4</f>
        <v>3.9269908169872414</v>
      </c>
      <c r="G48" s="327" t="s">
        <v>130</v>
      </c>
      <c r="H48" s="75">
        <f>(D48+F48)/2</f>
        <v>4.7123889803846897</v>
      </c>
      <c r="I48" s="327" t="s">
        <v>128</v>
      </c>
      <c r="J48" s="75">
        <f>(F48-D48)/2</f>
        <v>-0.78539816339744828</v>
      </c>
      <c r="K48" s="327" t="s">
        <v>129</v>
      </c>
      <c r="L48" s="326">
        <f>(1-R48)*J48*2/5</f>
        <v>-0.23561944901923448</v>
      </c>
      <c r="M48" s="327" t="s">
        <v>78</v>
      </c>
      <c r="N48" s="326">
        <f>-$J$48+5*$L$48</f>
        <v>-0.39269908169872414</v>
      </c>
      <c r="O48" s="327" t="s">
        <v>131</v>
      </c>
      <c r="P48" s="326">
        <v>1.5</v>
      </c>
      <c r="Q48" s="327" t="s">
        <v>124</v>
      </c>
      <c r="R48" s="75">
        <v>0.25</v>
      </c>
      <c r="S48" s="340" t="s">
        <v>91</v>
      </c>
      <c r="T48" s="75">
        <v>0.2</v>
      </c>
      <c r="U48" s="327" t="s">
        <v>90</v>
      </c>
      <c r="V48" s="75">
        <f>T48*KnotenData!$H$4</f>
        <v>0.12553983431564661</v>
      </c>
      <c r="W48" s="12"/>
      <c r="X48" s="12"/>
      <c r="Y48" s="12"/>
      <c r="Z48" s="12"/>
    </row>
    <row r="49" spans="1:26" ht="13.5" thickBot="1" x14ac:dyDescent="0.25">
      <c r="A49" s="329" t="s">
        <v>122</v>
      </c>
      <c r="B49" s="89"/>
      <c r="C49" s="331" t="s">
        <v>1</v>
      </c>
      <c r="D49" s="332"/>
      <c r="E49" s="332"/>
      <c r="F49" s="332"/>
      <c r="G49" s="332"/>
      <c r="H49" s="338"/>
      <c r="I49" s="338"/>
      <c r="J49" s="338"/>
      <c r="K49" s="338"/>
      <c r="L49" s="89"/>
      <c r="M49" s="332" t="s">
        <v>111</v>
      </c>
      <c r="N49" s="332"/>
      <c r="O49" s="332"/>
      <c r="P49" s="332"/>
      <c r="Q49" s="332"/>
      <c r="R49" s="332"/>
      <c r="S49" s="332"/>
      <c r="T49" s="332"/>
      <c r="U49" s="332"/>
      <c r="V49" s="333"/>
      <c r="W49" s="334"/>
      <c r="X49" s="334"/>
      <c r="Y49" s="334"/>
      <c r="Z49" s="12"/>
    </row>
    <row r="50" spans="1:26" x14ac:dyDescent="0.2">
      <c r="A50" s="30">
        <v>1</v>
      </c>
      <c r="B50" s="328">
        <f>SIGN(Knoten!J3)</f>
        <v>0</v>
      </c>
      <c r="C50">
        <f>IF(AND(ISNUMBER(Knoten!C3),B50&lt;&gt;0),Knoten!C3+$V$48*COS($H$48-B50*$J$48),KnotenData!$H$2)</f>
        <v>0.5</v>
      </c>
      <c r="D50">
        <f>IF(AND(ISNUMBER(Knoten!C3),B50&lt;&gt;0),Knoten!$C3+$V$48*COS($H$48+$B50*(-$J$48+$L$48)),KnotenData!$H$2)</f>
        <v>0.5</v>
      </c>
      <c r="E50">
        <f>IF(AND(ISNUMBER(Knoten!C3),B50&lt;&gt;0),Knoten!$C3+$V$48*COS($H$48+$B50*(-$J$48+2*$L$48)),KnotenData!$H$2)</f>
        <v>0.5</v>
      </c>
      <c r="F50">
        <f>IF(AND(ISNUMBER(Knoten!C3),B50&lt;&gt;0),Knoten!$C3+$V$48*COS($H$48+$B50*(-$J$48+3*$L$48)),KnotenData!$H$2)</f>
        <v>0.5</v>
      </c>
      <c r="G50">
        <f>IF(AND(ISNUMBER(Knoten!C3),B50&lt;&gt;0),Knoten!$C3+$V$48*COS($H$48+$B50*(-$J$48+4*$L$48)),KnotenData!$H$2)</f>
        <v>0.5</v>
      </c>
      <c r="H50">
        <f>IF(AND(ISNUMBER(Knoten!C3),B50&lt;&gt;0),Knoten!$C3+$V$48*COS($H$48+$B50*$N$48),KnotenData!$H$2)</f>
        <v>0.5</v>
      </c>
      <c r="I50">
        <f>IF(AND(ISNUMBER(Knoten!C3),B50&lt;&gt;0),$H50+$J$1*$V$48*COS($H$48+$B50*$N$48*$P$48),KnotenData!$H$2)</f>
        <v>0.5</v>
      </c>
      <c r="J50">
        <f>IF(AND(ISNUMBER(Knoten!C3),B50&lt;&gt;0),Knoten!$C3+$V$48*COS($H$48+$B50*$J$48),KnotenData!$H$2)</f>
        <v>0.5</v>
      </c>
      <c r="K50">
        <f>IF(AND(ISNUMBER(Knoten!C3),B50&lt;&gt;0),$H50-$J$1*$V$48*COS($H$48+$B50*$N$48*$P$48),KnotenData!$H$2)</f>
        <v>0.5</v>
      </c>
      <c r="L50" s="30">
        <f t="shared" ref="L50" si="8">H50</f>
        <v>0.5</v>
      </c>
      <c r="M50">
        <f>IF(AND(ISNUMBER(Knoten!D3),B50&lt;&gt;0),Knoten!D3+$V$48*SIN($H$48-B50*$J$48),KnotenData!$H$3)</f>
        <v>0.47499999999999998</v>
      </c>
      <c r="N50">
        <f>IF(AND(ISNUMBER(Knoten!D3),B50&lt;&gt;0),Knoten!$D3+$V$48*SIN($H$48+$B50*(-$J$48+$L$48)),KnotenData!$H$3)</f>
        <v>0.47499999999999998</v>
      </c>
      <c r="O50">
        <f>IF(AND(ISNUMBER(Knoten!D3),$B50&lt;&gt;0),Knoten!$D3+$V$48*SIN($H$48+$B50*(-$J$48+2*$L$48)),KnotenData!$H$3)</f>
        <v>0.47499999999999998</v>
      </c>
      <c r="P50">
        <f>IF(AND(ISNUMBER(Knoten!$D3),$B50&lt;&gt;0),Knoten!$D3+$V$48*SIN($H$48+$B50*(-$J$48+3*$L$48)),KnotenData!$H$3)</f>
        <v>0.47499999999999998</v>
      </c>
      <c r="Q50">
        <f>IF(AND(ISNUMBER(Knoten!$D3),$B50&lt;&gt;0),Knoten!$D3+$V$48*SIN($H$48+$B50*(-$J$48+4*$L$48)),KnotenData!$H$3)</f>
        <v>0.47499999999999998</v>
      </c>
      <c r="R50">
        <f>IF(AND(ISNUMBER(Knoten!$D3),$B50&lt;&gt;0),Knoten!$D3+$V$48*SIN($H$48+$B50*$N$48),KnotenData!$H$3)</f>
        <v>0.47499999999999998</v>
      </c>
      <c r="S50" s="12">
        <f>IF(AND(ISNUMBER(Knoten!$D3),$B50&lt;&gt;0),$R50+$J$1*$V$48*SIN($H$48+$B50*$N$48*$P$48),KnotenData!$H$3)</f>
        <v>0.47499999999999998</v>
      </c>
      <c r="T50" s="12">
        <f>IF(AND(ISNUMBER(Knoten!D3),B50&lt;&gt;0),Knoten!$D3+$V$48*SIN($H$48+$B50*$J$48),KnotenData!$H$3)</f>
        <v>0.47499999999999998</v>
      </c>
      <c r="U50" s="12">
        <f>IF(AND(ISNUMBER(Knoten!$D3),$B50&lt;&gt;0),$R50-$J$1*$V$48*SIN($H$48+$B50*$N$48*$P$48),KnotenData!$H$3)</f>
        <v>0.47499999999999998</v>
      </c>
      <c r="V50" s="30">
        <f>R50</f>
        <v>0.47499999999999998</v>
      </c>
      <c r="W50" s="12"/>
      <c r="X50" s="12"/>
      <c r="Y50" s="12"/>
      <c r="Z50" s="12"/>
    </row>
    <row r="51" spans="1:26" x14ac:dyDescent="0.2">
      <c r="A51" s="30">
        <v>2</v>
      </c>
      <c r="B51" s="328">
        <f>SIGN(Knoten!J4)</f>
        <v>0</v>
      </c>
      <c r="C51">
        <f>IF(AND(ISNUMBER(Knoten!C4),B51&lt;&gt;0),Knoten!C4+$V$48*COS($H$48-B51*$J$48),KnotenData!$H$2)</f>
        <v>0.5</v>
      </c>
      <c r="D51">
        <f>IF(AND(ISNUMBER(Knoten!C4),B51&lt;&gt;0),Knoten!$C4+$V$48*COS($H$48+$B51*(-$J$48+$L$48)),KnotenData!$H$2)</f>
        <v>0.5</v>
      </c>
      <c r="E51">
        <f>IF(AND(ISNUMBER(Knoten!C4),B51&lt;&gt;0),Knoten!$C4+$V$48*COS($H$48+$B51*(-$J$48+2*$L$48)),KnotenData!$H$2)</f>
        <v>0.5</v>
      </c>
      <c r="F51">
        <f>IF(AND(ISNUMBER(Knoten!C4),B51&lt;&gt;0),Knoten!$C4+$V$48*COS($H$48+$B51*(-$J$48+3*$L$48)),KnotenData!$H$2)</f>
        <v>0.5</v>
      </c>
      <c r="G51">
        <f>IF(AND(ISNUMBER(Knoten!C4),B51&lt;&gt;0),Knoten!$C4+$V$48*COS($H$48+$B51*(-$J$48+4*$L$48)),KnotenData!$H$2)</f>
        <v>0.5</v>
      </c>
      <c r="H51">
        <f>IF(AND(ISNUMBER(Knoten!C4),B51&lt;&gt;0),Knoten!$C4+$V$48*COS($H$48+$B51*$N$48),KnotenData!$H$2)</f>
        <v>0.5</v>
      </c>
      <c r="I51">
        <f>IF(AND(ISNUMBER(Knoten!C4),B51&lt;&gt;0),$H51+$J$1*$V$48*COS($H$48+$B51*$N$48*$P$48),KnotenData!$H$2)</f>
        <v>0.5</v>
      </c>
      <c r="J51">
        <f>IF(AND(ISNUMBER(Knoten!C4),B51&lt;&gt;0),Knoten!$C4+$V$48*COS($H$48+$B51*$J$48),KnotenData!$H$2)</f>
        <v>0.5</v>
      </c>
      <c r="K51">
        <f>IF(AND(ISNUMBER(Knoten!C4),B51&lt;&gt;0),$H51-$J$1*$V$48*COS($H$48+$B51*$N$48*$P$48),KnotenData!$H$2)</f>
        <v>0.5</v>
      </c>
      <c r="L51" s="30">
        <f t="shared" ref="L51:L69" si="9">H51</f>
        <v>0.5</v>
      </c>
      <c r="M51">
        <f>IF(AND(ISNUMBER(Knoten!D4),B51&lt;&gt;0),Knoten!D4+$V$48*SIN($H$48-B51*$J$48),KnotenData!$H$3)</f>
        <v>0.47499999999999998</v>
      </c>
      <c r="N51">
        <f>IF(AND(ISNUMBER(Knoten!D4),B51&lt;&gt;0),Knoten!$D4+$V$48*SIN($H$48+$B51*(-$J$48+$L$48)),KnotenData!$H$3)</f>
        <v>0.47499999999999998</v>
      </c>
      <c r="O51">
        <f>IF(AND(ISNUMBER(Knoten!D4),$B51&lt;&gt;0),Knoten!$D4+$V$48*SIN($H$48+$B51*(-$J$48+2*$L$48)),KnotenData!$H$3)</f>
        <v>0.47499999999999998</v>
      </c>
      <c r="P51">
        <f>IF(AND(ISNUMBER(Knoten!$D4),$B51&lt;&gt;0),Knoten!$D4+$V$48*SIN($H$48+$B51*(-$J$48+3*$L$48)),KnotenData!$H$3)</f>
        <v>0.47499999999999998</v>
      </c>
      <c r="Q51">
        <f>IF(AND(ISNUMBER(Knoten!$D4),$B51&lt;&gt;0),Knoten!$D4+$V$48*SIN($H$48+$B51*(-$J$48+4*$L$48)),KnotenData!$H$3)</f>
        <v>0.47499999999999998</v>
      </c>
      <c r="R51">
        <f>IF(AND(ISNUMBER(Knoten!$D4),$B51&lt;&gt;0),Knoten!$D4+$V$48*SIN($H$48+$B51*$N$48),KnotenData!$H$3)</f>
        <v>0.47499999999999998</v>
      </c>
      <c r="S51" s="12">
        <f>IF(AND(ISNUMBER(Knoten!$D4),$B51&lt;&gt;0),$R51+$J$1*$V$48*SIN($H$48+$B51*$N$48*$P$48),KnotenData!$H$3)</f>
        <v>0.47499999999999998</v>
      </c>
      <c r="T51" s="12">
        <f>IF(AND(ISNUMBER(Knoten!D4),B51&lt;&gt;0),Knoten!$D4+$V$48*SIN($H$48+$B51*$J$48),KnotenData!$H$3)</f>
        <v>0.47499999999999998</v>
      </c>
      <c r="U51" s="12">
        <f>IF(AND(ISNUMBER(Knoten!$D4),$B51&lt;&gt;0),$R51-$J$1*$V$48*SIN($H$48+$B51*$N$48*$P$48),KnotenData!$H$3)</f>
        <v>0.47499999999999998</v>
      </c>
      <c r="V51" s="30">
        <f t="shared" ref="V51:V69" si="10">R51</f>
        <v>0.47499999999999998</v>
      </c>
      <c r="W51" s="12"/>
      <c r="X51" s="12"/>
      <c r="Y51" s="12"/>
      <c r="Z51" s="12"/>
    </row>
    <row r="52" spans="1:26" x14ac:dyDescent="0.2">
      <c r="A52" s="30">
        <v>3</v>
      </c>
      <c r="B52" s="328">
        <f>SIGN(Knoten!J5)</f>
        <v>0</v>
      </c>
      <c r="C52">
        <f>IF(AND(ISNUMBER(Knoten!C5),B52&lt;&gt;0),Knoten!C5+$V$48*COS($H$48-B52*$J$48),KnotenData!$H$2)</f>
        <v>0.5</v>
      </c>
      <c r="D52">
        <f>IF(AND(ISNUMBER(Knoten!C5),B52&lt;&gt;0),Knoten!$C5+$V$48*COS($H$48+$B52*(-$J$48+$L$48)),KnotenData!$H$2)</f>
        <v>0.5</v>
      </c>
      <c r="E52">
        <f>IF(AND(ISNUMBER(Knoten!C5),B52&lt;&gt;0),Knoten!$C5+$V$48*COS($H$48+$B52*(-$J$48+2*$L$48)),KnotenData!$H$2)</f>
        <v>0.5</v>
      </c>
      <c r="F52">
        <f>IF(AND(ISNUMBER(Knoten!C5),B52&lt;&gt;0),Knoten!$C5+$V$48*COS($H$48+$B52*(-$J$48+3*$L$48)),KnotenData!$H$2)</f>
        <v>0.5</v>
      </c>
      <c r="G52">
        <f>IF(AND(ISNUMBER(Knoten!C5),B52&lt;&gt;0),Knoten!$C5+$V$48*COS($H$48+$B52*(-$J$48+4*$L$48)),KnotenData!$H$2)</f>
        <v>0.5</v>
      </c>
      <c r="H52">
        <f>IF(AND(ISNUMBER(Knoten!C5),B52&lt;&gt;0),Knoten!$C5+$V$48*COS($H$48+$B52*$N$48),KnotenData!$H$2)</f>
        <v>0.5</v>
      </c>
      <c r="I52">
        <f>IF(AND(ISNUMBER(Knoten!C5),B52&lt;&gt;0),$H52+$J$1*$V$48*COS($H$48+$B52*$N$48*$P$48),KnotenData!$H$2)</f>
        <v>0.5</v>
      </c>
      <c r="J52">
        <f>IF(AND(ISNUMBER(Knoten!C5),B52&lt;&gt;0),Knoten!$C5+$V$48*COS($H$48+$B52*$J$48),KnotenData!$H$2)</f>
        <v>0.5</v>
      </c>
      <c r="K52">
        <f>IF(AND(ISNUMBER(Knoten!C5),B52&lt;&gt;0),$H52-$J$1*$V$48*COS($H$48+$B52*$N$48*$P$48),KnotenData!$H$2)</f>
        <v>0.5</v>
      </c>
      <c r="L52" s="30">
        <f t="shared" si="9"/>
        <v>0.5</v>
      </c>
      <c r="M52">
        <f>IF(AND(ISNUMBER(Knoten!D5),B52&lt;&gt;0),Knoten!D5+$V$48*SIN($H$48-B52*$J$48),KnotenData!$H$3)</f>
        <v>0.47499999999999998</v>
      </c>
      <c r="N52">
        <f>IF(AND(ISNUMBER(Knoten!D5),B52&lt;&gt;0),Knoten!$D5+$V$48*SIN($H$48+$B52*(-$J$48+$L$48)),KnotenData!$H$3)</f>
        <v>0.47499999999999998</v>
      </c>
      <c r="O52">
        <f>IF(AND(ISNUMBER(Knoten!D5),$B52&lt;&gt;0),Knoten!$D5+$V$48*SIN($H$48+$B52*(-$J$48+2*$L$48)),KnotenData!$H$3)</f>
        <v>0.47499999999999998</v>
      </c>
      <c r="P52">
        <f>IF(AND(ISNUMBER(Knoten!$D5),$B52&lt;&gt;0),Knoten!$D5+$V$48*SIN($H$48+$B52*(-$J$48+3*$L$48)),KnotenData!$H$3)</f>
        <v>0.47499999999999998</v>
      </c>
      <c r="Q52">
        <f>IF(AND(ISNUMBER(Knoten!$D5),$B52&lt;&gt;0),Knoten!$D5+$V$48*SIN($H$48+$B52*(-$J$48+4*$L$48)),KnotenData!$H$3)</f>
        <v>0.47499999999999998</v>
      </c>
      <c r="R52">
        <f>IF(AND(ISNUMBER(Knoten!$D5),$B52&lt;&gt;0),Knoten!$D5+$V$48*SIN($H$48+$B52*$N$48),KnotenData!$H$3)</f>
        <v>0.47499999999999998</v>
      </c>
      <c r="S52" s="12">
        <f>IF(AND(ISNUMBER(Knoten!$D5),$B52&lt;&gt;0),$R52+$J$1*$V$48*SIN($H$48+$B52*$N$48*$P$48),KnotenData!$H$3)</f>
        <v>0.47499999999999998</v>
      </c>
      <c r="T52" s="12">
        <f>IF(AND(ISNUMBER(Knoten!D5),B52&lt;&gt;0),Knoten!$D5+$V$48*SIN($H$48+$B52*$J$48),KnotenData!$H$3)</f>
        <v>0.47499999999999998</v>
      </c>
      <c r="U52" s="12">
        <f>IF(AND(ISNUMBER(Knoten!$D5),$B52&lt;&gt;0),$R52-$J$1*$V$48*SIN($H$48+$B52*$N$48*$P$48),KnotenData!$H$3)</f>
        <v>0.47499999999999998</v>
      </c>
      <c r="V52" s="30">
        <f t="shared" si="10"/>
        <v>0.47499999999999998</v>
      </c>
      <c r="W52" s="12"/>
      <c r="X52" s="12"/>
      <c r="Y52" s="12"/>
      <c r="Z52" s="12"/>
    </row>
    <row r="53" spans="1:26" x14ac:dyDescent="0.2">
      <c r="A53" s="30">
        <v>4</v>
      </c>
      <c r="B53" s="328">
        <f>SIGN(Knoten!J6)</f>
        <v>0</v>
      </c>
      <c r="C53">
        <f>IF(AND(ISNUMBER(Knoten!C6),B53&lt;&gt;0),Knoten!C6+$V$48*COS($H$48-B53*$J$48),KnotenData!$H$2)</f>
        <v>0.5</v>
      </c>
      <c r="D53">
        <f>IF(AND(ISNUMBER(Knoten!C6),B53&lt;&gt;0),Knoten!$C6+$V$48*COS($H$48+$B53*(-$J$48+$L$48)),KnotenData!$H$2)</f>
        <v>0.5</v>
      </c>
      <c r="E53">
        <f>IF(AND(ISNUMBER(Knoten!C6),B53&lt;&gt;0),Knoten!$C6+$V$48*COS($H$48+$B53*(-$J$48+2*$L$48)),KnotenData!$H$2)</f>
        <v>0.5</v>
      </c>
      <c r="F53">
        <f>IF(AND(ISNUMBER(Knoten!C6),B53&lt;&gt;0),Knoten!$C6+$V$48*COS($H$48+$B53*(-$J$48+3*$L$48)),KnotenData!$H$2)</f>
        <v>0.5</v>
      </c>
      <c r="G53">
        <f>IF(AND(ISNUMBER(Knoten!C6),B53&lt;&gt;0),Knoten!$C6+$V$48*COS($H$48+$B53*(-$J$48+4*$L$48)),KnotenData!$H$2)</f>
        <v>0.5</v>
      </c>
      <c r="H53">
        <f>IF(AND(ISNUMBER(Knoten!C6),B53&lt;&gt;0),Knoten!$C6+$V$48*COS($H$48+$B53*$N$48),KnotenData!$H$2)</f>
        <v>0.5</v>
      </c>
      <c r="I53">
        <f>IF(AND(ISNUMBER(Knoten!C6),B53&lt;&gt;0),$H53+$J$1*$V$48*COS($H$48+$B53*$N$48*$P$48),KnotenData!$H$2)</f>
        <v>0.5</v>
      </c>
      <c r="J53">
        <f>IF(AND(ISNUMBER(Knoten!C6),B53&lt;&gt;0),Knoten!$C6+$V$48*COS($H$48+$B53*$J$48),KnotenData!$H$2)</f>
        <v>0.5</v>
      </c>
      <c r="K53">
        <f>IF(AND(ISNUMBER(Knoten!C6),B53&lt;&gt;0),$H53-$J$1*$V$48*COS($H$48+$B53*$N$48*$P$48),KnotenData!$H$2)</f>
        <v>0.5</v>
      </c>
      <c r="L53" s="30">
        <f t="shared" si="9"/>
        <v>0.5</v>
      </c>
      <c r="M53">
        <f>IF(AND(ISNUMBER(Knoten!D6),B53&lt;&gt;0),Knoten!D6+$V$48*SIN($H$48-B53*$J$48),KnotenData!$H$3)</f>
        <v>0.47499999999999998</v>
      </c>
      <c r="N53">
        <f>IF(AND(ISNUMBER(Knoten!D6),B53&lt;&gt;0),Knoten!$D6+$V$48*SIN($H$48+$B53*(-$J$48+$L$48)),KnotenData!$H$3)</f>
        <v>0.47499999999999998</v>
      </c>
      <c r="O53">
        <f>IF(AND(ISNUMBER(Knoten!D6),$B53&lt;&gt;0),Knoten!$D6+$V$48*SIN($H$48+$B53*(-$J$48+2*$L$48)),KnotenData!$H$3)</f>
        <v>0.47499999999999998</v>
      </c>
      <c r="P53">
        <f>IF(AND(ISNUMBER(Knoten!$D6),$B53&lt;&gt;0),Knoten!$D6+$V$48*SIN($H$48+$B53*(-$J$48+3*$L$48)),KnotenData!$H$3)</f>
        <v>0.47499999999999998</v>
      </c>
      <c r="Q53">
        <f>IF(AND(ISNUMBER(Knoten!$D6),$B53&lt;&gt;0),Knoten!$D6+$V$48*SIN($H$48+$B53*(-$J$48+4*$L$48)),KnotenData!$H$3)</f>
        <v>0.47499999999999998</v>
      </c>
      <c r="R53">
        <f>IF(AND(ISNUMBER(Knoten!$D6),$B53&lt;&gt;0),Knoten!$D6+$V$48*SIN($H$48+$B53*$N$48),KnotenData!$H$3)</f>
        <v>0.47499999999999998</v>
      </c>
      <c r="S53" s="12">
        <f>IF(AND(ISNUMBER(Knoten!$D6),$B53&lt;&gt;0),$R53+$J$1*$V$48*SIN($H$48+$B53*$N$48*$P$48),KnotenData!$H$3)</f>
        <v>0.47499999999999998</v>
      </c>
      <c r="T53" s="12">
        <f>IF(AND(ISNUMBER(Knoten!D6),B53&lt;&gt;0),Knoten!$D6+$V$48*SIN($H$48+$B53*$J$48),KnotenData!$H$3)</f>
        <v>0.47499999999999998</v>
      </c>
      <c r="U53" s="12">
        <f>IF(AND(ISNUMBER(Knoten!$D6),$B53&lt;&gt;0),$R53-$J$1*$V$48*SIN($H$48+$B53*$N$48*$P$48),KnotenData!$H$3)</f>
        <v>0.47499999999999998</v>
      </c>
      <c r="V53" s="30">
        <f t="shared" si="10"/>
        <v>0.47499999999999998</v>
      </c>
      <c r="W53" s="12"/>
      <c r="X53" s="12"/>
      <c r="Y53" s="12"/>
      <c r="Z53" s="12"/>
    </row>
    <row r="54" spans="1:26" x14ac:dyDescent="0.2">
      <c r="A54" s="30">
        <v>5</v>
      </c>
      <c r="B54" s="328">
        <f>SIGN(Knoten!J7)</f>
        <v>0</v>
      </c>
      <c r="C54">
        <f>IF(AND(ISNUMBER(Knoten!C7),B54&lt;&gt;0),Knoten!C7+$V$48*COS($H$48-B54*$J$48),KnotenData!$H$2)</f>
        <v>0.5</v>
      </c>
      <c r="D54">
        <f>IF(AND(ISNUMBER(Knoten!C7),B54&lt;&gt;0),Knoten!$C7+$V$48*COS($H$48+$B54*(-$J$48+$L$48)),KnotenData!$H$2)</f>
        <v>0.5</v>
      </c>
      <c r="E54">
        <f>IF(AND(ISNUMBER(Knoten!C7),B54&lt;&gt;0),Knoten!$C7+$V$48*COS($H$48+$B54*(-$J$48+2*$L$48)),KnotenData!$H$2)</f>
        <v>0.5</v>
      </c>
      <c r="F54">
        <f>IF(AND(ISNUMBER(Knoten!C7),B54&lt;&gt;0),Knoten!$C7+$V$48*COS($H$48+$B54*(-$J$48+3*$L$48)),KnotenData!$H$2)</f>
        <v>0.5</v>
      </c>
      <c r="G54">
        <f>IF(AND(ISNUMBER(Knoten!C7),B54&lt;&gt;0),Knoten!$C7+$V$48*COS($H$48+$B54*(-$J$48+4*$L$48)),KnotenData!$H$2)</f>
        <v>0.5</v>
      </c>
      <c r="H54">
        <f>IF(AND(ISNUMBER(Knoten!C7),B54&lt;&gt;0),Knoten!$C7+$V$48*COS($H$48+$B54*$N$48),KnotenData!$H$2)</f>
        <v>0.5</v>
      </c>
      <c r="I54">
        <f>IF(AND(ISNUMBER(Knoten!C7),B54&lt;&gt;0),$H54+$J$1*$V$48*COS($H$48+$B54*$N$48*$P$48),KnotenData!$H$2)</f>
        <v>0.5</v>
      </c>
      <c r="J54">
        <f>IF(AND(ISNUMBER(Knoten!C7),B54&lt;&gt;0),Knoten!$C7+$V$48*COS($H$48+$B54*$J$48),KnotenData!$H$2)</f>
        <v>0.5</v>
      </c>
      <c r="K54">
        <f>IF(AND(ISNUMBER(Knoten!C7),B54&lt;&gt;0),$H54-$J$1*$V$48*COS($H$48+$B54*$N$48*$P$48),KnotenData!$H$2)</f>
        <v>0.5</v>
      </c>
      <c r="L54" s="30">
        <f t="shared" si="9"/>
        <v>0.5</v>
      </c>
      <c r="M54">
        <f>IF(AND(ISNUMBER(Knoten!D7),B54&lt;&gt;0),Knoten!D7+$V$48*SIN($H$48-B54*$J$48),KnotenData!$H$3)</f>
        <v>0.47499999999999998</v>
      </c>
      <c r="N54">
        <f>IF(AND(ISNUMBER(Knoten!D7),B54&lt;&gt;0),Knoten!$D7+$V$48*SIN($H$48+$B54*(-$J$48+$L$48)),KnotenData!$H$3)</f>
        <v>0.47499999999999998</v>
      </c>
      <c r="O54">
        <f>IF(AND(ISNUMBER(Knoten!D7),$B54&lt;&gt;0),Knoten!$D7+$V$48*SIN($H$48+$B54*(-$J$48+2*$L$48)),KnotenData!$H$3)</f>
        <v>0.47499999999999998</v>
      </c>
      <c r="P54">
        <f>IF(AND(ISNUMBER(Knoten!$D7),$B54&lt;&gt;0),Knoten!$D7+$V$48*SIN($H$48+$B54*(-$J$48+3*$L$48)),KnotenData!$H$3)</f>
        <v>0.47499999999999998</v>
      </c>
      <c r="Q54">
        <f>IF(AND(ISNUMBER(Knoten!$D7),$B54&lt;&gt;0),Knoten!$D7+$V$48*SIN($H$48+$B54*(-$J$48+4*$L$48)),KnotenData!$H$3)</f>
        <v>0.47499999999999998</v>
      </c>
      <c r="R54">
        <f>IF(AND(ISNUMBER(Knoten!$D7),$B54&lt;&gt;0),Knoten!$D7+$V$48*SIN($H$48+$B54*$N$48),KnotenData!$H$3)</f>
        <v>0.47499999999999998</v>
      </c>
      <c r="S54" s="12">
        <f>IF(AND(ISNUMBER(Knoten!$D7),$B54&lt;&gt;0),$R54+$J$1*$V$48*SIN($H$48+$B54*$N$48*$P$48),KnotenData!$H$3)</f>
        <v>0.47499999999999998</v>
      </c>
      <c r="T54" s="12">
        <f>IF(AND(ISNUMBER(Knoten!D7),B54&lt;&gt;0),Knoten!$D7+$V$48*SIN($H$48+$B54*$J$48),KnotenData!$H$3)</f>
        <v>0.47499999999999998</v>
      </c>
      <c r="U54" s="12">
        <f>IF(AND(ISNUMBER(Knoten!$D7),$B54&lt;&gt;0),$R54-$J$1*$V$48*SIN($H$48+$B54*$N$48*$P$48),KnotenData!$H$3)</f>
        <v>0.47499999999999998</v>
      </c>
      <c r="V54" s="30">
        <f t="shared" si="10"/>
        <v>0.47499999999999998</v>
      </c>
      <c r="W54" s="12"/>
      <c r="X54" s="12"/>
      <c r="Y54" s="12"/>
      <c r="Z54" s="12"/>
    </row>
    <row r="55" spans="1:26" x14ac:dyDescent="0.2">
      <c r="A55" s="30">
        <v>6</v>
      </c>
      <c r="B55" s="328">
        <f>SIGN(Knoten!J8)</f>
        <v>0</v>
      </c>
      <c r="C55">
        <f>IF(AND(ISNUMBER(Knoten!C8),B55&lt;&gt;0),Knoten!C8+$V$48*COS($H$48-B55*$J$48),KnotenData!$H$2)</f>
        <v>0.5</v>
      </c>
      <c r="D55">
        <f>IF(AND(ISNUMBER(Knoten!C8),B55&lt;&gt;0),Knoten!$C8+$V$48*COS($H$48+$B55*(-$J$48+$L$48)),KnotenData!$H$2)</f>
        <v>0.5</v>
      </c>
      <c r="E55">
        <f>IF(AND(ISNUMBER(Knoten!C8),B55&lt;&gt;0),Knoten!$C8+$V$48*COS($H$48+$B55*(-$J$48+2*$L$48)),KnotenData!$H$2)</f>
        <v>0.5</v>
      </c>
      <c r="F55">
        <f>IF(AND(ISNUMBER(Knoten!C8),B55&lt;&gt;0),Knoten!$C8+$V$48*COS($H$48+$B55*(-$J$48+3*$L$48)),KnotenData!$H$2)</f>
        <v>0.5</v>
      </c>
      <c r="G55">
        <f>IF(AND(ISNUMBER(Knoten!C8),B55&lt;&gt;0),Knoten!$C8+$V$48*COS($H$48+$B55*(-$J$48+4*$L$48)),KnotenData!$H$2)</f>
        <v>0.5</v>
      </c>
      <c r="H55">
        <f>IF(AND(ISNUMBER(Knoten!C8),B55&lt;&gt;0),Knoten!$C8+$V$48*COS($H$48+$B55*$N$48),KnotenData!$H$2)</f>
        <v>0.5</v>
      </c>
      <c r="I55">
        <f>IF(AND(ISNUMBER(Knoten!C8),B55&lt;&gt;0),$H55+$J$1*$V$48*COS($H$48+$B55*$N$48*$P$48),KnotenData!$H$2)</f>
        <v>0.5</v>
      </c>
      <c r="J55">
        <f>IF(AND(ISNUMBER(Knoten!C8),B55&lt;&gt;0),Knoten!$C8+$V$48*COS($H$48+$B55*$J$48),KnotenData!$H$2)</f>
        <v>0.5</v>
      </c>
      <c r="K55">
        <f>IF(AND(ISNUMBER(Knoten!C8),B55&lt;&gt;0),$H55-$J$1*$V$48*COS($H$48+$B55*$N$48*$P$48),KnotenData!$H$2)</f>
        <v>0.5</v>
      </c>
      <c r="L55" s="30">
        <f t="shared" si="9"/>
        <v>0.5</v>
      </c>
      <c r="M55">
        <f>IF(AND(ISNUMBER(Knoten!D8),B55&lt;&gt;0),Knoten!D8+$V$48*SIN($H$48-B55*$J$48),KnotenData!$H$3)</f>
        <v>0.47499999999999998</v>
      </c>
      <c r="N55">
        <f>IF(AND(ISNUMBER(Knoten!D8),B55&lt;&gt;0),Knoten!$D8+$V$48*SIN($H$48+$B55*(-$J$48+$L$48)),KnotenData!$H$3)</f>
        <v>0.47499999999999998</v>
      </c>
      <c r="O55">
        <f>IF(AND(ISNUMBER(Knoten!D8),$B55&lt;&gt;0),Knoten!$D8+$V$48*SIN($H$48+$B55*(-$J$48+2*$L$48)),KnotenData!$H$3)</f>
        <v>0.47499999999999998</v>
      </c>
      <c r="P55">
        <f>IF(AND(ISNUMBER(Knoten!$D8),$B55&lt;&gt;0),Knoten!$D8+$V$48*SIN($H$48+$B55*(-$J$48+3*$L$48)),KnotenData!$H$3)</f>
        <v>0.47499999999999998</v>
      </c>
      <c r="Q55">
        <f>IF(AND(ISNUMBER(Knoten!$D8),$B55&lt;&gt;0),Knoten!$D8+$V$48*SIN($H$48+$B55*(-$J$48+4*$L$48)),KnotenData!$H$3)</f>
        <v>0.47499999999999998</v>
      </c>
      <c r="R55">
        <f>IF(AND(ISNUMBER(Knoten!$D8),$B55&lt;&gt;0),Knoten!$D8+$V$48*SIN($H$48+$B55*$N$48),KnotenData!$H$3)</f>
        <v>0.47499999999999998</v>
      </c>
      <c r="S55" s="12">
        <f>IF(AND(ISNUMBER(Knoten!$D8),$B55&lt;&gt;0),$R55+$J$1*$V$48*SIN($H$48+$B55*$N$48*$P$48),KnotenData!$H$3)</f>
        <v>0.47499999999999998</v>
      </c>
      <c r="T55" s="12">
        <f>IF(AND(ISNUMBER(Knoten!D8),B55&lt;&gt;0),Knoten!$D8+$V$48*SIN($H$48+$B55*$J$48),KnotenData!$H$3)</f>
        <v>0.47499999999999998</v>
      </c>
      <c r="U55" s="12">
        <f>IF(AND(ISNUMBER(Knoten!$D8),$B55&lt;&gt;0),$R55-$J$1*$V$48*SIN($H$48+$B55*$N$48*$P$48),KnotenData!$H$3)</f>
        <v>0.47499999999999998</v>
      </c>
      <c r="V55" s="30">
        <f t="shared" si="10"/>
        <v>0.47499999999999998</v>
      </c>
      <c r="W55" s="12"/>
      <c r="X55" s="12"/>
      <c r="Y55" s="12"/>
      <c r="Z55" s="12"/>
    </row>
    <row r="56" spans="1:26" x14ac:dyDescent="0.2">
      <c r="A56" s="30">
        <v>7</v>
      </c>
      <c r="B56" s="328">
        <f>SIGN(Knoten!J9)</f>
        <v>0</v>
      </c>
      <c r="C56">
        <f>IF(AND(ISNUMBER(Knoten!C9),B56&lt;&gt;0),Knoten!C9+$V$48*COS($H$48-B56*$J$48),KnotenData!$H$2)</f>
        <v>0.5</v>
      </c>
      <c r="D56">
        <f>IF(AND(ISNUMBER(Knoten!C9),B56&lt;&gt;0),Knoten!$C9+$V$48*COS($H$48+$B56*(-$J$48+$L$48)),KnotenData!$H$2)</f>
        <v>0.5</v>
      </c>
      <c r="E56">
        <f>IF(AND(ISNUMBER(Knoten!C9),B56&lt;&gt;0),Knoten!$C9+$V$48*COS($H$48+$B56*(-$J$48+2*$L$48)),KnotenData!$H$2)</f>
        <v>0.5</v>
      </c>
      <c r="F56">
        <f>IF(AND(ISNUMBER(Knoten!C9),B56&lt;&gt;0),Knoten!$C9+$V$48*COS($H$48+$B56*(-$J$48+3*$L$48)),KnotenData!$H$2)</f>
        <v>0.5</v>
      </c>
      <c r="G56">
        <f>IF(AND(ISNUMBER(Knoten!C9),B56&lt;&gt;0),Knoten!$C9+$V$48*COS($H$48+$B56*(-$J$48+4*$L$48)),KnotenData!$H$2)</f>
        <v>0.5</v>
      </c>
      <c r="H56">
        <f>IF(AND(ISNUMBER(Knoten!C9),B56&lt;&gt;0),Knoten!$C9+$V$48*COS($H$48+$B56*$N$48),KnotenData!$H$2)</f>
        <v>0.5</v>
      </c>
      <c r="I56">
        <f>IF(AND(ISNUMBER(Knoten!C9),B56&lt;&gt;0),$H56+$J$1*$V$48*COS($H$48+$B56*$N$48*$P$48),KnotenData!$H$2)</f>
        <v>0.5</v>
      </c>
      <c r="J56">
        <f>IF(AND(ISNUMBER(Knoten!C9),B56&lt;&gt;0),Knoten!$C9+$V$48*COS($H$48+$B56*$J$48),KnotenData!$H$2)</f>
        <v>0.5</v>
      </c>
      <c r="K56">
        <f>IF(AND(ISNUMBER(Knoten!C9),B56&lt;&gt;0),$H56-$J$1*$V$48*COS($H$48+$B56*$N$48*$P$48),KnotenData!$H$2)</f>
        <v>0.5</v>
      </c>
      <c r="L56" s="30">
        <f t="shared" si="9"/>
        <v>0.5</v>
      </c>
      <c r="M56">
        <f>IF(AND(ISNUMBER(Knoten!D9),B56&lt;&gt;0),Knoten!D9+$V$48*SIN($H$48-B56*$J$48),KnotenData!$H$3)</f>
        <v>0.47499999999999998</v>
      </c>
      <c r="N56">
        <f>IF(AND(ISNUMBER(Knoten!D9),B56&lt;&gt;0),Knoten!$D9+$V$48*SIN($H$48+$B56*(-$J$48+$L$48)),KnotenData!$H$3)</f>
        <v>0.47499999999999998</v>
      </c>
      <c r="O56">
        <f>IF(AND(ISNUMBER(Knoten!D9),$B56&lt;&gt;0),Knoten!$D9+$V$48*SIN($H$48+$B56*(-$J$48+2*$L$48)),KnotenData!$H$3)</f>
        <v>0.47499999999999998</v>
      </c>
      <c r="P56">
        <f>IF(AND(ISNUMBER(Knoten!$D9),$B56&lt;&gt;0),Knoten!$D9+$V$48*SIN($H$48+$B56*(-$J$48+3*$L$48)),KnotenData!$H$3)</f>
        <v>0.47499999999999998</v>
      </c>
      <c r="Q56">
        <f>IF(AND(ISNUMBER(Knoten!$D9),$B56&lt;&gt;0),Knoten!$D9+$V$48*SIN($H$48+$B56*(-$J$48+4*$L$48)),KnotenData!$H$3)</f>
        <v>0.47499999999999998</v>
      </c>
      <c r="R56">
        <f>IF(AND(ISNUMBER(Knoten!$D9),$B56&lt;&gt;0),Knoten!$D9+$V$48*SIN($H$48+$B56*$N$48),KnotenData!$H$3)</f>
        <v>0.47499999999999998</v>
      </c>
      <c r="S56" s="12">
        <f>IF(AND(ISNUMBER(Knoten!$D9),$B56&lt;&gt;0),$R56+$J$1*$V$48*SIN($H$48+$B56*$N$48*$P$48),KnotenData!$H$3)</f>
        <v>0.47499999999999998</v>
      </c>
      <c r="T56" s="12">
        <f>IF(AND(ISNUMBER(Knoten!D9),B56&lt;&gt;0),Knoten!$D9+$V$48*SIN($H$48+$B56*$J$48),KnotenData!$H$3)</f>
        <v>0.47499999999999998</v>
      </c>
      <c r="U56" s="12">
        <f>IF(AND(ISNUMBER(Knoten!$D9),$B56&lt;&gt;0),$R56-$J$1*$V$48*SIN($H$48+$B56*$N$48*$P$48),KnotenData!$H$3)</f>
        <v>0.47499999999999998</v>
      </c>
      <c r="V56" s="30">
        <f t="shared" si="10"/>
        <v>0.47499999999999998</v>
      </c>
      <c r="W56" s="12"/>
      <c r="X56" s="12"/>
      <c r="Y56" s="12"/>
      <c r="Z56" s="12"/>
    </row>
    <row r="57" spans="1:26" x14ac:dyDescent="0.2">
      <c r="A57" s="30">
        <v>8</v>
      </c>
      <c r="B57" s="328">
        <f>SIGN(Knoten!J10)</f>
        <v>0</v>
      </c>
      <c r="C57">
        <f>IF(AND(ISNUMBER(Knoten!C10),B57&lt;&gt;0),Knoten!C10+$V$48*COS($H$48-B57*$J$48),KnotenData!$H$2)</f>
        <v>0.5</v>
      </c>
      <c r="D57">
        <f>IF(AND(ISNUMBER(Knoten!C10),B57&lt;&gt;0),Knoten!$C10+$V$48*COS($H$48+$B57*(-$J$48+$L$48)),KnotenData!$H$2)</f>
        <v>0.5</v>
      </c>
      <c r="E57">
        <f>IF(AND(ISNUMBER(Knoten!C10),B57&lt;&gt;0),Knoten!$C10+$V$48*COS($H$48+$B57*(-$J$48+2*$L$48)),KnotenData!$H$2)</f>
        <v>0.5</v>
      </c>
      <c r="F57">
        <f>IF(AND(ISNUMBER(Knoten!C10),B57&lt;&gt;0),Knoten!$C10+$V$48*COS($H$48+$B57*(-$J$48+3*$L$48)),KnotenData!$H$2)</f>
        <v>0.5</v>
      </c>
      <c r="G57">
        <f>IF(AND(ISNUMBER(Knoten!C10),B57&lt;&gt;0),Knoten!$C10+$V$48*COS($H$48+$B57*(-$J$48+4*$L$48)),KnotenData!$H$2)</f>
        <v>0.5</v>
      </c>
      <c r="H57">
        <f>IF(AND(ISNUMBER(Knoten!C10),B57&lt;&gt;0),Knoten!$C10+$V$48*COS($H$48+$B57*$N$48),KnotenData!$H$2)</f>
        <v>0.5</v>
      </c>
      <c r="I57">
        <f>IF(AND(ISNUMBER(Knoten!C10),B57&lt;&gt;0),$H57+$J$1*$V$48*COS($H$48+$B57*$N$48*$P$48),KnotenData!$H$2)</f>
        <v>0.5</v>
      </c>
      <c r="J57">
        <f>IF(AND(ISNUMBER(Knoten!C10),B57&lt;&gt;0),Knoten!$C10+$V$48*COS($H$48+$B57*$J$48),KnotenData!$H$2)</f>
        <v>0.5</v>
      </c>
      <c r="K57">
        <f>IF(AND(ISNUMBER(Knoten!C10),B57&lt;&gt;0),$H57-$J$1*$V$48*COS($H$48+$B57*$N$48*$P$48),KnotenData!$H$2)</f>
        <v>0.5</v>
      </c>
      <c r="L57" s="30">
        <f t="shared" si="9"/>
        <v>0.5</v>
      </c>
      <c r="M57">
        <f>IF(AND(ISNUMBER(Knoten!D10),B57&lt;&gt;0),Knoten!D10+$V$48*SIN($H$48-B57*$J$48),KnotenData!$H$3)</f>
        <v>0.47499999999999998</v>
      </c>
      <c r="N57">
        <f>IF(AND(ISNUMBER(Knoten!D10),B57&lt;&gt;0),Knoten!$D10+$V$48*SIN($H$48+$B57*(-$J$48+$L$48)),KnotenData!$H$3)</f>
        <v>0.47499999999999998</v>
      </c>
      <c r="O57">
        <f>IF(AND(ISNUMBER(Knoten!D10),$B57&lt;&gt;0),Knoten!$D10+$V$48*SIN($H$48+$B57*(-$J$48+2*$L$48)),KnotenData!$H$3)</f>
        <v>0.47499999999999998</v>
      </c>
      <c r="P57">
        <f>IF(AND(ISNUMBER(Knoten!$D10),$B57&lt;&gt;0),Knoten!$D10+$V$48*SIN($H$48+$B57*(-$J$48+3*$L$48)),KnotenData!$H$3)</f>
        <v>0.47499999999999998</v>
      </c>
      <c r="Q57">
        <f>IF(AND(ISNUMBER(Knoten!$D10),$B57&lt;&gt;0),Knoten!$D10+$V$48*SIN($H$48+$B57*(-$J$48+4*$L$48)),KnotenData!$H$3)</f>
        <v>0.47499999999999998</v>
      </c>
      <c r="R57">
        <f>IF(AND(ISNUMBER(Knoten!$D10),$B57&lt;&gt;0),Knoten!$D10+$V$48*SIN($H$48+$B57*$N$48),KnotenData!$H$3)</f>
        <v>0.47499999999999998</v>
      </c>
      <c r="S57" s="12">
        <f>IF(AND(ISNUMBER(Knoten!$D10),$B57&lt;&gt;0),$R57+$J$1*$V$48*SIN($H$48+$B57*$N$48*$P$48),KnotenData!$H$3)</f>
        <v>0.47499999999999998</v>
      </c>
      <c r="T57" s="12">
        <f>IF(AND(ISNUMBER(Knoten!D10),B57&lt;&gt;0),Knoten!$D10+$V$48*SIN($H$48+$B57*$J$48),KnotenData!$H$3)</f>
        <v>0.47499999999999998</v>
      </c>
      <c r="U57" s="12">
        <f>IF(AND(ISNUMBER(Knoten!$D10),$B57&lt;&gt;0),$R57-$J$1*$V$48*SIN($H$48+$B57*$N$48*$P$48),KnotenData!$H$3)</f>
        <v>0.47499999999999998</v>
      </c>
      <c r="V57" s="30">
        <f t="shared" si="10"/>
        <v>0.47499999999999998</v>
      </c>
      <c r="W57" s="12"/>
      <c r="X57" s="12"/>
      <c r="Y57" s="12"/>
      <c r="Z57" s="12"/>
    </row>
    <row r="58" spans="1:26" x14ac:dyDescent="0.2">
      <c r="A58" s="30">
        <v>9</v>
      </c>
      <c r="B58" s="328">
        <f>SIGN(Knoten!J11)</f>
        <v>0</v>
      </c>
      <c r="C58">
        <f>IF(AND(ISNUMBER(Knoten!C11),B58&lt;&gt;0),Knoten!C11+$V$48*COS($H$48-B58*$J$48),KnotenData!$H$2)</f>
        <v>0.5</v>
      </c>
      <c r="D58">
        <f>IF(AND(ISNUMBER(Knoten!C11),B58&lt;&gt;0),Knoten!$C11+$V$48*COS($H$48+$B58*(-$J$48+$L$48)),KnotenData!$H$2)</f>
        <v>0.5</v>
      </c>
      <c r="E58">
        <f>IF(AND(ISNUMBER(Knoten!C11),B58&lt;&gt;0),Knoten!$C11+$V$48*COS($H$48+$B58*(-$J$48+2*$L$48)),KnotenData!$H$2)</f>
        <v>0.5</v>
      </c>
      <c r="F58">
        <f>IF(AND(ISNUMBER(Knoten!C11),B58&lt;&gt;0),Knoten!$C11+$V$48*COS($H$48+$B58*(-$J$48+3*$L$48)),KnotenData!$H$2)</f>
        <v>0.5</v>
      </c>
      <c r="G58">
        <f>IF(AND(ISNUMBER(Knoten!C11),B58&lt;&gt;0),Knoten!$C11+$V$48*COS($H$48+$B58*(-$J$48+4*$L$48)),KnotenData!$H$2)</f>
        <v>0.5</v>
      </c>
      <c r="H58">
        <f>IF(AND(ISNUMBER(Knoten!C11),B58&lt;&gt;0),Knoten!$C11+$V$48*COS($H$48+$B58*$N$48),KnotenData!$H$2)</f>
        <v>0.5</v>
      </c>
      <c r="I58">
        <f>IF(AND(ISNUMBER(Knoten!C11),B58&lt;&gt;0),$H58+$J$1*$V$48*COS($H$48+$B58*$N$48*$P$48),KnotenData!$H$2)</f>
        <v>0.5</v>
      </c>
      <c r="J58">
        <f>IF(AND(ISNUMBER(Knoten!C11),B58&lt;&gt;0),Knoten!$C11+$V$48*COS($H$48+$B58*$J$48),KnotenData!$H$2)</f>
        <v>0.5</v>
      </c>
      <c r="K58">
        <f>IF(AND(ISNUMBER(Knoten!C11),B58&lt;&gt;0),$H58-$J$1*$V$48*COS($H$48+$B58*$N$48*$P$48),KnotenData!$H$2)</f>
        <v>0.5</v>
      </c>
      <c r="L58" s="30">
        <f t="shared" si="9"/>
        <v>0.5</v>
      </c>
      <c r="M58">
        <f>IF(AND(ISNUMBER(Knoten!D11),B58&lt;&gt;0),Knoten!D11+$V$48*SIN($H$48-B58*$J$48),KnotenData!$H$3)</f>
        <v>0.47499999999999998</v>
      </c>
      <c r="N58">
        <f>IF(AND(ISNUMBER(Knoten!D11),B58&lt;&gt;0),Knoten!$D11+$V$48*SIN($H$48+$B58*(-$J$48+$L$48)),KnotenData!$H$3)</f>
        <v>0.47499999999999998</v>
      </c>
      <c r="O58">
        <f>IF(AND(ISNUMBER(Knoten!D11),$B58&lt;&gt;0),Knoten!$D11+$V$48*SIN($H$48+$B58*(-$J$48+2*$L$48)),KnotenData!$H$3)</f>
        <v>0.47499999999999998</v>
      </c>
      <c r="P58">
        <f>IF(AND(ISNUMBER(Knoten!$D11),$B58&lt;&gt;0),Knoten!$D11+$V$48*SIN($H$48+$B58*(-$J$48+3*$L$48)),KnotenData!$H$3)</f>
        <v>0.47499999999999998</v>
      </c>
      <c r="Q58">
        <f>IF(AND(ISNUMBER(Knoten!$D11),$B58&lt;&gt;0),Knoten!$D11+$V$48*SIN($H$48+$B58*(-$J$48+4*$L$48)),KnotenData!$H$3)</f>
        <v>0.47499999999999998</v>
      </c>
      <c r="R58">
        <f>IF(AND(ISNUMBER(Knoten!$D11),$B58&lt;&gt;0),Knoten!$D11+$V$48*SIN($H$48+$B58*$N$48),KnotenData!$H$3)</f>
        <v>0.47499999999999998</v>
      </c>
      <c r="S58" s="12">
        <f>IF(AND(ISNUMBER(Knoten!$D11),$B58&lt;&gt;0),$R58+$J$1*$V$48*SIN($H$48+$B58*$N$48*$P$48),KnotenData!$H$3)</f>
        <v>0.47499999999999998</v>
      </c>
      <c r="T58" s="12">
        <f>IF(AND(ISNUMBER(Knoten!D11),B58&lt;&gt;0),Knoten!$D11+$V$48*SIN($H$48+$B58*$J$48),KnotenData!$H$3)</f>
        <v>0.47499999999999998</v>
      </c>
      <c r="U58" s="12">
        <f>IF(AND(ISNUMBER(Knoten!$D11),$B58&lt;&gt;0),$R58-$J$1*$V$48*SIN($H$48+$B58*$N$48*$P$48),KnotenData!$H$3)</f>
        <v>0.47499999999999998</v>
      </c>
      <c r="V58" s="30">
        <f t="shared" si="10"/>
        <v>0.47499999999999998</v>
      </c>
      <c r="W58" s="12"/>
      <c r="X58" s="12"/>
      <c r="Y58" s="12"/>
      <c r="Z58" s="12"/>
    </row>
    <row r="59" spans="1:26" x14ac:dyDescent="0.2">
      <c r="A59" s="30">
        <v>10</v>
      </c>
      <c r="B59" s="328">
        <f>SIGN(Knoten!J12)</f>
        <v>0</v>
      </c>
      <c r="C59">
        <f>IF(AND(ISNUMBER(Knoten!C12),B59&lt;&gt;0),Knoten!C12+$V$48*COS($H$48-B59*$J$48),KnotenData!$H$2)</f>
        <v>0.5</v>
      </c>
      <c r="D59">
        <f>IF(AND(ISNUMBER(Knoten!C12),B59&lt;&gt;0),Knoten!$C12+$V$48*COS($H$48+$B59*(-$J$48+$L$48)),KnotenData!$H$2)</f>
        <v>0.5</v>
      </c>
      <c r="E59">
        <f>IF(AND(ISNUMBER(Knoten!C12),B59&lt;&gt;0),Knoten!$C12+$V$48*COS($H$48+$B59*(-$J$48+2*$L$48)),KnotenData!$H$2)</f>
        <v>0.5</v>
      </c>
      <c r="F59">
        <f>IF(AND(ISNUMBER(Knoten!C12),B59&lt;&gt;0),Knoten!$C12+$V$48*COS($H$48+$B59*(-$J$48+3*$L$48)),KnotenData!$H$2)</f>
        <v>0.5</v>
      </c>
      <c r="G59">
        <f>IF(AND(ISNUMBER(Knoten!C12),B59&lt;&gt;0),Knoten!$C12+$V$48*COS($H$48+$B59*(-$J$48+4*$L$48)),KnotenData!$H$2)</f>
        <v>0.5</v>
      </c>
      <c r="H59">
        <f>IF(AND(ISNUMBER(Knoten!C12),B59&lt;&gt;0),Knoten!$C12+$V$48*COS($H$48+$B59*$N$48),KnotenData!$H$2)</f>
        <v>0.5</v>
      </c>
      <c r="I59">
        <f>IF(AND(ISNUMBER(Knoten!C12),B59&lt;&gt;0),$H59+$J$1*$V$48*COS($H$48+$B59*$N$48*$P$48),KnotenData!$H$2)</f>
        <v>0.5</v>
      </c>
      <c r="J59">
        <f>IF(AND(ISNUMBER(Knoten!C12),B59&lt;&gt;0),Knoten!$C12+$V$48*COS($H$48+$B59*$J$48),KnotenData!$H$2)</f>
        <v>0.5</v>
      </c>
      <c r="K59">
        <f>IF(AND(ISNUMBER(Knoten!C12),B59&lt;&gt;0),$H59-$J$1*$V$48*COS($H$48+$B59*$N$48*$P$48),KnotenData!$H$2)</f>
        <v>0.5</v>
      </c>
      <c r="L59" s="30">
        <f t="shared" si="9"/>
        <v>0.5</v>
      </c>
      <c r="M59">
        <f>IF(AND(ISNUMBER(Knoten!D12),B59&lt;&gt;0),Knoten!D12+$V$48*SIN($H$48-B59*$J$48),KnotenData!$H$3)</f>
        <v>0.47499999999999998</v>
      </c>
      <c r="N59">
        <f>IF(AND(ISNUMBER(Knoten!D12),B59&lt;&gt;0),Knoten!$D12+$V$48*SIN($H$48+$B59*(-$J$48+$L$48)),KnotenData!$H$3)</f>
        <v>0.47499999999999998</v>
      </c>
      <c r="O59">
        <f>IF(AND(ISNUMBER(Knoten!D12),$B59&lt;&gt;0),Knoten!$D12+$V$48*SIN($H$48+$B59*(-$J$48+2*$L$48)),KnotenData!$H$3)</f>
        <v>0.47499999999999998</v>
      </c>
      <c r="P59">
        <f>IF(AND(ISNUMBER(Knoten!$D12),$B59&lt;&gt;0),Knoten!$D12+$V$48*SIN($H$48+$B59*(-$J$48+3*$L$48)),KnotenData!$H$3)</f>
        <v>0.47499999999999998</v>
      </c>
      <c r="Q59">
        <f>IF(AND(ISNUMBER(Knoten!$D12),$B59&lt;&gt;0),Knoten!$D12+$V$48*SIN($H$48+$B59*(-$J$48+4*$L$48)),KnotenData!$H$3)</f>
        <v>0.47499999999999998</v>
      </c>
      <c r="R59">
        <f>IF(AND(ISNUMBER(Knoten!$D12),$B59&lt;&gt;0),Knoten!$D12+$V$48*SIN($H$48+$B59*$N$48),KnotenData!$H$3)</f>
        <v>0.47499999999999998</v>
      </c>
      <c r="S59" s="12">
        <f>IF(AND(ISNUMBER(Knoten!$D12),$B59&lt;&gt;0),$R59+$J$1*$V$48*SIN($H$48+$B59*$N$48*$P$48),KnotenData!$H$3)</f>
        <v>0.47499999999999998</v>
      </c>
      <c r="T59" s="12">
        <f>IF(AND(ISNUMBER(Knoten!D12),B59&lt;&gt;0),Knoten!$D12+$V$48*SIN($H$48+$B59*$J$48),KnotenData!$H$3)</f>
        <v>0.47499999999999998</v>
      </c>
      <c r="U59" s="12">
        <f>IF(AND(ISNUMBER(Knoten!$D12),$B59&lt;&gt;0),$R59-$J$1*$V$48*SIN($H$48+$B59*$N$48*$P$48),KnotenData!$H$3)</f>
        <v>0.47499999999999998</v>
      </c>
      <c r="V59" s="30">
        <f t="shared" si="10"/>
        <v>0.47499999999999998</v>
      </c>
      <c r="W59" s="12"/>
      <c r="X59" s="12"/>
      <c r="Y59" s="12"/>
      <c r="Z59" s="12"/>
    </row>
    <row r="60" spans="1:26" x14ac:dyDescent="0.2">
      <c r="A60" s="30">
        <v>11</v>
      </c>
      <c r="B60" s="328">
        <f>SIGN(Knoten!J13)</f>
        <v>0</v>
      </c>
      <c r="C60">
        <f>IF(AND(ISNUMBER(Knoten!C13),B60&lt;&gt;0),Knoten!C13+$V$48*COS($H$48-B60*$J$48),KnotenData!$H$2)</f>
        <v>0.5</v>
      </c>
      <c r="D60">
        <f>IF(AND(ISNUMBER(Knoten!C13),B60&lt;&gt;0),Knoten!$C13+$V$48*COS($H$48+$B60*(-$J$48+$L$48)),KnotenData!$H$2)</f>
        <v>0.5</v>
      </c>
      <c r="E60">
        <f>IF(AND(ISNUMBER(Knoten!C13),B60&lt;&gt;0),Knoten!$C13+$V$48*COS($H$48+$B60*(-$J$48+2*$L$48)),KnotenData!$H$2)</f>
        <v>0.5</v>
      </c>
      <c r="F60">
        <f>IF(AND(ISNUMBER(Knoten!C13),B60&lt;&gt;0),Knoten!$C13+$V$48*COS($H$48+$B60*(-$J$48+3*$L$48)),KnotenData!$H$2)</f>
        <v>0.5</v>
      </c>
      <c r="G60">
        <f>IF(AND(ISNUMBER(Knoten!C13),B60&lt;&gt;0),Knoten!$C13+$V$48*COS($H$48+$B60*(-$J$48+4*$L$48)),KnotenData!$H$2)</f>
        <v>0.5</v>
      </c>
      <c r="H60">
        <f>IF(AND(ISNUMBER(Knoten!C13),B60&lt;&gt;0),Knoten!$C13+$V$48*COS($H$48+$B60*$N$48),KnotenData!$H$2)</f>
        <v>0.5</v>
      </c>
      <c r="I60">
        <f>IF(AND(ISNUMBER(Knoten!C13),B60&lt;&gt;0),$H60+$J$1*$V$48*COS($H$48+$B60*$N$48*$P$48),KnotenData!$H$2)</f>
        <v>0.5</v>
      </c>
      <c r="J60">
        <f>IF(AND(ISNUMBER(Knoten!C13),B60&lt;&gt;0),Knoten!$C13+$V$48*COS($H$48+$B60*$J$48),KnotenData!$H$2)</f>
        <v>0.5</v>
      </c>
      <c r="K60">
        <f>IF(AND(ISNUMBER(Knoten!C13),B60&lt;&gt;0),$H60-$J$1*$V$48*COS($H$48+$B60*$N$48*$P$48),KnotenData!$H$2)</f>
        <v>0.5</v>
      </c>
      <c r="L60" s="30">
        <f t="shared" si="9"/>
        <v>0.5</v>
      </c>
      <c r="M60">
        <f>IF(AND(ISNUMBER(Knoten!D13),B60&lt;&gt;0),Knoten!D13+$V$48*SIN($H$48-B60*$J$48),KnotenData!$H$3)</f>
        <v>0.47499999999999998</v>
      </c>
      <c r="N60">
        <f>IF(AND(ISNUMBER(Knoten!D13),B60&lt;&gt;0),Knoten!$D13+$V$48*SIN($H$48+$B60*(-$J$48+$L$48)),KnotenData!$H$3)</f>
        <v>0.47499999999999998</v>
      </c>
      <c r="O60">
        <f>IF(AND(ISNUMBER(Knoten!D13),$B60&lt;&gt;0),Knoten!$D13+$V$48*SIN($H$48+$B60*(-$J$48+2*$L$48)),KnotenData!$H$3)</f>
        <v>0.47499999999999998</v>
      </c>
      <c r="P60">
        <f>IF(AND(ISNUMBER(Knoten!$D13),$B60&lt;&gt;0),Knoten!$D13+$V$48*SIN($H$48+$B60*(-$J$48+3*$L$48)),KnotenData!$H$3)</f>
        <v>0.47499999999999998</v>
      </c>
      <c r="Q60">
        <f>IF(AND(ISNUMBER(Knoten!$D13),$B60&lt;&gt;0),Knoten!$D13+$V$48*SIN($H$48+$B60*(-$J$48+4*$L$48)),KnotenData!$H$3)</f>
        <v>0.47499999999999998</v>
      </c>
      <c r="R60">
        <f>IF(AND(ISNUMBER(Knoten!$D13),$B60&lt;&gt;0),Knoten!$D13+$V$48*SIN($H$48+$B60*$N$48),KnotenData!$H$3)</f>
        <v>0.47499999999999998</v>
      </c>
      <c r="S60" s="12">
        <f>IF(AND(ISNUMBER(Knoten!$D13),$B60&lt;&gt;0),$R60+$J$1*$V$48*SIN($H$48+$B60*$N$48*$P$48),KnotenData!$H$3)</f>
        <v>0.47499999999999998</v>
      </c>
      <c r="T60" s="12">
        <f>IF(AND(ISNUMBER(Knoten!D13),B60&lt;&gt;0),Knoten!$D13+$V$48*SIN($H$48+$B60*$J$48),KnotenData!$H$3)</f>
        <v>0.47499999999999998</v>
      </c>
      <c r="U60" s="12">
        <f>IF(AND(ISNUMBER(Knoten!$D13),$B60&lt;&gt;0),$R60-$J$1*$V$48*SIN($H$48+$B60*$N$48*$P$48),KnotenData!$H$3)</f>
        <v>0.47499999999999998</v>
      </c>
      <c r="V60" s="30">
        <f t="shared" si="10"/>
        <v>0.47499999999999998</v>
      </c>
      <c r="W60" s="12"/>
      <c r="X60" s="12"/>
      <c r="Y60" s="12"/>
      <c r="Z60" s="12"/>
    </row>
    <row r="61" spans="1:26" x14ac:dyDescent="0.2">
      <c r="A61" s="30">
        <v>12</v>
      </c>
      <c r="B61" s="328">
        <f>SIGN(Knoten!J14)</f>
        <v>0</v>
      </c>
      <c r="C61">
        <f>IF(AND(ISNUMBER(Knoten!C14),B61&lt;&gt;0),Knoten!C14+$V$48*COS($H$48-B61*$J$48),KnotenData!$H$2)</f>
        <v>0.5</v>
      </c>
      <c r="D61">
        <f>IF(AND(ISNUMBER(Knoten!C14),B61&lt;&gt;0),Knoten!$C14+$V$48*COS($H$48+$B61*(-$J$48+$L$48)),KnotenData!$H$2)</f>
        <v>0.5</v>
      </c>
      <c r="E61">
        <f>IF(AND(ISNUMBER(Knoten!C14),B61&lt;&gt;0),Knoten!$C14+$V$48*COS($H$48+$B61*(-$J$48+2*$L$48)),KnotenData!$H$2)</f>
        <v>0.5</v>
      </c>
      <c r="F61">
        <f>IF(AND(ISNUMBER(Knoten!C14),B61&lt;&gt;0),Knoten!$C14+$V$48*COS($H$48+$B61*(-$J$48+3*$L$48)),KnotenData!$H$2)</f>
        <v>0.5</v>
      </c>
      <c r="G61">
        <f>IF(AND(ISNUMBER(Knoten!C14),B61&lt;&gt;0),Knoten!$C14+$V$48*COS($H$48+$B61*(-$J$48+4*$L$48)),KnotenData!$H$2)</f>
        <v>0.5</v>
      </c>
      <c r="H61">
        <f>IF(AND(ISNUMBER(Knoten!C14),B61&lt;&gt;0),Knoten!$C14+$V$48*COS($H$48+$B61*$N$48),KnotenData!$H$2)</f>
        <v>0.5</v>
      </c>
      <c r="I61">
        <f>IF(AND(ISNUMBER(Knoten!C14),B61&lt;&gt;0),$H61+$J$1*$V$48*COS($H$48+$B61*$N$48*$P$48),KnotenData!$H$2)</f>
        <v>0.5</v>
      </c>
      <c r="J61">
        <f>IF(AND(ISNUMBER(Knoten!C14),B61&lt;&gt;0),Knoten!$C14+$V$48*COS($H$48+$B61*$J$48),KnotenData!$H$2)</f>
        <v>0.5</v>
      </c>
      <c r="K61">
        <f>IF(AND(ISNUMBER(Knoten!C14),B61&lt;&gt;0),$H61-$J$1*$V$48*COS($H$48+$B61*$N$48*$P$48),KnotenData!$H$2)</f>
        <v>0.5</v>
      </c>
      <c r="L61" s="30">
        <f t="shared" si="9"/>
        <v>0.5</v>
      </c>
      <c r="M61">
        <f>IF(AND(ISNUMBER(Knoten!D14),B61&lt;&gt;0),Knoten!D14+$V$48*SIN($H$48-B61*$J$48),KnotenData!$H$3)</f>
        <v>0.47499999999999998</v>
      </c>
      <c r="N61">
        <f>IF(AND(ISNUMBER(Knoten!D14),B61&lt;&gt;0),Knoten!$D14+$V$48*SIN($H$48+$B61*(-$J$48+$L$48)),KnotenData!$H$3)</f>
        <v>0.47499999999999998</v>
      </c>
      <c r="O61">
        <f>IF(AND(ISNUMBER(Knoten!D14),$B61&lt;&gt;0),Knoten!$D14+$V$48*SIN($H$48+$B61*(-$J$48+2*$L$48)),KnotenData!$H$3)</f>
        <v>0.47499999999999998</v>
      </c>
      <c r="P61">
        <f>IF(AND(ISNUMBER(Knoten!$D14),$B61&lt;&gt;0),Knoten!$D14+$V$48*SIN($H$48+$B61*(-$J$48+3*$L$48)),KnotenData!$H$3)</f>
        <v>0.47499999999999998</v>
      </c>
      <c r="Q61">
        <f>IF(AND(ISNUMBER(Knoten!$D14),$B61&lt;&gt;0),Knoten!$D14+$V$48*SIN($H$48+$B61*(-$J$48+4*$L$48)),KnotenData!$H$3)</f>
        <v>0.47499999999999998</v>
      </c>
      <c r="R61">
        <f>IF(AND(ISNUMBER(Knoten!$D14),$B61&lt;&gt;0),Knoten!$D14+$V$48*SIN($H$48+$B61*$N$48),KnotenData!$H$3)</f>
        <v>0.47499999999999998</v>
      </c>
      <c r="S61" s="12">
        <f>IF(AND(ISNUMBER(Knoten!$D14),$B61&lt;&gt;0),$R61+$J$1*$V$48*SIN($H$48+$B61*$N$48*$P$48),KnotenData!$H$3)</f>
        <v>0.47499999999999998</v>
      </c>
      <c r="T61" s="12">
        <f>IF(AND(ISNUMBER(Knoten!D14),B61&lt;&gt;0),Knoten!$D14+$V$48*SIN($H$48+$B61*$J$48),KnotenData!$H$3)</f>
        <v>0.47499999999999998</v>
      </c>
      <c r="U61" s="12">
        <f>IF(AND(ISNUMBER(Knoten!$D14),$B61&lt;&gt;0),$R61-$J$1*$V$48*SIN($H$48+$B61*$N$48*$P$48),KnotenData!$H$3)</f>
        <v>0.47499999999999998</v>
      </c>
      <c r="V61" s="30">
        <f t="shared" si="10"/>
        <v>0.47499999999999998</v>
      </c>
      <c r="W61" s="12"/>
      <c r="X61" s="12"/>
      <c r="Y61" s="12"/>
      <c r="Z61" s="12"/>
    </row>
    <row r="62" spans="1:26" x14ac:dyDescent="0.2">
      <c r="A62" s="30">
        <v>13</v>
      </c>
      <c r="B62" s="328">
        <f>SIGN(Knoten!J15)</f>
        <v>0</v>
      </c>
      <c r="C62">
        <f>IF(AND(ISNUMBER(Knoten!C15),B62&lt;&gt;0),Knoten!C15+$V$48*COS($H$48-B62*$J$48),KnotenData!$H$2)</f>
        <v>0.5</v>
      </c>
      <c r="D62">
        <f>IF(AND(ISNUMBER(Knoten!C15),B62&lt;&gt;0),Knoten!$C15+$V$48*COS($H$48+$B62*(-$J$48+$L$48)),KnotenData!$H$2)</f>
        <v>0.5</v>
      </c>
      <c r="E62">
        <f>IF(AND(ISNUMBER(Knoten!C15),B62&lt;&gt;0),Knoten!$C15+$V$48*COS($H$48+$B62*(-$J$48+2*$L$48)),KnotenData!$H$2)</f>
        <v>0.5</v>
      </c>
      <c r="F62">
        <f>IF(AND(ISNUMBER(Knoten!C15),B62&lt;&gt;0),Knoten!$C15+$V$48*COS($H$48+$B62*(-$J$48+3*$L$48)),KnotenData!$H$2)</f>
        <v>0.5</v>
      </c>
      <c r="G62">
        <f>IF(AND(ISNUMBER(Knoten!C15),B62&lt;&gt;0),Knoten!$C15+$V$48*COS($H$48+$B62*(-$J$48+4*$L$48)),KnotenData!$H$2)</f>
        <v>0.5</v>
      </c>
      <c r="H62">
        <f>IF(AND(ISNUMBER(Knoten!C15),B62&lt;&gt;0),Knoten!$C15+$V$48*COS($H$48+$B62*$N$48),KnotenData!$H$2)</f>
        <v>0.5</v>
      </c>
      <c r="I62">
        <f>IF(AND(ISNUMBER(Knoten!C15),B62&lt;&gt;0),$H62+$J$1*$V$48*COS($H$48+$B62*$N$48*$P$48),KnotenData!$H$2)</f>
        <v>0.5</v>
      </c>
      <c r="J62">
        <f>IF(AND(ISNUMBER(Knoten!C15),B62&lt;&gt;0),Knoten!$C15+$V$48*COS($H$48+$B62*$J$48),KnotenData!$H$2)</f>
        <v>0.5</v>
      </c>
      <c r="K62">
        <f>IF(AND(ISNUMBER(Knoten!C15),B62&lt;&gt;0),$H62-$J$1*$V$48*COS($H$48+$B62*$N$48*$P$48),KnotenData!$H$2)</f>
        <v>0.5</v>
      </c>
      <c r="L62" s="30">
        <f t="shared" si="9"/>
        <v>0.5</v>
      </c>
      <c r="M62">
        <f>IF(AND(ISNUMBER(Knoten!D15),B62&lt;&gt;0),Knoten!D15+$V$48*SIN($H$48-B62*$J$48),KnotenData!$H$3)</f>
        <v>0.47499999999999998</v>
      </c>
      <c r="N62">
        <f>IF(AND(ISNUMBER(Knoten!D15),B62&lt;&gt;0),Knoten!$D15+$V$48*SIN($H$48+$B62*(-$J$48+$L$48)),KnotenData!$H$3)</f>
        <v>0.47499999999999998</v>
      </c>
      <c r="O62">
        <f>IF(AND(ISNUMBER(Knoten!D15),$B62&lt;&gt;0),Knoten!$D15+$V$48*SIN($H$48+$B62*(-$J$48+2*$L$48)),KnotenData!$H$3)</f>
        <v>0.47499999999999998</v>
      </c>
      <c r="P62">
        <f>IF(AND(ISNUMBER(Knoten!$D15),$B62&lt;&gt;0),Knoten!$D15+$V$48*SIN($H$48+$B62*(-$J$48+3*$L$48)),KnotenData!$H$3)</f>
        <v>0.47499999999999998</v>
      </c>
      <c r="Q62">
        <f>IF(AND(ISNUMBER(Knoten!$D15),$B62&lt;&gt;0),Knoten!$D15+$V$48*SIN($H$48+$B62*(-$J$48+4*$L$48)),KnotenData!$H$3)</f>
        <v>0.47499999999999998</v>
      </c>
      <c r="R62">
        <f>IF(AND(ISNUMBER(Knoten!$D15),$B62&lt;&gt;0),Knoten!$D15+$V$48*SIN($H$48+$B62*$N$48),KnotenData!$H$3)</f>
        <v>0.47499999999999998</v>
      </c>
      <c r="S62" s="12">
        <f>IF(AND(ISNUMBER(Knoten!$D15),$B62&lt;&gt;0),$R62+$J$1*$V$48*SIN($H$48+$B62*$N$48*$P$48),KnotenData!$H$3)</f>
        <v>0.47499999999999998</v>
      </c>
      <c r="T62" s="12">
        <f>IF(AND(ISNUMBER(Knoten!D15),B62&lt;&gt;0),Knoten!$D15+$V$48*SIN($H$48+$B62*$J$48),KnotenData!$H$3)</f>
        <v>0.47499999999999998</v>
      </c>
      <c r="U62" s="12">
        <f>IF(AND(ISNUMBER(Knoten!$D15),$B62&lt;&gt;0),$R62-$J$1*$V$48*SIN($H$48+$B62*$N$48*$P$48),KnotenData!$H$3)</f>
        <v>0.47499999999999998</v>
      </c>
      <c r="V62" s="30">
        <f t="shared" si="10"/>
        <v>0.47499999999999998</v>
      </c>
      <c r="W62" s="12"/>
      <c r="X62" s="12"/>
      <c r="Y62" s="12"/>
      <c r="Z62" s="12"/>
    </row>
    <row r="63" spans="1:26" x14ac:dyDescent="0.2">
      <c r="A63" s="30">
        <v>14</v>
      </c>
      <c r="B63" s="328">
        <f>SIGN(Knoten!J16)</f>
        <v>0</v>
      </c>
      <c r="C63">
        <f>IF(AND(ISNUMBER(Knoten!C16),B63&lt;&gt;0),Knoten!C16+$V$48*COS($H$48-B63*$J$48),KnotenData!$H$2)</f>
        <v>0.5</v>
      </c>
      <c r="D63">
        <f>IF(AND(ISNUMBER(Knoten!C16),B63&lt;&gt;0),Knoten!$C16+$V$48*COS($H$48+$B63*(-$J$48+$L$48)),KnotenData!$H$2)</f>
        <v>0.5</v>
      </c>
      <c r="E63">
        <f>IF(AND(ISNUMBER(Knoten!C16),B63&lt;&gt;0),Knoten!$C16+$V$48*COS($H$48+$B63*(-$J$48+2*$L$48)),KnotenData!$H$2)</f>
        <v>0.5</v>
      </c>
      <c r="F63">
        <f>IF(AND(ISNUMBER(Knoten!C16),B63&lt;&gt;0),Knoten!$C16+$V$48*COS($H$48+$B63*(-$J$48+3*$L$48)),KnotenData!$H$2)</f>
        <v>0.5</v>
      </c>
      <c r="G63">
        <f>IF(AND(ISNUMBER(Knoten!C16),B63&lt;&gt;0),Knoten!$C16+$V$48*COS($H$48+$B63*(-$J$48+4*$L$48)),KnotenData!$H$2)</f>
        <v>0.5</v>
      </c>
      <c r="H63">
        <f>IF(AND(ISNUMBER(Knoten!C16),B63&lt;&gt;0),Knoten!$C16+$V$48*COS($H$48+$B63*$N$48),KnotenData!$H$2)</f>
        <v>0.5</v>
      </c>
      <c r="I63">
        <f>IF(AND(ISNUMBER(Knoten!C16),B63&lt;&gt;0),$H63+$J$1*$V$48*COS($H$48+$B63*$N$48*$P$48),KnotenData!$H$2)</f>
        <v>0.5</v>
      </c>
      <c r="J63">
        <f>IF(AND(ISNUMBER(Knoten!C16),B63&lt;&gt;0),Knoten!$C16+$V$48*COS($H$48+$B63*$J$48),KnotenData!$H$2)</f>
        <v>0.5</v>
      </c>
      <c r="K63">
        <f>IF(AND(ISNUMBER(Knoten!C16),B63&lt;&gt;0),$H63-$J$1*$V$48*COS($H$48+$B63*$N$48*$P$48),KnotenData!$H$2)</f>
        <v>0.5</v>
      </c>
      <c r="L63" s="30">
        <f t="shared" si="9"/>
        <v>0.5</v>
      </c>
      <c r="M63">
        <f>IF(AND(ISNUMBER(Knoten!D16),B63&lt;&gt;0),Knoten!D16+$V$48*SIN($H$48-B63*$J$48),KnotenData!$H$3)</f>
        <v>0.47499999999999998</v>
      </c>
      <c r="N63">
        <f>IF(AND(ISNUMBER(Knoten!D16),B63&lt;&gt;0),Knoten!$D16+$V$48*SIN($H$48+$B63*(-$J$48+$L$48)),KnotenData!$H$3)</f>
        <v>0.47499999999999998</v>
      </c>
      <c r="O63">
        <f>IF(AND(ISNUMBER(Knoten!D16),$B63&lt;&gt;0),Knoten!$D16+$V$48*SIN($H$48+$B63*(-$J$48+2*$L$48)),KnotenData!$H$3)</f>
        <v>0.47499999999999998</v>
      </c>
      <c r="P63">
        <f>IF(AND(ISNUMBER(Knoten!$D16),$B63&lt;&gt;0),Knoten!$D16+$V$48*SIN($H$48+$B63*(-$J$48+3*$L$48)),KnotenData!$H$3)</f>
        <v>0.47499999999999998</v>
      </c>
      <c r="Q63">
        <f>IF(AND(ISNUMBER(Knoten!$D16),$B63&lt;&gt;0),Knoten!$D16+$V$48*SIN($H$48+$B63*(-$J$48+4*$L$48)),KnotenData!$H$3)</f>
        <v>0.47499999999999998</v>
      </c>
      <c r="R63">
        <f>IF(AND(ISNUMBER(Knoten!$D16),$B63&lt;&gt;0),Knoten!$D16+$V$48*SIN($H$48+$B63*$N$48),KnotenData!$H$3)</f>
        <v>0.47499999999999998</v>
      </c>
      <c r="S63" s="12">
        <f>IF(AND(ISNUMBER(Knoten!$D16),$B63&lt;&gt;0),$R63+$J$1*$V$48*SIN($H$48+$B63*$N$48*$P$48),KnotenData!$H$3)</f>
        <v>0.47499999999999998</v>
      </c>
      <c r="T63" s="12">
        <f>IF(AND(ISNUMBER(Knoten!D16),B63&lt;&gt;0),Knoten!$D16+$V$48*SIN($H$48+$B63*$J$48),KnotenData!$H$3)</f>
        <v>0.47499999999999998</v>
      </c>
      <c r="U63" s="12">
        <f>IF(AND(ISNUMBER(Knoten!$D16),$B63&lt;&gt;0),$R63-$J$1*$V$48*SIN($H$48+$B63*$N$48*$P$48),KnotenData!$H$3)</f>
        <v>0.47499999999999998</v>
      </c>
      <c r="V63" s="30">
        <f t="shared" si="10"/>
        <v>0.47499999999999998</v>
      </c>
      <c r="W63" s="12"/>
      <c r="X63" s="12"/>
      <c r="Y63" s="12"/>
      <c r="Z63" s="12"/>
    </row>
    <row r="64" spans="1:26" x14ac:dyDescent="0.2">
      <c r="A64" s="30">
        <v>15</v>
      </c>
      <c r="B64" s="328">
        <f>SIGN(Knoten!J17)</f>
        <v>0</v>
      </c>
      <c r="C64">
        <f>IF(AND(ISNUMBER(Knoten!C17),B64&lt;&gt;0),Knoten!C17+$V$48*COS($H$48-B64*$J$48),KnotenData!$H$2)</f>
        <v>0.5</v>
      </c>
      <c r="D64">
        <f>IF(AND(ISNUMBER(Knoten!C17),B64&lt;&gt;0),Knoten!$C17+$V$48*COS($H$48+$B64*(-$J$48+$L$48)),KnotenData!$H$2)</f>
        <v>0.5</v>
      </c>
      <c r="E64">
        <f>IF(AND(ISNUMBER(Knoten!C17),B64&lt;&gt;0),Knoten!$C17+$V$48*COS($H$48+$B64*(-$J$48+2*$L$48)),KnotenData!$H$2)</f>
        <v>0.5</v>
      </c>
      <c r="F64">
        <f>IF(AND(ISNUMBER(Knoten!C17),B64&lt;&gt;0),Knoten!$C17+$V$48*COS($H$48+$B64*(-$J$48+3*$L$48)),KnotenData!$H$2)</f>
        <v>0.5</v>
      </c>
      <c r="G64">
        <f>IF(AND(ISNUMBER(Knoten!C17),B64&lt;&gt;0),Knoten!$C17+$V$48*COS($H$48+$B64*(-$J$48+4*$L$48)),KnotenData!$H$2)</f>
        <v>0.5</v>
      </c>
      <c r="H64">
        <f>IF(AND(ISNUMBER(Knoten!C17),B64&lt;&gt;0),Knoten!$C17+$V$48*COS($H$48+$B64*$N$48),KnotenData!$H$2)</f>
        <v>0.5</v>
      </c>
      <c r="I64">
        <f>IF(AND(ISNUMBER(Knoten!C17),B64&lt;&gt;0),$H64+$J$1*$V$48*COS($H$48+$B64*$N$48*$P$48),KnotenData!$H$2)</f>
        <v>0.5</v>
      </c>
      <c r="J64">
        <f>IF(AND(ISNUMBER(Knoten!C17),B64&lt;&gt;0),Knoten!$C17+$V$48*COS($H$48+$B64*$J$48),KnotenData!$H$2)</f>
        <v>0.5</v>
      </c>
      <c r="K64">
        <f>IF(AND(ISNUMBER(Knoten!C17),B64&lt;&gt;0),$H64-$J$1*$V$48*COS($H$48+$B64*$N$48*$P$48),KnotenData!$H$2)</f>
        <v>0.5</v>
      </c>
      <c r="L64" s="30">
        <f t="shared" si="9"/>
        <v>0.5</v>
      </c>
      <c r="M64">
        <f>IF(AND(ISNUMBER(Knoten!D17),B64&lt;&gt;0),Knoten!D17+$V$48*SIN($H$48-B64*$J$48),KnotenData!$H$3)</f>
        <v>0.47499999999999998</v>
      </c>
      <c r="N64">
        <f>IF(AND(ISNUMBER(Knoten!D17),B64&lt;&gt;0),Knoten!$D17+$V$48*SIN($H$48+$B64*(-$J$48+$L$48)),KnotenData!$H$3)</f>
        <v>0.47499999999999998</v>
      </c>
      <c r="O64">
        <f>IF(AND(ISNUMBER(Knoten!D17),$B64&lt;&gt;0),Knoten!$D17+$V$48*SIN($H$48+$B64*(-$J$48+2*$L$48)),KnotenData!$H$3)</f>
        <v>0.47499999999999998</v>
      </c>
      <c r="P64">
        <f>IF(AND(ISNUMBER(Knoten!$D17),$B64&lt;&gt;0),Knoten!$D17+$V$48*SIN($H$48+$B64*(-$J$48+3*$L$48)),KnotenData!$H$3)</f>
        <v>0.47499999999999998</v>
      </c>
      <c r="Q64">
        <f>IF(AND(ISNUMBER(Knoten!$D17),$B64&lt;&gt;0),Knoten!$D17+$V$48*SIN($H$48+$B64*(-$J$48+4*$L$48)),KnotenData!$H$3)</f>
        <v>0.47499999999999998</v>
      </c>
      <c r="R64">
        <f>IF(AND(ISNUMBER(Knoten!$D17),$B64&lt;&gt;0),Knoten!$D17+$V$48*SIN($H$48+$B64*$N$48),KnotenData!$H$3)</f>
        <v>0.47499999999999998</v>
      </c>
      <c r="S64" s="12">
        <f>IF(AND(ISNUMBER(Knoten!$D17),$B64&lt;&gt;0),$R64+$J$1*$V$48*SIN($H$48+$B64*$N$48*$P$48),KnotenData!$H$3)</f>
        <v>0.47499999999999998</v>
      </c>
      <c r="T64" s="12">
        <f>IF(AND(ISNUMBER(Knoten!D17),B64&lt;&gt;0),Knoten!$D17+$V$48*SIN($H$48+$B64*$J$48),KnotenData!$H$3)</f>
        <v>0.47499999999999998</v>
      </c>
      <c r="U64" s="12">
        <f>IF(AND(ISNUMBER(Knoten!$D17),$B64&lt;&gt;0),$R64-$J$1*$V$48*SIN($H$48+$B64*$N$48*$P$48),KnotenData!$H$3)</f>
        <v>0.47499999999999998</v>
      </c>
      <c r="V64" s="30">
        <f t="shared" si="10"/>
        <v>0.47499999999999998</v>
      </c>
      <c r="W64" s="12"/>
      <c r="X64" s="12"/>
      <c r="Y64" s="12"/>
      <c r="Z64" s="12"/>
    </row>
    <row r="65" spans="1:26" x14ac:dyDescent="0.2">
      <c r="A65" s="30">
        <v>16</v>
      </c>
      <c r="B65" s="328">
        <f>SIGN(Knoten!J18)</f>
        <v>0</v>
      </c>
      <c r="C65">
        <f>IF(AND(ISNUMBER(Knoten!C18),B65&lt;&gt;0),Knoten!C18+$V$48*COS($H$48-B65*$J$48),KnotenData!$H$2)</f>
        <v>0.5</v>
      </c>
      <c r="D65">
        <f>IF(AND(ISNUMBER(Knoten!C18),B65&lt;&gt;0),Knoten!$C18+$V$48*COS($H$48+$B65*(-$J$48+$L$48)),KnotenData!$H$2)</f>
        <v>0.5</v>
      </c>
      <c r="E65">
        <f>IF(AND(ISNUMBER(Knoten!C18),B65&lt;&gt;0),Knoten!$C18+$V$48*COS($H$48+$B65*(-$J$48+2*$L$48)),KnotenData!$H$2)</f>
        <v>0.5</v>
      </c>
      <c r="F65">
        <f>IF(AND(ISNUMBER(Knoten!C18),B65&lt;&gt;0),Knoten!$C18+$V$48*COS($H$48+$B65*(-$J$48+3*$L$48)),KnotenData!$H$2)</f>
        <v>0.5</v>
      </c>
      <c r="G65">
        <f>IF(AND(ISNUMBER(Knoten!C18),B65&lt;&gt;0),Knoten!$C18+$V$48*COS($H$48+$B65*(-$J$48+4*$L$48)),KnotenData!$H$2)</f>
        <v>0.5</v>
      </c>
      <c r="H65">
        <f>IF(AND(ISNUMBER(Knoten!C18),B65&lt;&gt;0),Knoten!$C18+$V$48*COS($H$48+$B65*$N$48),KnotenData!$H$2)</f>
        <v>0.5</v>
      </c>
      <c r="I65">
        <f>IF(AND(ISNUMBER(Knoten!C18),B65&lt;&gt;0),$H65+$J$1*$V$48*COS($H$48+$B65*$N$48*$P$48),KnotenData!$H$2)</f>
        <v>0.5</v>
      </c>
      <c r="J65">
        <f>IF(AND(ISNUMBER(Knoten!C18),B65&lt;&gt;0),Knoten!$C18+$V$48*COS($H$48+$B65*$J$48),KnotenData!$H$2)</f>
        <v>0.5</v>
      </c>
      <c r="K65">
        <f>IF(AND(ISNUMBER(Knoten!C18),B65&lt;&gt;0),$H65-$J$1*$V$48*COS($H$48+$B65*$N$48*$P$48),KnotenData!$H$2)</f>
        <v>0.5</v>
      </c>
      <c r="L65" s="30">
        <f t="shared" si="9"/>
        <v>0.5</v>
      </c>
      <c r="M65">
        <f>IF(AND(ISNUMBER(Knoten!D18),B65&lt;&gt;0),Knoten!D18+$V$48*SIN($H$48-B65*$J$48),KnotenData!$H$3)</f>
        <v>0.47499999999999998</v>
      </c>
      <c r="N65">
        <f>IF(AND(ISNUMBER(Knoten!D18),B65&lt;&gt;0),Knoten!$D18+$V$48*SIN($H$48+$B65*(-$J$48+$L$48)),KnotenData!$H$3)</f>
        <v>0.47499999999999998</v>
      </c>
      <c r="O65">
        <f>IF(AND(ISNUMBER(Knoten!D18),$B65&lt;&gt;0),Knoten!$D18+$V$48*SIN($H$48+$B65*(-$J$48+2*$L$48)),KnotenData!$H$3)</f>
        <v>0.47499999999999998</v>
      </c>
      <c r="P65">
        <f>IF(AND(ISNUMBER(Knoten!$D18),$B65&lt;&gt;0),Knoten!$D18+$V$48*SIN($H$48+$B65*(-$J$48+3*$L$48)),KnotenData!$H$3)</f>
        <v>0.47499999999999998</v>
      </c>
      <c r="Q65">
        <f>IF(AND(ISNUMBER(Knoten!$D18),$B65&lt;&gt;0),Knoten!$D18+$V$48*SIN($H$48+$B65*(-$J$48+4*$L$48)),KnotenData!$H$3)</f>
        <v>0.47499999999999998</v>
      </c>
      <c r="R65">
        <f>IF(AND(ISNUMBER(Knoten!$D18),$B65&lt;&gt;0),Knoten!$D18+$V$48*SIN($H$48+$B65*$N$48),KnotenData!$H$3)</f>
        <v>0.47499999999999998</v>
      </c>
      <c r="S65" s="12">
        <f>IF(AND(ISNUMBER(Knoten!$D18),$B65&lt;&gt;0),$R65+$J$1*$V$48*SIN($H$48+$B65*$N$48*$P$48),KnotenData!$H$3)</f>
        <v>0.47499999999999998</v>
      </c>
      <c r="T65" s="12">
        <f>IF(AND(ISNUMBER(Knoten!D18),B65&lt;&gt;0),Knoten!$D18+$V$48*SIN($H$48+$B65*$J$48),KnotenData!$H$3)</f>
        <v>0.47499999999999998</v>
      </c>
      <c r="U65" s="12">
        <f>IF(AND(ISNUMBER(Knoten!$D18),$B65&lt;&gt;0),$R65-$J$1*$V$48*SIN($H$48+$B65*$N$48*$P$48),KnotenData!$H$3)</f>
        <v>0.47499999999999998</v>
      </c>
      <c r="V65" s="30">
        <f t="shared" si="10"/>
        <v>0.47499999999999998</v>
      </c>
      <c r="W65" s="12"/>
      <c r="X65" s="12"/>
      <c r="Y65" s="12"/>
      <c r="Z65" s="12"/>
    </row>
    <row r="66" spans="1:26" x14ac:dyDescent="0.2">
      <c r="A66" s="30">
        <v>17</v>
      </c>
      <c r="B66" s="328">
        <f>SIGN(Knoten!J19)</f>
        <v>0</v>
      </c>
      <c r="C66">
        <f>IF(AND(ISNUMBER(Knoten!C19),B66&lt;&gt;0),Knoten!C19+$V$48*COS($H$48-B66*$J$48),KnotenData!$H$2)</f>
        <v>0.5</v>
      </c>
      <c r="D66">
        <f>IF(AND(ISNUMBER(Knoten!C19),B66&lt;&gt;0),Knoten!$C19+$V$48*COS($H$48+$B66*(-$J$48+$L$48)),KnotenData!$H$2)</f>
        <v>0.5</v>
      </c>
      <c r="E66">
        <f>IF(AND(ISNUMBER(Knoten!C19),B66&lt;&gt;0),Knoten!$C19+$V$48*COS($H$48+$B66*(-$J$48+2*$L$48)),KnotenData!$H$2)</f>
        <v>0.5</v>
      </c>
      <c r="F66">
        <f>IF(AND(ISNUMBER(Knoten!C19),B66&lt;&gt;0),Knoten!$C19+$V$48*COS($H$48+$B66*(-$J$48+3*$L$48)),KnotenData!$H$2)</f>
        <v>0.5</v>
      </c>
      <c r="G66">
        <f>IF(AND(ISNUMBER(Knoten!C19),B66&lt;&gt;0),Knoten!$C19+$V$48*COS($H$48+$B66*(-$J$48+4*$L$48)),KnotenData!$H$2)</f>
        <v>0.5</v>
      </c>
      <c r="H66">
        <f>IF(AND(ISNUMBER(Knoten!C19),B66&lt;&gt;0),Knoten!$C19+$V$48*COS($H$48+$B66*$N$48),KnotenData!$H$2)</f>
        <v>0.5</v>
      </c>
      <c r="I66">
        <f>IF(AND(ISNUMBER(Knoten!C19),B66&lt;&gt;0),$H66+$J$1*$V$48*COS($H$48+$B66*$N$48*$P$48),KnotenData!$H$2)</f>
        <v>0.5</v>
      </c>
      <c r="J66">
        <f>IF(AND(ISNUMBER(Knoten!C19),B66&lt;&gt;0),Knoten!$C19+$V$48*COS($H$48+$B66*$J$48),KnotenData!$H$2)</f>
        <v>0.5</v>
      </c>
      <c r="K66">
        <f>IF(AND(ISNUMBER(Knoten!C19),B66&lt;&gt;0),$H66-$J$1*$V$48*COS($H$48+$B66*$N$48*$P$48),KnotenData!$H$2)</f>
        <v>0.5</v>
      </c>
      <c r="L66" s="30">
        <f t="shared" si="9"/>
        <v>0.5</v>
      </c>
      <c r="M66">
        <f>IF(AND(ISNUMBER(Knoten!D19),B66&lt;&gt;0),Knoten!D19+$V$48*SIN($H$48-B66*$J$48),KnotenData!$H$3)</f>
        <v>0.47499999999999998</v>
      </c>
      <c r="N66">
        <f>IF(AND(ISNUMBER(Knoten!D19),B66&lt;&gt;0),Knoten!$D19+$V$48*SIN($H$48+$B66*(-$J$48+$L$48)),KnotenData!$H$3)</f>
        <v>0.47499999999999998</v>
      </c>
      <c r="O66">
        <f>IF(AND(ISNUMBER(Knoten!D19),$B66&lt;&gt;0),Knoten!$D19+$V$48*SIN($H$48+$B66*(-$J$48+2*$L$48)),KnotenData!$H$3)</f>
        <v>0.47499999999999998</v>
      </c>
      <c r="P66">
        <f>IF(AND(ISNUMBER(Knoten!$D19),$B66&lt;&gt;0),Knoten!$D19+$V$48*SIN($H$48+$B66*(-$J$48+3*$L$48)),KnotenData!$H$3)</f>
        <v>0.47499999999999998</v>
      </c>
      <c r="Q66">
        <f>IF(AND(ISNUMBER(Knoten!$D19),$B66&lt;&gt;0),Knoten!$D19+$V$48*SIN($H$48+$B66*(-$J$48+4*$L$48)),KnotenData!$H$3)</f>
        <v>0.47499999999999998</v>
      </c>
      <c r="R66">
        <f>IF(AND(ISNUMBER(Knoten!$D19),$B66&lt;&gt;0),Knoten!$D19+$V$48*SIN($H$48+$B66*$N$48),KnotenData!$H$3)</f>
        <v>0.47499999999999998</v>
      </c>
      <c r="S66" s="12">
        <f>IF(AND(ISNUMBER(Knoten!$D19),$B66&lt;&gt;0),$R66+$J$1*$V$48*SIN($H$48+$B66*$N$48*$P$48),KnotenData!$H$3)</f>
        <v>0.47499999999999998</v>
      </c>
      <c r="T66" s="12">
        <f>IF(AND(ISNUMBER(Knoten!D19),B66&lt;&gt;0),Knoten!$D19+$V$48*SIN($H$48+$B66*$J$48),KnotenData!$H$3)</f>
        <v>0.47499999999999998</v>
      </c>
      <c r="U66" s="12">
        <f>IF(AND(ISNUMBER(Knoten!$D19),$B66&lt;&gt;0),$R66-$J$1*$V$48*SIN($H$48+$B66*$N$48*$P$48),KnotenData!$H$3)</f>
        <v>0.47499999999999998</v>
      </c>
      <c r="V66" s="30">
        <f t="shared" si="10"/>
        <v>0.47499999999999998</v>
      </c>
      <c r="W66" s="12"/>
      <c r="X66" s="12"/>
      <c r="Y66" s="12"/>
      <c r="Z66" s="12"/>
    </row>
    <row r="67" spans="1:26" x14ac:dyDescent="0.2">
      <c r="A67" s="30">
        <v>18</v>
      </c>
      <c r="B67" s="328">
        <f>SIGN(Knoten!J20)</f>
        <v>0</v>
      </c>
      <c r="C67">
        <f>IF(AND(ISNUMBER(Knoten!C20),B67&lt;&gt;0),Knoten!C20+$V$48*COS($H$48-B67*$J$48),KnotenData!$H$2)</f>
        <v>0.5</v>
      </c>
      <c r="D67">
        <f>IF(AND(ISNUMBER(Knoten!C20),B67&lt;&gt;0),Knoten!$C20+$V$48*COS($H$48+$B67*(-$J$48+$L$48)),KnotenData!$H$2)</f>
        <v>0.5</v>
      </c>
      <c r="E67">
        <f>IF(AND(ISNUMBER(Knoten!C20),B67&lt;&gt;0),Knoten!$C20+$V$48*COS($H$48+$B67*(-$J$48+2*$L$48)),KnotenData!$H$2)</f>
        <v>0.5</v>
      </c>
      <c r="F67">
        <f>IF(AND(ISNUMBER(Knoten!C20),B67&lt;&gt;0),Knoten!$C20+$V$48*COS($H$48+$B67*(-$J$48+3*$L$48)),KnotenData!$H$2)</f>
        <v>0.5</v>
      </c>
      <c r="G67">
        <f>IF(AND(ISNUMBER(Knoten!C20),B67&lt;&gt;0),Knoten!$C20+$V$48*COS($H$48+$B67*(-$J$48+4*$L$48)),KnotenData!$H$2)</f>
        <v>0.5</v>
      </c>
      <c r="H67">
        <f>IF(AND(ISNUMBER(Knoten!C20),B67&lt;&gt;0),Knoten!$C20+$V$48*COS($H$48+$B67*$N$48),KnotenData!$H$2)</f>
        <v>0.5</v>
      </c>
      <c r="I67">
        <f>IF(AND(ISNUMBER(Knoten!C20),B67&lt;&gt;0),$H67+$J$1*$V$48*COS($H$48+$B67*$N$48*$P$48),KnotenData!$H$2)</f>
        <v>0.5</v>
      </c>
      <c r="J67">
        <f>IF(AND(ISNUMBER(Knoten!C20),B67&lt;&gt;0),Knoten!$C20+$V$48*COS($H$48+$B67*$J$48),KnotenData!$H$2)</f>
        <v>0.5</v>
      </c>
      <c r="K67">
        <f>IF(AND(ISNUMBER(Knoten!C20),B67&lt;&gt;0),$H67-$J$1*$V$48*COS($H$48+$B67*$N$48*$P$48),KnotenData!$H$2)</f>
        <v>0.5</v>
      </c>
      <c r="L67" s="30">
        <f t="shared" si="9"/>
        <v>0.5</v>
      </c>
      <c r="M67">
        <f>IF(AND(ISNUMBER(Knoten!D20),B67&lt;&gt;0),Knoten!D20+$V$48*SIN($H$48-B67*$J$48),KnotenData!$H$3)</f>
        <v>0.47499999999999998</v>
      </c>
      <c r="N67">
        <f>IF(AND(ISNUMBER(Knoten!D20),B67&lt;&gt;0),Knoten!$D20+$V$48*SIN($H$48+$B67*(-$J$48+$L$48)),KnotenData!$H$3)</f>
        <v>0.47499999999999998</v>
      </c>
      <c r="O67">
        <f>IF(AND(ISNUMBER(Knoten!D20),$B67&lt;&gt;0),Knoten!$D20+$V$48*SIN($H$48+$B67*(-$J$48+2*$L$48)),KnotenData!$H$3)</f>
        <v>0.47499999999999998</v>
      </c>
      <c r="P67">
        <f>IF(AND(ISNUMBER(Knoten!$D20),$B67&lt;&gt;0),Knoten!$D20+$V$48*SIN($H$48+$B67*(-$J$48+3*$L$48)),KnotenData!$H$3)</f>
        <v>0.47499999999999998</v>
      </c>
      <c r="Q67">
        <f>IF(AND(ISNUMBER(Knoten!$D20),$B67&lt;&gt;0),Knoten!$D20+$V$48*SIN($H$48+$B67*(-$J$48+4*$L$48)),KnotenData!$H$3)</f>
        <v>0.47499999999999998</v>
      </c>
      <c r="R67">
        <f>IF(AND(ISNUMBER(Knoten!$D20),$B67&lt;&gt;0),Knoten!$D20+$V$48*SIN($H$48+$B67*$N$48),KnotenData!$H$3)</f>
        <v>0.47499999999999998</v>
      </c>
      <c r="S67" s="12">
        <f>IF(AND(ISNUMBER(Knoten!$D20),$B67&lt;&gt;0),$R67+$J$1*$V$48*SIN($H$48+$B67*$N$48*$P$48),KnotenData!$H$3)</f>
        <v>0.47499999999999998</v>
      </c>
      <c r="T67" s="12">
        <f>IF(AND(ISNUMBER(Knoten!D20),B67&lt;&gt;0),Knoten!$D20+$V$48*SIN($H$48+$B67*$J$48),KnotenData!$H$3)</f>
        <v>0.47499999999999998</v>
      </c>
      <c r="U67" s="12">
        <f>IF(AND(ISNUMBER(Knoten!$D20),$B67&lt;&gt;0),$R67-$J$1*$V$48*SIN($H$48+$B67*$N$48*$P$48),KnotenData!$H$3)</f>
        <v>0.47499999999999998</v>
      </c>
      <c r="V67" s="30">
        <f t="shared" si="10"/>
        <v>0.47499999999999998</v>
      </c>
      <c r="W67" s="12"/>
      <c r="X67" s="12"/>
      <c r="Y67" s="12"/>
      <c r="Z67" s="12"/>
    </row>
    <row r="68" spans="1:26" x14ac:dyDescent="0.2">
      <c r="A68" s="30">
        <v>19</v>
      </c>
      <c r="B68" s="328">
        <f>SIGN(Knoten!J21)</f>
        <v>0</v>
      </c>
      <c r="C68">
        <f>IF(AND(ISNUMBER(Knoten!C21),B68&lt;&gt;0),Knoten!C21+$V$48*COS($H$48-B68*$J$48),KnotenData!$H$2)</f>
        <v>0.5</v>
      </c>
      <c r="D68">
        <f>IF(AND(ISNUMBER(Knoten!C21),B68&lt;&gt;0),Knoten!$C21+$V$48*COS($H$48+$B68*(-$J$48+$L$48)),KnotenData!$H$2)</f>
        <v>0.5</v>
      </c>
      <c r="E68">
        <f>IF(AND(ISNUMBER(Knoten!C21),B68&lt;&gt;0),Knoten!$C21+$V$48*COS($H$48+$B68*(-$J$48+2*$L$48)),KnotenData!$H$2)</f>
        <v>0.5</v>
      </c>
      <c r="F68">
        <f>IF(AND(ISNUMBER(Knoten!C21),B68&lt;&gt;0),Knoten!$C21+$V$48*COS($H$48+$B68*(-$J$48+3*$L$48)),KnotenData!$H$2)</f>
        <v>0.5</v>
      </c>
      <c r="G68">
        <f>IF(AND(ISNUMBER(Knoten!C21),B68&lt;&gt;0),Knoten!$C21+$V$48*COS($H$48+$B68*(-$J$48+4*$L$48)),KnotenData!$H$2)</f>
        <v>0.5</v>
      </c>
      <c r="H68">
        <f>IF(AND(ISNUMBER(Knoten!C21),B68&lt;&gt;0),Knoten!$C21+$V$48*COS($H$48+$B68*$N$48),KnotenData!$H$2)</f>
        <v>0.5</v>
      </c>
      <c r="I68">
        <f>IF(AND(ISNUMBER(Knoten!C21),B68&lt;&gt;0),$H68+$J$1*$V$48*COS($H$48+$B68*$N$48*$P$48),KnotenData!$H$2)</f>
        <v>0.5</v>
      </c>
      <c r="J68">
        <f>IF(AND(ISNUMBER(Knoten!C21),B68&lt;&gt;0),Knoten!$C21+$V$48*COS($H$48+$B68*$J$48),KnotenData!$H$2)</f>
        <v>0.5</v>
      </c>
      <c r="K68">
        <f>IF(AND(ISNUMBER(Knoten!C21),B68&lt;&gt;0),$H68-$J$1*$V$48*COS($H$48+$B68*$N$48*$P$48),KnotenData!$H$2)</f>
        <v>0.5</v>
      </c>
      <c r="L68" s="30">
        <f t="shared" si="9"/>
        <v>0.5</v>
      </c>
      <c r="M68">
        <f>IF(AND(ISNUMBER(Knoten!D21),B68&lt;&gt;0),Knoten!D21+$V$48*SIN($H$48-B68*$J$48),KnotenData!$H$3)</f>
        <v>0.47499999999999998</v>
      </c>
      <c r="N68">
        <f>IF(AND(ISNUMBER(Knoten!D21),B68&lt;&gt;0),Knoten!$D21+$V$48*SIN($H$48+$B68*(-$J$48+$L$48)),KnotenData!$H$3)</f>
        <v>0.47499999999999998</v>
      </c>
      <c r="O68">
        <f>IF(AND(ISNUMBER(Knoten!D21),$B68&lt;&gt;0),Knoten!$D21+$V$48*SIN($H$48+$B68*(-$J$48+2*$L$48)),KnotenData!$H$3)</f>
        <v>0.47499999999999998</v>
      </c>
      <c r="P68">
        <f>IF(AND(ISNUMBER(Knoten!$D21),$B68&lt;&gt;0),Knoten!$D21+$V$48*SIN($H$48+$B68*(-$J$48+3*$L$48)),KnotenData!$H$3)</f>
        <v>0.47499999999999998</v>
      </c>
      <c r="Q68">
        <f>IF(AND(ISNUMBER(Knoten!$D21),$B68&lt;&gt;0),Knoten!$D21+$V$48*SIN($H$48+$B68*(-$J$48+4*$L$48)),KnotenData!$H$3)</f>
        <v>0.47499999999999998</v>
      </c>
      <c r="R68">
        <f>IF(AND(ISNUMBER(Knoten!$D21),$B68&lt;&gt;0),Knoten!$D21+$V$48*SIN($H$48+$B68*$N$48),KnotenData!$H$3)</f>
        <v>0.47499999999999998</v>
      </c>
      <c r="S68" s="12">
        <f>IF(AND(ISNUMBER(Knoten!$D21),$B68&lt;&gt;0),$R68+$J$1*$V$48*SIN($H$48+$B68*$N$48*$P$48),KnotenData!$H$3)</f>
        <v>0.47499999999999998</v>
      </c>
      <c r="T68" s="12">
        <f>IF(AND(ISNUMBER(Knoten!D21),B68&lt;&gt;0),Knoten!$D21+$V$48*SIN($H$48+$B68*$J$48),KnotenData!$H$3)</f>
        <v>0.47499999999999998</v>
      </c>
      <c r="U68" s="12">
        <f>IF(AND(ISNUMBER(Knoten!$D21),$B68&lt;&gt;0),$R68-$J$1*$V$48*SIN($H$48+$B68*$N$48*$P$48),KnotenData!$H$3)</f>
        <v>0.47499999999999998</v>
      </c>
      <c r="V68" s="30">
        <f t="shared" si="10"/>
        <v>0.47499999999999998</v>
      </c>
      <c r="W68" s="12"/>
      <c r="X68" s="12"/>
      <c r="Y68" s="12"/>
      <c r="Z68" s="12"/>
    </row>
    <row r="69" spans="1:26" x14ac:dyDescent="0.2">
      <c r="A69" s="30">
        <v>20</v>
      </c>
      <c r="B69" s="328">
        <f>SIGN(Knoten!J22)</f>
        <v>0</v>
      </c>
      <c r="C69">
        <f>IF(AND(ISNUMBER(Knoten!C22),B69&lt;&gt;0),Knoten!C22+$V$48*COS($H$48-B69*$J$48),KnotenData!$H$2)</f>
        <v>0.5</v>
      </c>
      <c r="D69">
        <f>IF(AND(ISNUMBER(Knoten!C22),B69&lt;&gt;0),Knoten!$C22+$V$48*COS($H$48+$B69*(-$J$48+$L$48)),KnotenData!$H$2)</f>
        <v>0.5</v>
      </c>
      <c r="E69">
        <f>IF(AND(ISNUMBER(Knoten!C22),B69&lt;&gt;0),Knoten!$C22+$V$48*COS($H$48+$B69*(-$J$48+2*$L$48)),KnotenData!$H$2)</f>
        <v>0.5</v>
      </c>
      <c r="F69">
        <f>IF(AND(ISNUMBER(Knoten!C22),B69&lt;&gt;0),Knoten!$C22+$V$48*COS($H$48+$B69*(-$J$48+3*$L$48)),KnotenData!$H$2)</f>
        <v>0.5</v>
      </c>
      <c r="G69">
        <f>IF(AND(ISNUMBER(Knoten!C22),B69&lt;&gt;0),Knoten!$C22+$V$48*COS($H$48+$B69*(-$J$48+4*$L$48)),KnotenData!$H$2)</f>
        <v>0.5</v>
      </c>
      <c r="H69">
        <f>IF(AND(ISNUMBER(Knoten!C22),B69&lt;&gt;0),Knoten!$C22+$V$48*COS($H$48+$B69*$N$48),KnotenData!$H$2)</f>
        <v>0.5</v>
      </c>
      <c r="I69">
        <f>IF(AND(ISNUMBER(Knoten!C22),B69&lt;&gt;0),$H69+$J$1*$V$48*COS($H$48+$B69*$N$48*$P$48),KnotenData!$H$2)</f>
        <v>0.5</v>
      </c>
      <c r="J69">
        <f>IF(AND(ISNUMBER(Knoten!C22),B69&lt;&gt;0),Knoten!$C22+$V$48*COS($H$48+$B69*$J$48),KnotenData!$H$2)</f>
        <v>0.5</v>
      </c>
      <c r="K69">
        <f>IF(AND(ISNUMBER(Knoten!C22),B69&lt;&gt;0),$H69-$J$1*$V$48*COS($H$48+$B69*$N$48*$P$48),KnotenData!$H$2)</f>
        <v>0.5</v>
      </c>
      <c r="L69" s="30">
        <f t="shared" si="9"/>
        <v>0.5</v>
      </c>
      <c r="M69">
        <f>IF(AND(ISNUMBER(Knoten!D22),B69&lt;&gt;0),Knoten!D22+$V$48*SIN($H$48-B69*$J$48),KnotenData!$H$3)</f>
        <v>0.47499999999999998</v>
      </c>
      <c r="N69">
        <f>IF(AND(ISNUMBER(Knoten!D22),B69&lt;&gt;0),Knoten!$D22+$V$48*SIN($H$48+$B69*(-$J$48+$L$48)),KnotenData!$H$3)</f>
        <v>0.47499999999999998</v>
      </c>
      <c r="O69">
        <f>IF(AND(ISNUMBER(Knoten!D22),$B69&lt;&gt;0),Knoten!$D22+$V$48*SIN($H$48+$B69*(-$J$48+2*$L$48)),KnotenData!$H$3)</f>
        <v>0.47499999999999998</v>
      </c>
      <c r="P69">
        <f>IF(AND(ISNUMBER(Knoten!$D22),$B69&lt;&gt;0),Knoten!$D22+$V$48*SIN($H$48+$B69*(-$J$48+3*$L$48)),KnotenData!$H$3)</f>
        <v>0.47499999999999998</v>
      </c>
      <c r="Q69">
        <f>IF(AND(ISNUMBER(Knoten!$D22),$B69&lt;&gt;0),Knoten!$D22+$V$48*SIN($H$48+$B69*(-$J$48+4*$L$48)),KnotenData!$H$3)</f>
        <v>0.47499999999999998</v>
      </c>
      <c r="R69">
        <f>IF(AND(ISNUMBER(Knoten!$D22),$B69&lt;&gt;0),Knoten!$D22+$V$48*SIN($H$48+$B69*$N$48),KnotenData!$H$3)</f>
        <v>0.47499999999999998</v>
      </c>
      <c r="S69" s="12">
        <f>IF(AND(ISNUMBER(Knoten!$D22),$B69&lt;&gt;0),$R69+$J$1*$V$48*SIN($H$48+$B69*$N$48*$P$48),KnotenData!$H$3)</f>
        <v>0.47499999999999998</v>
      </c>
      <c r="T69" s="12">
        <f>IF(AND(ISNUMBER(Knoten!D22),B69&lt;&gt;0),Knoten!$D22+$V$48*SIN($H$48+$B69*$J$48),KnotenData!$H$3)</f>
        <v>0.47499999999999998</v>
      </c>
      <c r="U69" s="12">
        <f>IF(AND(ISNUMBER(Knoten!$D22),$B69&lt;&gt;0),$R69-$J$1*$V$48*SIN($H$48+$B69*$N$48*$P$48),KnotenData!$H$3)</f>
        <v>0.47499999999999998</v>
      </c>
      <c r="V69" s="30">
        <f t="shared" si="10"/>
        <v>0.47499999999999998</v>
      </c>
      <c r="W69" s="12"/>
      <c r="X69" s="12"/>
      <c r="Y69" s="12"/>
      <c r="Z69" s="12"/>
    </row>
    <row r="70" spans="1:26" x14ac:dyDescent="0.2">
      <c r="F70" s="12"/>
      <c r="K70" s="12"/>
      <c r="N70" s="12"/>
      <c r="O70" s="12"/>
      <c r="P70" s="12"/>
      <c r="Q70" s="12"/>
      <c r="R70" s="12"/>
      <c r="S70" s="12"/>
      <c r="T70" s="12"/>
      <c r="U70" s="12"/>
      <c r="V70" s="12"/>
      <c r="W70" s="12"/>
      <c r="X70" s="12"/>
      <c r="Y70" s="12"/>
      <c r="Z70" s="12"/>
    </row>
    <row r="71" spans="1:26" x14ac:dyDescent="0.2">
      <c r="N71" s="12"/>
      <c r="P71" s="12"/>
      <c r="R71" s="12"/>
      <c r="T71" s="12"/>
      <c r="V71" s="12"/>
      <c r="W71" s="12"/>
      <c r="X71" s="12"/>
      <c r="Y71" s="12"/>
      <c r="Z71" s="12"/>
    </row>
    <row r="72" spans="1:26" x14ac:dyDescent="0.2">
      <c r="N72" s="12"/>
      <c r="O72" s="12"/>
      <c r="P72" s="12"/>
      <c r="Q72" s="12"/>
      <c r="R72" s="12"/>
      <c r="S72" s="12"/>
      <c r="T72" s="12"/>
      <c r="U72" s="12"/>
      <c r="V72" s="12"/>
      <c r="W72" s="12"/>
      <c r="X72" s="12"/>
      <c r="Y72" s="12"/>
      <c r="Z72" s="12"/>
    </row>
    <row r="73" spans="1:26" x14ac:dyDescent="0.2">
      <c r="N73" s="12"/>
      <c r="O73" s="12"/>
      <c r="P73" s="12"/>
      <c r="Q73" s="12"/>
      <c r="R73" s="12"/>
      <c r="S73" s="12"/>
      <c r="T73" s="12"/>
      <c r="U73" s="12"/>
      <c r="V73" s="12"/>
      <c r="W73" s="12"/>
      <c r="X73" s="12"/>
      <c r="Y73" s="12"/>
      <c r="Z73" s="12"/>
    </row>
    <row r="74" spans="1:26" x14ac:dyDescent="0.2">
      <c r="N74" s="12"/>
      <c r="O74" s="12"/>
      <c r="P74" s="12"/>
      <c r="Q74" s="12"/>
      <c r="R74" s="12"/>
      <c r="S74" s="12"/>
      <c r="T74" s="12"/>
      <c r="U74" s="12"/>
      <c r="V74" s="12"/>
      <c r="W74" s="12"/>
      <c r="X74" s="12"/>
      <c r="Y74" s="12"/>
      <c r="Z74" s="12"/>
    </row>
  </sheetData>
  <sheetProtection password="C690" sheet="1" objects="1" scenarios="1"/>
  <mergeCells count="9">
    <mergeCell ref="C3:G3"/>
    <mergeCell ref="H26:L26"/>
    <mergeCell ref="C26:G26"/>
    <mergeCell ref="M1:N1"/>
    <mergeCell ref="P3:S3"/>
    <mergeCell ref="T3:W3"/>
    <mergeCell ref="P26:S26"/>
    <mergeCell ref="T26:W26"/>
    <mergeCell ref="H3:L3"/>
  </mergeCell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I49"/>
  <sheetViews>
    <sheetView zoomScale="75" zoomScaleNormal="75" workbookViewId="0">
      <selection activeCell="R58" sqref="R58"/>
    </sheetView>
  </sheetViews>
  <sheetFormatPr baseColWidth="10" defaultRowHeight="12.75" x14ac:dyDescent="0.2"/>
  <sheetData>
    <row r="1" spans="1:22" ht="13.5" thickBot="1" x14ac:dyDescent="0.25">
      <c r="A1" s="330" t="s">
        <v>49</v>
      </c>
      <c r="B1" s="330">
        <v>0.1</v>
      </c>
      <c r="D1" s="339" t="s">
        <v>90</v>
      </c>
      <c r="E1" s="1">
        <f>$B$1*KnotenData!$H$4</f>
        <v>6.2769917157823304E-2</v>
      </c>
      <c r="G1" s="327" t="s">
        <v>132</v>
      </c>
      <c r="H1" s="326">
        <v>0.3</v>
      </c>
      <c r="I1" s="327" t="s">
        <v>133</v>
      </c>
      <c r="J1" s="75">
        <v>0.3</v>
      </c>
      <c r="K1" s="340" t="s">
        <v>140</v>
      </c>
      <c r="L1" s="75">
        <v>0.1</v>
      </c>
      <c r="M1" s="327" t="s">
        <v>141</v>
      </c>
      <c r="N1" s="75">
        <v>0.35</v>
      </c>
      <c r="O1" s="340" t="s">
        <v>142</v>
      </c>
      <c r="P1" s="75">
        <v>0.1</v>
      </c>
      <c r="Q1" s="327" t="s">
        <v>143</v>
      </c>
      <c r="R1" s="326">
        <v>0.35</v>
      </c>
      <c r="S1" s="327" t="s">
        <v>150</v>
      </c>
      <c r="T1" s="75">
        <f>L1*E1</f>
        <v>6.276991715782331E-3</v>
      </c>
    </row>
    <row r="4" spans="1:22" ht="13.5" thickBot="1" x14ac:dyDescent="0.25">
      <c r="A4" s="341" t="s">
        <v>6</v>
      </c>
      <c r="B4" s="329" t="s">
        <v>51</v>
      </c>
      <c r="C4" s="341" t="s">
        <v>52</v>
      </c>
      <c r="D4" s="341" t="s">
        <v>11</v>
      </c>
      <c r="E4" s="329" t="s">
        <v>70</v>
      </c>
      <c r="F4" s="341" t="s">
        <v>71</v>
      </c>
      <c r="G4" s="329" t="s">
        <v>0</v>
      </c>
      <c r="H4" s="329" t="s">
        <v>8</v>
      </c>
      <c r="I4" s="329" t="s">
        <v>134</v>
      </c>
      <c r="J4" s="329" t="s">
        <v>135</v>
      </c>
      <c r="K4" s="329" t="s">
        <v>138</v>
      </c>
      <c r="L4" s="329" t="s">
        <v>139</v>
      </c>
      <c r="M4" s="329" t="s">
        <v>146</v>
      </c>
      <c r="N4" s="341" t="s">
        <v>147</v>
      </c>
      <c r="O4" s="329" t="s">
        <v>7</v>
      </c>
      <c r="P4" s="329" t="s">
        <v>9</v>
      </c>
      <c r="Q4" s="329" t="s">
        <v>136</v>
      </c>
      <c r="R4" s="329" t="s">
        <v>137</v>
      </c>
      <c r="S4" s="329" t="s">
        <v>144</v>
      </c>
      <c r="T4" s="329" t="s">
        <v>145</v>
      </c>
      <c r="U4" s="329" t="s">
        <v>148</v>
      </c>
      <c r="V4" s="341" t="s">
        <v>149</v>
      </c>
    </row>
    <row r="5" spans="1:22" x14ac:dyDescent="0.2">
      <c r="A5" s="30">
        <v>1</v>
      </c>
      <c r="B5">
        <f>IF(ISNUMBER(System!$C2),SIGN(System!$G2),0)</f>
        <v>0</v>
      </c>
      <c r="C5" s="30">
        <f>IF(ISNUMBER(System!$C2),SIGN(System!$H2),0)</f>
        <v>0</v>
      </c>
      <c r="D5" s="30">
        <f ca="1">IF(ISNUMBER(System!$C2),System!O2,0)</f>
        <v>0.70710678118654757</v>
      </c>
      <c r="E5">
        <f ca="1">IF(ISNUMBER(System!$C2),System!$Q2,0)</f>
        <v>0.70710678118654746</v>
      </c>
      <c r="F5" s="30">
        <f ca="1">IF(ISNUMBER(System!$C2),System!$R2,0)</f>
        <v>0.70710678118654746</v>
      </c>
      <c r="G5">
        <f>IF(AND(ISNUMBER(System!$C2),ABS(B5)+ABS(C5)&lt;&gt;0),System!K2+$J$1*MIN($E$1,D5)*F5 - C5*$H$1*$E$1*E5,KnotenData!$H$2)</f>
        <v>0.5</v>
      </c>
      <c r="H5">
        <f>IF(AND(ISNUMBER(System!$C2),ABS(B5)+ABS(C5)&lt;&gt;0),System!L2-$J$1*MIN($E$1,D5)*F5 - C5*$H$1*$E$1*E5,KnotenData!$H$2)</f>
        <v>0.5</v>
      </c>
      <c r="I5">
        <f>IF(AND(ISNUMBER(System!$C2),ABS(B5)+ABS(C5)&lt;&gt;0),H5 - C5*$E$1*E5,KnotenData!$H$2)</f>
        <v>0.5</v>
      </c>
      <c r="J5">
        <f>IF(AND(ISNUMBER(System!$C2),ABS(B5)+ABS(C5)&lt;&gt;0),G5 - C5*$E$1*E5,KnotenData!$H$2)</f>
        <v>0.5</v>
      </c>
      <c r="K5">
        <f>IF(AND(ISNUMBER(System!$C2),ABS(B5)+ABS(C5)&lt;&gt;0),G5 - C5*$N$1*$E$1*E5,KnotenData!$H$2)</f>
        <v>0.5</v>
      </c>
      <c r="L5">
        <f>IF(AND(ISNUMBER(System!$C2),ABS(B5)+ABS(C5)&lt;&gt;0),H5 - C5*$N$1*$E$1*E5,KnotenData!$H$2)</f>
        <v>0.5</v>
      </c>
      <c r="M5">
        <f>IF(AND(ISNUMBER(System!$C2),ABS(B5)+ABS(C5)&lt;&gt;0),IF(B5&gt;=0,H5,G5)-B5*$R$1*MIN(D5,$E$1)*F5,KnotenData!$H$2)</f>
        <v>0.5</v>
      </c>
      <c r="N5" s="30">
        <f>IF(AND(ISNUMBER(System!$C2),ABS(B5)+ABS(C5)&lt;&gt;0),IF(B5&gt;=0,I5,J5)-B5*$R$1*MIN(D5,$E$1)*F5,KnotenData!$H$2)</f>
        <v>0.5</v>
      </c>
      <c r="O5">
        <f>IF(AND(ISNUMBER(System!$C2),ABS(B5)+ABS(C5)&lt;&gt;0),System!M2-$J$1*MIN($E$1,D5)*E5 - SIGN(C5+0.2)*$H$1*$E$1*F5,KnotenData!$H$3)</f>
        <v>0.47499999999999998</v>
      </c>
      <c r="P5">
        <f>IF(AND(ISNUMBER(System!$C2),ABS(B5)+ABS(C5)&lt;&gt;0),System!N2+$J$1*MIN($E$1,D5)*E5 - SIGN(C5+0.2)*$H$1*$E$1*F5,KnotenData!$H$3)</f>
        <v>0.47499999999999998</v>
      </c>
      <c r="Q5">
        <f>IF(AND(ISNUMBER(System!$C2),ABS(B5)+ABS(C5)&lt;&gt;0),P5 - SIGN(C5+0.2)*$E$1*F5,KnotenData!$H$3)</f>
        <v>0.47499999999999998</v>
      </c>
      <c r="R5">
        <f>IF(AND(ISNUMBER(System!$C2),ABS(B5)+ABS(C5)&lt;&gt;0),O5 - SIGN(C5+0.2)*$E$1*F5,KnotenData!$H$3)</f>
        <v>0.47499999999999998</v>
      </c>
      <c r="S5">
        <f>IF(AND(ISNUMBER(System!$C2),ABS(B5)+ABS(C5)&lt;&gt;0),O5 - SIGN(C5+0.2)*$N$1*$E$1*F5,KnotenData!$H$3)</f>
        <v>0.47499999999999998</v>
      </c>
      <c r="T5">
        <f>IF(AND(ISNUMBER(System!$C2),ABS(B5)+ABS(C5)&lt;&gt;0),P5 - SIGN(C5+0.2)*$N$1*$E$1*F5,KnotenData!$H$3)</f>
        <v>0.47499999999999998</v>
      </c>
      <c r="U5">
        <f>IF(AND(ISNUMBER(System!$C2),ABS(B5)+ABS(C5)&lt;&gt;0),IF(B5&gt;=0,P5,O5)+B5*$R$1*MIN(D5,$E$1)*E5,KnotenData!$H$3)</f>
        <v>0.47499999999999998</v>
      </c>
      <c r="V5" s="30">
        <f>IF(AND(ISNUMBER(System!$C2),ABS(B5)+ABS(C5)&lt;&gt;0),IF(B5&gt;=0,Q5,R5)+B5*$R$1*MIN(D5,$E$1)*E5,KnotenData!$H$3)</f>
        <v>0.47499999999999998</v>
      </c>
    </row>
    <row r="6" spans="1:22" x14ac:dyDescent="0.2">
      <c r="A6" s="30">
        <v>2</v>
      </c>
      <c r="B6">
        <f>IF(ISNUMBER(System!$C3),SIGN(System!$G3),0)</f>
        <v>0</v>
      </c>
      <c r="C6" s="30">
        <f>IF(ISNUMBER(System!$C3),SIGN(System!$H3),0)</f>
        <v>1</v>
      </c>
      <c r="D6" s="30">
        <f ca="1">IF(ISNUMBER(System!$C3),System!O3,0)</f>
        <v>0.5</v>
      </c>
      <c r="E6">
        <f ca="1">IF(ISNUMBER(System!$C3),System!$Q3,0)</f>
        <v>0</v>
      </c>
      <c r="F6" s="30">
        <f ca="1">IF(ISNUMBER(System!$C3),System!$R3,0)</f>
        <v>1</v>
      </c>
      <c r="G6">
        <f ca="1">IF(AND(ISNUMBER(System!$C3),ABS(B6)+ABS(C6)&lt;&gt;0),System!K3+$J$1*MIN($E$1,D6)*F6 - C6*$H$1*$E$1*E6,KnotenData!$H$2)</f>
        <v>0.518830975147347</v>
      </c>
      <c r="H6">
        <f ca="1">IF(AND(ISNUMBER(System!$C3),ABS(B6)+ABS(C6)&lt;&gt;0),System!L3-$J$1*MIN($E$1,D6)*F6 - C6*$H$1*$E$1*E6,KnotenData!$H$2)</f>
        <v>0.981169024852653</v>
      </c>
      <c r="I6">
        <f ca="1">IF(AND(ISNUMBER(System!$C3),ABS(B6)+ABS(C6)&lt;&gt;0),H6 - C6*$E$1*E6,KnotenData!$H$2)</f>
        <v>0.981169024852653</v>
      </c>
      <c r="J6">
        <f ca="1">IF(AND(ISNUMBER(System!$C3),ABS(B6)+ABS(C6)&lt;&gt;0),G6 - C6*$E$1*E6,KnotenData!$H$2)</f>
        <v>0.518830975147347</v>
      </c>
      <c r="K6">
        <f ca="1">IF(AND(ISNUMBER(System!$C3),ABS(B6)+ABS(C6)&lt;&gt;0),G6 - C6*$N$1*$E$1*E6,KnotenData!$H$2)</f>
        <v>0.518830975147347</v>
      </c>
      <c r="L6">
        <f ca="1">IF(AND(ISNUMBER(System!$C3),ABS(B6)+ABS(C6)&lt;&gt;0),H6 - C6*$N$1*$E$1*E6,KnotenData!$H$2)</f>
        <v>0.981169024852653</v>
      </c>
      <c r="M6">
        <f ca="1">IF(AND(ISNUMBER(System!$C3),ABS(B6)+ABS(C6)&lt;&gt;0),IF(B6&gt;=0,H6,G6)-B6*$R$1*MIN(D6,$E$1)*F6,KnotenData!$H$2)</f>
        <v>0.981169024852653</v>
      </c>
      <c r="N6" s="30">
        <f ca="1">IF(AND(ISNUMBER(System!$C3),ABS(B6)+ABS(C6)&lt;&gt;0),IF(B6&gt;=0,I6,J6)-B6*$R$1*MIN(D6,$E$1)*F6,KnotenData!$H$2)</f>
        <v>0.981169024852653</v>
      </c>
      <c r="O6">
        <f ca="1">IF(AND(ISNUMBER(System!$C3),ABS(B6)+ABS(C6)&lt;&gt;0),System!M3-$J$1*MIN($E$1,D6)*E6 - SIGN(C6+0.2)*$H$1*$E$1*F6,KnotenData!$H$3)</f>
        <v>0.231169024852653</v>
      </c>
      <c r="P6">
        <f ca="1">IF(AND(ISNUMBER(System!$C3),ABS(B6)+ABS(C6)&lt;&gt;0),System!N3+$J$1*MIN($E$1,D6)*E6 - SIGN(C6+0.2)*$H$1*$E$1*F6,KnotenData!$H$3)</f>
        <v>0.231169024852653</v>
      </c>
      <c r="Q6">
        <f ca="1">IF(AND(ISNUMBER(System!$C3),ABS(B6)+ABS(C6)&lt;&gt;0),P6 - SIGN(C6+0.2)*$E$1*F6,KnotenData!$H$3)</f>
        <v>0.16839910769482969</v>
      </c>
      <c r="R6">
        <f ca="1">IF(AND(ISNUMBER(System!$C3),ABS(B6)+ABS(C6)&lt;&gt;0),O6 - SIGN(C6+0.2)*$E$1*F6,KnotenData!$H$3)</f>
        <v>0.16839910769482969</v>
      </c>
      <c r="S6">
        <f ca="1">IF(AND(ISNUMBER(System!$C3),ABS(B6)+ABS(C6)&lt;&gt;0),O6 - SIGN(C6+0.2)*$N$1*$E$1*F6,KnotenData!$H$3)</f>
        <v>0.20919955384741484</v>
      </c>
      <c r="T6">
        <f ca="1">IF(AND(ISNUMBER(System!$C3),ABS(B6)+ABS(C6)&lt;&gt;0),P6 - SIGN(C6+0.2)*$N$1*$E$1*F6,KnotenData!$H$3)</f>
        <v>0.20919955384741484</v>
      </c>
      <c r="U6">
        <f ca="1">IF(AND(ISNUMBER(System!$C3),ABS(B6)+ABS(C6)&lt;&gt;0),IF(B6&gt;=0,P6,O6)+B6*$R$1*MIN(D6,$E$1)*E6,KnotenData!$H$3)</f>
        <v>0.231169024852653</v>
      </c>
      <c r="V6" s="30">
        <f ca="1">IF(AND(ISNUMBER(System!$C3),ABS(B6)+ABS(C6)&lt;&gt;0),IF(B6&gt;=0,Q6,R6)+B6*$R$1*MIN(D6,$E$1)*E6,KnotenData!$H$3)</f>
        <v>0.16839910769482969</v>
      </c>
    </row>
    <row r="7" spans="1:22" x14ac:dyDescent="0.2">
      <c r="A7" s="30">
        <v>3</v>
      </c>
      <c r="B7">
        <f>IF(ISNUMBER(System!$C4),SIGN(System!$G4),0)</f>
        <v>0</v>
      </c>
      <c r="C7" s="30">
        <f>IF(ISNUMBER(System!$C4),SIGN(System!$H4),0)</f>
        <v>0</v>
      </c>
      <c r="D7" s="30">
        <f>IF(ISNUMBER(System!$C4),System!O4,0)</f>
        <v>0</v>
      </c>
      <c r="E7">
        <f>IF(ISNUMBER(System!$C4),System!$Q4,0)</f>
        <v>0</v>
      </c>
      <c r="F7" s="30">
        <f>IF(ISNUMBER(System!$C4),System!$R4,0)</f>
        <v>0</v>
      </c>
      <c r="G7">
        <f>IF(AND(ISNUMBER(System!$C4),ABS(B7)+ABS(C7)&lt;&gt;0),System!K4+$J$1*MIN($E$1,D7)*F7 - C7*$H$1*$E$1*E7,KnotenData!$H$2)</f>
        <v>0.5</v>
      </c>
      <c r="H7">
        <f>IF(AND(ISNUMBER(System!$C4),ABS(B7)+ABS(C7)&lt;&gt;0),System!L4-$J$1*MIN($E$1,D7)*F7 - C7*$H$1*$E$1*E7,KnotenData!$H$2)</f>
        <v>0.5</v>
      </c>
      <c r="I7">
        <f>IF(AND(ISNUMBER(System!$C4),ABS(B7)+ABS(C7)&lt;&gt;0),H7 - C7*$E$1*E7,KnotenData!$H$2)</f>
        <v>0.5</v>
      </c>
      <c r="J7">
        <f>IF(AND(ISNUMBER(System!$C4),ABS(B7)+ABS(C7)&lt;&gt;0),G7 - C7*$E$1*E7,KnotenData!$H$2)</f>
        <v>0.5</v>
      </c>
      <c r="K7">
        <f>IF(AND(ISNUMBER(System!$C4),ABS(B7)+ABS(C7)&lt;&gt;0),G7 - C7*$N$1*$E$1*E7,KnotenData!$H$2)</f>
        <v>0.5</v>
      </c>
      <c r="L7">
        <f>IF(AND(ISNUMBER(System!$C4),ABS(B7)+ABS(C7)&lt;&gt;0),H7 - C7*$N$1*$E$1*E7,KnotenData!$H$2)</f>
        <v>0.5</v>
      </c>
      <c r="M7">
        <f>IF(AND(ISNUMBER(System!$C4),ABS(B7)+ABS(C7)&lt;&gt;0),IF(B7&gt;=0,H7,G7)-B7*$R$1*MIN(D7,$E$1)*F7,KnotenData!$H$2)</f>
        <v>0.5</v>
      </c>
      <c r="N7" s="30">
        <f>IF(AND(ISNUMBER(System!$C4),ABS(B7)+ABS(C7)&lt;&gt;0),IF(B7&gt;=0,I7,J7)-B7*$R$1*MIN(D7,$E$1)*F7,KnotenData!$H$2)</f>
        <v>0.5</v>
      </c>
      <c r="O7">
        <f>IF(AND(ISNUMBER(System!$C4),ABS(B7)+ABS(C7)&lt;&gt;0),System!M4-$J$1*MIN($E$1,D7)*E7 - SIGN(C7+0.2)*$H$1*$E$1*F7,KnotenData!$H$3)</f>
        <v>0.47499999999999998</v>
      </c>
      <c r="P7">
        <f>IF(AND(ISNUMBER(System!$C4),ABS(B7)+ABS(C7)&lt;&gt;0),System!N4+$J$1*MIN($E$1,D7)*E7 - SIGN(C7+0.2)*$H$1*$E$1*F7,KnotenData!$H$3)</f>
        <v>0.47499999999999998</v>
      </c>
      <c r="Q7">
        <f>IF(AND(ISNUMBER(System!$C4),ABS(B7)+ABS(C7)&lt;&gt;0),P7 - SIGN(C7+0.2)*$E$1*F7,KnotenData!$H$3)</f>
        <v>0.47499999999999998</v>
      </c>
      <c r="R7">
        <f>IF(AND(ISNUMBER(System!$C4),ABS(B7)+ABS(C7)&lt;&gt;0),O7 - SIGN(C7+0.2)*$E$1*F7,KnotenData!$H$3)</f>
        <v>0.47499999999999998</v>
      </c>
      <c r="S7">
        <f>IF(AND(ISNUMBER(System!$C4),ABS(B7)+ABS(C7)&lt;&gt;0),O7 - SIGN(C7+0.2)*$N$1*$E$1*F7,KnotenData!$H$3)</f>
        <v>0.47499999999999998</v>
      </c>
      <c r="T7">
        <f>IF(AND(ISNUMBER(System!$C4),ABS(B7)+ABS(C7)&lt;&gt;0),P7 - SIGN(C7+0.2)*$N$1*$E$1*F7,KnotenData!$H$3)</f>
        <v>0.47499999999999998</v>
      </c>
      <c r="U7">
        <f>IF(AND(ISNUMBER(System!$C4),ABS(B7)+ABS(C7)&lt;&gt;0),IF(B7&gt;=0,P7,O7)+B7*$R$1*MIN(D7,$E$1)*E7,KnotenData!$H$3)</f>
        <v>0.47499999999999998</v>
      </c>
      <c r="V7" s="30">
        <f>IF(AND(ISNUMBER(System!$C4),ABS(B7)+ABS(C7)&lt;&gt;0),IF(B7&gt;=0,Q7,R7)+B7*$R$1*MIN(D7,$E$1)*E7,KnotenData!$H$3)</f>
        <v>0.47499999999999998</v>
      </c>
    </row>
    <row r="8" spans="1:22" x14ac:dyDescent="0.2">
      <c r="A8" s="30">
        <v>4</v>
      </c>
      <c r="B8">
        <f>IF(ISNUMBER(System!$C5),SIGN(System!$G5),0)</f>
        <v>0</v>
      </c>
      <c r="C8" s="30">
        <f>IF(ISNUMBER(System!$C5),SIGN(System!$H5),0)</f>
        <v>0</v>
      </c>
      <c r="D8" s="30">
        <f>IF(ISNUMBER(System!$C5),System!O5,0)</f>
        <v>0</v>
      </c>
      <c r="E8">
        <f>IF(ISNUMBER(System!$C5),System!$Q5,0)</f>
        <v>0</v>
      </c>
      <c r="F8" s="30">
        <f>IF(ISNUMBER(System!$C5),System!$R5,0)</f>
        <v>0</v>
      </c>
      <c r="G8">
        <f>IF(AND(ISNUMBER(System!$C5),ABS(B8)+ABS(C8)&lt;&gt;0),System!K5+$J$1*MIN($E$1,D8)*F8 - C8*$H$1*$E$1*E8,KnotenData!$H$2)</f>
        <v>0.5</v>
      </c>
      <c r="H8">
        <f>IF(AND(ISNUMBER(System!$C5),ABS(B8)+ABS(C8)&lt;&gt;0),System!L5-$J$1*MIN($E$1,D8)*F8 - C8*$H$1*$E$1*E8,KnotenData!$H$2)</f>
        <v>0.5</v>
      </c>
      <c r="I8">
        <f>IF(AND(ISNUMBER(System!$C5),ABS(B8)+ABS(C8)&lt;&gt;0),H8 - C8*$E$1*E8,KnotenData!$H$2)</f>
        <v>0.5</v>
      </c>
      <c r="J8">
        <f>IF(AND(ISNUMBER(System!$C5),ABS(B8)+ABS(C8)&lt;&gt;0),G8 - C8*$E$1*E8,KnotenData!$H$2)</f>
        <v>0.5</v>
      </c>
      <c r="K8">
        <f>IF(AND(ISNUMBER(System!$C5),ABS(B8)+ABS(C8)&lt;&gt;0),G8 - C8*$N$1*$E$1*E8,KnotenData!$H$2)</f>
        <v>0.5</v>
      </c>
      <c r="L8">
        <f>IF(AND(ISNUMBER(System!$C5),ABS(B8)+ABS(C8)&lt;&gt;0),H8 - C8*$N$1*$E$1*E8,KnotenData!$H$2)</f>
        <v>0.5</v>
      </c>
      <c r="M8">
        <f>IF(AND(ISNUMBER(System!$C5),ABS(B8)+ABS(C8)&lt;&gt;0),IF(B8&gt;=0,H8,G8)-B8*$R$1*MIN(D8,$E$1)*F8,KnotenData!$H$2)</f>
        <v>0.5</v>
      </c>
      <c r="N8" s="30">
        <f>IF(AND(ISNUMBER(System!$C5),ABS(B8)+ABS(C8)&lt;&gt;0),IF(B8&gt;=0,I8,J8)-B8*$R$1*MIN(D8,$E$1)*F8,KnotenData!$H$2)</f>
        <v>0.5</v>
      </c>
      <c r="O8">
        <f>IF(AND(ISNUMBER(System!$C5),ABS(B8)+ABS(C8)&lt;&gt;0),System!M5-$J$1*MIN($E$1,D8)*E8 - SIGN(C8+0.2)*$H$1*$E$1*F8,KnotenData!$H$3)</f>
        <v>0.47499999999999998</v>
      </c>
      <c r="P8">
        <f>IF(AND(ISNUMBER(System!$C5),ABS(B8)+ABS(C8)&lt;&gt;0),System!N5+$J$1*MIN($E$1,D8)*E8 - SIGN(C8+0.2)*$H$1*$E$1*F8,KnotenData!$H$3)</f>
        <v>0.47499999999999998</v>
      </c>
      <c r="Q8">
        <f>IF(AND(ISNUMBER(System!$C5),ABS(B8)+ABS(C8)&lt;&gt;0),P8 - SIGN(C8+0.2)*$E$1*F8,KnotenData!$H$3)</f>
        <v>0.47499999999999998</v>
      </c>
      <c r="R8">
        <f>IF(AND(ISNUMBER(System!$C5),ABS(B8)+ABS(C8)&lt;&gt;0),O8 - SIGN(C8+0.2)*$E$1*F8,KnotenData!$H$3)</f>
        <v>0.47499999999999998</v>
      </c>
      <c r="S8">
        <f>IF(AND(ISNUMBER(System!$C5),ABS(B8)+ABS(C8)&lt;&gt;0),O8 - SIGN(C8+0.2)*$N$1*$E$1*F8,KnotenData!$H$3)</f>
        <v>0.47499999999999998</v>
      </c>
      <c r="T8">
        <f>IF(AND(ISNUMBER(System!$C5),ABS(B8)+ABS(C8)&lt;&gt;0),P8 - SIGN(C8+0.2)*$N$1*$E$1*F8,KnotenData!$H$3)</f>
        <v>0.47499999999999998</v>
      </c>
      <c r="U8">
        <f>IF(AND(ISNUMBER(System!$C5),ABS(B8)+ABS(C8)&lt;&gt;0),IF(B8&gt;=0,P8,O8)+B8*$R$1*MIN(D8,$E$1)*E8,KnotenData!$H$3)</f>
        <v>0.47499999999999998</v>
      </c>
      <c r="V8" s="30">
        <f>IF(AND(ISNUMBER(System!$C5),ABS(B8)+ABS(C8)&lt;&gt;0),IF(B8&gt;=0,Q8,R8)+B8*$R$1*MIN(D8,$E$1)*E8,KnotenData!$H$3)</f>
        <v>0.47499999999999998</v>
      </c>
    </row>
    <row r="9" spans="1:22" x14ac:dyDescent="0.2">
      <c r="A9" s="30">
        <v>5</v>
      </c>
      <c r="B9">
        <f>IF(ISNUMBER(System!$C6),SIGN(System!$G6),0)</f>
        <v>0</v>
      </c>
      <c r="C9" s="30">
        <f>IF(ISNUMBER(System!$C6),SIGN(System!$H6),0)</f>
        <v>0</v>
      </c>
      <c r="D9" s="30">
        <f>IF(ISNUMBER(System!$C6),System!O6,0)</f>
        <v>0</v>
      </c>
      <c r="E9">
        <f>IF(ISNUMBER(System!$C6),System!$Q6,0)</f>
        <v>0</v>
      </c>
      <c r="F9" s="30">
        <f>IF(ISNUMBER(System!$C6),System!$R6,0)</f>
        <v>0</v>
      </c>
      <c r="G9">
        <f>IF(AND(ISNUMBER(System!$C6),ABS(B9)+ABS(C9)&lt;&gt;0),System!K6+$J$1*MIN($E$1,D9)*F9 - C9*$H$1*$E$1*E9,KnotenData!$H$2)</f>
        <v>0.5</v>
      </c>
      <c r="H9">
        <f>IF(AND(ISNUMBER(System!$C6),ABS(B9)+ABS(C9)&lt;&gt;0),System!L6-$J$1*MIN($E$1,D9)*F9 - C9*$H$1*$E$1*E9,KnotenData!$H$2)</f>
        <v>0.5</v>
      </c>
      <c r="I9">
        <f>IF(AND(ISNUMBER(System!$C6),ABS(B9)+ABS(C9)&lt;&gt;0),H9 - C9*$E$1*E9,KnotenData!$H$2)</f>
        <v>0.5</v>
      </c>
      <c r="J9">
        <f>IF(AND(ISNUMBER(System!$C6),ABS(B9)+ABS(C9)&lt;&gt;0),G9 - C9*$E$1*E9,KnotenData!$H$2)</f>
        <v>0.5</v>
      </c>
      <c r="K9">
        <f>IF(AND(ISNUMBER(System!$C6),ABS(B9)+ABS(C9)&lt;&gt;0),G9 - C9*$N$1*$E$1*E9,KnotenData!$H$2)</f>
        <v>0.5</v>
      </c>
      <c r="L9">
        <f>IF(AND(ISNUMBER(System!$C6),ABS(B9)+ABS(C9)&lt;&gt;0),H9 - C9*$N$1*$E$1*E9,KnotenData!$H$2)</f>
        <v>0.5</v>
      </c>
      <c r="M9">
        <f>IF(AND(ISNUMBER(System!$C6),ABS(B9)+ABS(C9)&lt;&gt;0),IF(B9&gt;=0,H9,G9)-B9*$R$1*MIN(D9,$E$1)*F9,KnotenData!$H$2)</f>
        <v>0.5</v>
      </c>
      <c r="N9" s="30">
        <f>IF(AND(ISNUMBER(System!$C6),ABS(B9)+ABS(C9)&lt;&gt;0),IF(B9&gt;=0,I9,J9)-B9*$R$1*MIN(D9,$E$1)*F9,KnotenData!$H$2)</f>
        <v>0.5</v>
      </c>
      <c r="O9">
        <f>IF(AND(ISNUMBER(System!$C6),ABS(B9)+ABS(C9)&lt;&gt;0),System!M6-$J$1*MIN($E$1,D9)*E9 - SIGN(C9+0.2)*$H$1*$E$1*F9,KnotenData!$H$3)</f>
        <v>0.47499999999999998</v>
      </c>
      <c r="P9">
        <f>IF(AND(ISNUMBER(System!$C6),ABS(B9)+ABS(C9)&lt;&gt;0),System!N6+$J$1*MIN($E$1,D9)*E9 - SIGN(C9+0.2)*$H$1*$E$1*F9,KnotenData!$H$3)</f>
        <v>0.47499999999999998</v>
      </c>
      <c r="Q9">
        <f>IF(AND(ISNUMBER(System!$C6),ABS(B9)+ABS(C9)&lt;&gt;0),P9 - SIGN(C9+0.2)*$E$1*F9,KnotenData!$H$3)</f>
        <v>0.47499999999999998</v>
      </c>
      <c r="R9">
        <f>IF(AND(ISNUMBER(System!$C6),ABS(B9)+ABS(C9)&lt;&gt;0),O9 - SIGN(C9+0.2)*$E$1*F9,KnotenData!$H$3)</f>
        <v>0.47499999999999998</v>
      </c>
      <c r="S9">
        <f>IF(AND(ISNUMBER(System!$C6),ABS(B9)+ABS(C9)&lt;&gt;0),O9 - SIGN(C9+0.2)*$N$1*$E$1*F9,KnotenData!$H$3)</f>
        <v>0.47499999999999998</v>
      </c>
      <c r="T9">
        <f>IF(AND(ISNUMBER(System!$C6),ABS(B9)+ABS(C9)&lt;&gt;0),P9 - SIGN(C9+0.2)*$N$1*$E$1*F9,KnotenData!$H$3)</f>
        <v>0.47499999999999998</v>
      </c>
      <c r="U9">
        <f>IF(AND(ISNUMBER(System!$C6),ABS(B9)+ABS(C9)&lt;&gt;0),IF(B9&gt;=0,P9,O9)+B9*$R$1*MIN(D9,$E$1)*E9,KnotenData!$H$3)</f>
        <v>0.47499999999999998</v>
      </c>
      <c r="V9" s="30">
        <f>IF(AND(ISNUMBER(System!$C6),ABS(B9)+ABS(C9)&lt;&gt;0),IF(B9&gt;=0,Q9,R9)+B9*$R$1*MIN(D9,$E$1)*E9,KnotenData!$H$3)</f>
        <v>0.47499999999999998</v>
      </c>
    </row>
    <row r="10" spans="1:22" x14ac:dyDescent="0.2">
      <c r="A10" s="30">
        <v>6</v>
      </c>
      <c r="B10">
        <f>IF(ISNUMBER(System!$C7),SIGN(System!$G7),0)</f>
        <v>0</v>
      </c>
      <c r="C10" s="30">
        <f>IF(ISNUMBER(System!$C7),SIGN(System!$H7),0)</f>
        <v>0</v>
      </c>
      <c r="D10" s="30">
        <f>IF(ISNUMBER(System!$C7),System!O7,0)</f>
        <v>0</v>
      </c>
      <c r="E10">
        <f>IF(ISNUMBER(System!$C7),System!$Q7,0)</f>
        <v>0</v>
      </c>
      <c r="F10" s="30">
        <f>IF(ISNUMBER(System!$C7),System!$R7,0)</f>
        <v>0</v>
      </c>
      <c r="G10">
        <f>IF(AND(ISNUMBER(System!$C7),ABS(B10)+ABS(C10)&lt;&gt;0),System!K7+$J$1*MIN($E$1,D10)*F10 - C10*$H$1*$E$1*E10,KnotenData!$H$2)</f>
        <v>0.5</v>
      </c>
      <c r="H10">
        <f>IF(AND(ISNUMBER(System!$C7),ABS(B10)+ABS(C10)&lt;&gt;0),System!L7-$J$1*MIN($E$1,D10)*F10 - C10*$H$1*$E$1*E10,KnotenData!$H$2)</f>
        <v>0.5</v>
      </c>
      <c r="I10">
        <f>IF(AND(ISNUMBER(System!$C7),ABS(B10)+ABS(C10)&lt;&gt;0),H10 - C10*$E$1*E10,KnotenData!$H$2)</f>
        <v>0.5</v>
      </c>
      <c r="J10">
        <f>IF(AND(ISNUMBER(System!$C7),ABS(B10)+ABS(C10)&lt;&gt;0),G10 - C10*$E$1*E10,KnotenData!$H$2)</f>
        <v>0.5</v>
      </c>
      <c r="K10">
        <f>IF(AND(ISNUMBER(System!$C7),ABS(B10)+ABS(C10)&lt;&gt;0),G10 - C10*$N$1*$E$1*E10,KnotenData!$H$2)</f>
        <v>0.5</v>
      </c>
      <c r="L10">
        <f>IF(AND(ISNUMBER(System!$C7),ABS(B10)+ABS(C10)&lt;&gt;0),H10 - C10*$N$1*$E$1*E10,KnotenData!$H$2)</f>
        <v>0.5</v>
      </c>
      <c r="M10">
        <f>IF(AND(ISNUMBER(System!$C7),ABS(B10)+ABS(C10)&lt;&gt;0),IF(B10&gt;=0,H10,G10)-B10*$R$1*MIN(D10,$E$1)*F10,KnotenData!$H$2)</f>
        <v>0.5</v>
      </c>
      <c r="N10" s="30">
        <f>IF(AND(ISNUMBER(System!$C7),ABS(B10)+ABS(C10)&lt;&gt;0),IF(B10&gt;=0,I10,J10)-B10*$R$1*MIN(D10,$E$1)*F10,KnotenData!$H$2)</f>
        <v>0.5</v>
      </c>
      <c r="O10">
        <f>IF(AND(ISNUMBER(System!$C7),ABS(B10)+ABS(C10)&lt;&gt;0),System!M7-$J$1*MIN($E$1,D10)*E10 - SIGN(C10+0.2)*$H$1*$E$1*F10,KnotenData!$H$3)</f>
        <v>0.47499999999999998</v>
      </c>
      <c r="P10">
        <f>IF(AND(ISNUMBER(System!$C7),ABS(B10)+ABS(C10)&lt;&gt;0),System!N7+$J$1*MIN($E$1,D10)*E10 - SIGN(C10+0.2)*$H$1*$E$1*F10,KnotenData!$H$3)</f>
        <v>0.47499999999999998</v>
      </c>
      <c r="Q10">
        <f>IF(AND(ISNUMBER(System!$C7),ABS(B10)+ABS(C10)&lt;&gt;0),P10 - SIGN(C10+0.2)*$E$1*F10,KnotenData!$H$3)</f>
        <v>0.47499999999999998</v>
      </c>
      <c r="R10">
        <f>IF(AND(ISNUMBER(System!$C7),ABS(B10)+ABS(C10)&lt;&gt;0),O10 - SIGN(C10+0.2)*$E$1*F10,KnotenData!$H$3)</f>
        <v>0.47499999999999998</v>
      </c>
      <c r="S10">
        <f>IF(AND(ISNUMBER(System!$C7),ABS(B10)+ABS(C10)&lt;&gt;0),O10 - SIGN(C10+0.2)*$N$1*$E$1*F10,KnotenData!$H$3)</f>
        <v>0.47499999999999998</v>
      </c>
      <c r="T10">
        <f>IF(AND(ISNUMBER(System!$C7),ABS(B10)+ABS(C10)&lt;&gt;0),P10 - SIGN(C10+0.2)*$N$1*$E$1*F10,KnotenData!$H$3)</f>
        <v>0.47499999999999998</v>
      </c>
      <c r="U10">
        <f>IF(AND(ISNUMBER(System!$C7),ABS(B10)+ABS(C10)&lt;&gt;0),IF(B10&gt;=0,P10,O10)+B10*$R$1*MIN(D10,$E$1)*E10,KnotenData!$H$3)</f>
        <v>0.47499999999999998</v>
      </c>
      <c r="V10" s="30">
        <f>IF(AND(ISNUMBER(System!$C7),ABS(B10)+ABS(C10)&lt;&gt;0),IF(B10&gt;=0,Q10,R10)+B10*$R$1*MIN(D10,$E$1)*E10,KnotenData!$H$3)</f>
        <v>0.47499999999999998</v>
      </c>
    </row>
    <row r="11" spans="1:22" x14ac:dyDescent="0.2">
      <c r="A11" s="30">
        <v>7</v>
      </c>
      <c r="B11">
        <f>IF(ISNUMBER(System!$C8),SIGN(System!$G8),0)</f>
        <v>0</v>
      </c>
      <c r="C11" s="30">
        <f>IF(ISNUMBER(System!$C8),SIGN(System!$H8),0)</f>
        <v>0</v>
      </c>
      <c r="D11" s="30">
        <f>IF(ISNUMBER(System!$C8),System!O8,0)</f>
        <v>0</v>
      </c>
      <c r="E11">
        <f>IF(ISNUMBER(System!$C8),System!$Q8,0)</f>
        <v>0</v>
      </c>
      <c r="F11" s="30">
        <f>IF(ISNUMBER(System!$C8),System!$R8,0)</f>
        <v>0</v>
      </c>
      <c r="G11">
        <f>IF(AND(ISNUMBER(System!$C8),ABS(B11)+ABS(C11)&lt;&gt;0),System!K8+$J$1*MIN($E$1,D11)*F11 - C11*$H$1*$E$1*E11,KnotenData!$H$2)</f>
        <v>0.5</v>
      </c>
      <c r="H11">
        <f>IF(AND(ISNUMBER(System!$C8),ABS(B11)+ABS(C11)&lt;&gt;0),System!L8-$J$1*MIN($E$1,D11)*F11 - C11*$H$1*$E$1*E11,KnotenData!$H$2)</f>
        <v>0.5</v>
      </c>
      <c r="I11">
        <f>IF(AND(ISNUMBER(System!$C8),ABS(B11)+ABS(C11)&lt;&gt;0),H11 - C11*$E$1*E11,KnotenData!$H$2)</f>
        <v>0.5</v>
      </c>
      <c r="J11">
        <f>IF(AND(ISNUMBER(System!$C8),ABS(B11)+ABS(C11)&lt;&gt;0),G11 - C11*$E$1*E11,KnotenData!$H$2)</f>
        <v>0.5</v>
      </c>
      <c r="K11">
        <f>IF(AND(ISNUMBER(System!$C8),ABS(B11)+ABS(C11)&lt;&gt;0),G11 - C11*$N$1*$E$1*E11,KnotenData!$H$2)</f>
        <v>0.5</v>
      </c>
      <c r="L11">
        <f>IF(AND(ISNUMBER(System!$C8),ABS(B11)+ABS(C11)&lt;&gt;0),H11 - C11*$N$1*$E$1*E11,KnotenData!$H$2)</f>
        <v>0.5</v>
      </c>
      <c r="M11">
        <f>IF(AND(ISNUMBER(System!$C8),ABS(B11)+ABS(C11)&lt;&gt;0),IF(B11&gt;=0,H11,G11)-B11*$R$1*MIN(D11,$E$1)*F11,KnotenData!$H$2)</f>
        <v>0.5</v>
      </c>
      <c r="N11" s="30">
        <f>IF(AND(ISNUMBER(System!$C8),ABS(B11)+ABS(C11)&lt;&gt;0),IF(B11&gt;=0,I11,J11)-B11*$R$1*MIN(D11,$E$1)*F11,KnotenData!$H$2)</f>
        <v>0.5</v>
      </c>
      <c r="O11">
        <f>IF(AND(ISNUMBER(System!$C8),ABS(B11)+ABS(C11)&lt;&gt;0),System!M8-$J$1*MIN($E$1,D11)*E11 - SIGN(C11+0.2)*$H$1*$E$1*F11,KnotenData!$H$3)</f>
        <v>0.47499999999999998</v>
      </c>
      <c r="P11">
        <f>IF(AND(ISNUMBER(System!$C8),ABS(B11)+ABS(C11)&lt;&gt;0),System!N8+$J$1*MIN($E$1,D11)*E11 - SIGN(C11+0.2)*$H$1*$E$1*F11,KnotenData!$H$3)</f>
        <v>0.47499999999999998</v>
      </c>
      <c r="Q11">
        <f>IF(AND(ISNUMBER(System!$C8),ABS(B11)+ABS(C11)&lt;&gt;0),P11 - SIGN(C11+0.2)*$E$1*F11,KnotenData!$H$3)</f>
        <v>0.47499999999999998</v>
      </c>
      <c r="R11">
        <f>IF(AND(ISNUMBER(System!$C8),ABS(B11)+ABS(C11)&lt;&gt;0),O11 - SIGN(C11+0.2)*$E$1*F11,KnotenData!$H$3)</f>
        <v>0.47499999999999998</v>
      </c>
      <c r="S11">
        <f>IF(AND(ISNUMBER(System!$C8),ABS(B11)+ABS(C11)&lt;&gt;0),O11 - SIGN(C11+0.2)*$N$1*$E$1*F11,KnotenData!$H$3)</f>
        <v>0.47499999999999998</v>
      </c>
      <c r="T11">
        <f>IF(AND(ISNUMBER(System!$C8),ABS(B11)+ABS(C11)&lt;&gt;0),P11 - SIGN(C11+0.2)*$N$1*$E$1*F11,KnotenData!$H$3)</f>
        <v>0.47499999999999998</v>
      </c>
      <c r="U11">
        <f>IF(AND(ISNUMBER(System!$C8),ABS(B11)+ABS(C11)&lt;&gt;0),IF(B11&gt;=0,P11,O11)+B11*$R$1*MIN(D11,$E$1)*E11,KnotenData!$H$3)</f>
        <v>0.47499999999999998</v>
      </c>
      <c r="V11" s="30">
        <f>IF(AND(ISNUMBER(System!$C8),ABS(B11)+ABS(C11)&lt;&gt;0),IF(B11&gt;=0,Q11,R11)+B11*$R$1*MIN(D11,$E$1)*E11,KnotenData!$H$3)</f>
        <v>0.47499999999999998</v>
      </c>
    </row>
    <row r="12" spans="1:22" x14ac:dyDescent="0.2">
      <c r="A12" s="30">
        <v>8</v>
      </c>
      <c r="B12">
        <f>IF(ISNUMBER(System!$C9),SIGN(System!$G9),0)</f>
        <v>0</v>
      </c>
      <c r="C12" s="30">
        <f>IF(ISNUMBER(System!$C9),SIGN(System!$H9),0)</f>
        <v>0</v>
      </c>
      <c r="D12" s="30">
        <f>IF(ISNUMBER(System!$C9),System!O9,0)</f>
        <v>0</v>
      </c>
      <c r="E12">
        <f>IF(ISNUMBER(System!$C9),System!$Q9,0)</f>
        <v>0</v>
      </c>
      <c r="F12" s="30">
        <f>IF(ISNUMBER(System!$C9),System!$R9,0)</f>
        <v>0</v>
      </c>
      <c r="G12">
        <f>IF(AND(ISNUMBER(System!$C9),ABS(B12)+ABS(C12)&lt;&gt;0),System!K9+$J$1*MIN($E$1,D12)*F12 - C12*$H$1*$E$1*E12,KnotenData!$H$2)</f>
        <v>0.5</v>
      </c>
      <c r="H12">
        <f>IF(AND(ISNUMBER(System!$C9),ABS(B12)+ABS(C12)&lt;&gt;0),System!L9-$J$1*MIN($E$1,D12)*F12 - C12*$H$1*$E$1*E12,KnotenData!$H$2)</f>
        <v>0.5</v>
      </c>
      <c r="I12">
        <f>IF(AND(ISNUMBER(System!$C9),ABS(B12)+ABS(C12)&lt;&gt;0),H12 - C12*$E$1*E12,KnotenData!$H$2)</f>
        <v>0.5</v>
      </c>
      <c r="J12">
        <f>IF(AND(ISNUMBER(System!$C9),ABS(B12)+ABS(C12)&lt;&gt;0),G12 - C12*$E$1*E12,KnotenData!$H$2)</f>
        <v>0.5</v>
      </c>
      <c r="K12">
        <f>IF(AND(ISNUMBER(System!$C9),ABS(B12)+ABS(C12)&lt;&gt;0),G12 - C12*$N$1*$E$1*E12,KnotenData!$H$2)</f>
        <v>0.5</v>
      </c>
      <c r="L12">
        <f>IF(AND(ISNUMBER(System!$C9),ABS(B12)+ABS(C12)&lt;&gt;0),H12 - C12*$N$1*$E$1*E12,KnotenData!$H$2)</f>
        <v>0.5</v>
      </c>
      <c r="M12">
        <f>IF(AND(ISNUMBER(System!$C9),ABS(B12)+ABS(C12)&lt;&gt;0),IF(B12&gt;=0,H12,G12)-B12*$R$1*MIN(D12,$E$1)*F12,KnotenData!$H$2)</f>
        <v>0.5</v>
      </c>
      <c r="N12" s="30">
        <f>IF(AND(ISNUMBER(System!$C9),ABS(B12)+ABS(C12)&lt;&gt;0),IF(B12&gt;=0,I12,J12)-B12*$R$1*MIN(D12,$E$1)*F12,KnotenData!$H$2)</f>
        <v>0.5</v>
      </c>
      <c r="O12">
        <f>IF(AND(ISNUMBER(System!$C9),ABS(B12)+ABS(C12)&lt;&gt;0),System!M9-$J$1*MIN($E$1,D12)*E12 - SIGN(C12+0.2)*$H$1*$E$1*F12,KnotenData!$H$3)</f>
        <v>0.47499999999999998</v>
      </c>
      <c r="P12">
        <f>IF(AND(ISNUMBER(System!$C9),ABS(B12)+ABS(C12)&lt;&gt;0),System!N9+$J$1*MIN($E$1,D12)*E12 - SIGN(C12+0.2)*$H$1*$E$1*F12,KnotenData!$H$3)</f>
        <v>0.47499999999999998</v>
      </c>
      <c r="Q12">
        <f>IF(AND(ISNUMBER(System!$C9),ABS(B12)+ABS(C12)&lt;&gt;0),P12 - SIGN(C12+0.2)*$E$1*F12,KnotenData!$H$3)</f>
        <v>0.47499999999999998</v>
      </c>
      <c r="R12">
        <f>IF(AND(ISNUMBER(System!$C9),ABS(B12)+ABS(C12)&lt;&gt;0),O12 - SIGN(C12+0.2)*$E$1*F12,KnotenData!$H$3)</f>
        <v>0.47499999999999998</v>
      </c>
      <c r="S12">
        <f>IF(AND(ISNUMBER(System!$C9),ABS(B12)+ABS(C12)&lt;&gt;0),O12 - SIGN(C12+0.2)*$N$1*$E$1*F12,KnotenData!$H$3)</f>
        <v>0.47499999999999998</v>
      </c>
      <c r="T12">
        <f>IF(AND(ISNUMBER(System!$C9),ABS(B12)+ABS(C12)&lt;&gt;0),P12 - SIGN(C12+0.2)*$N$1*$E$1*F12,KnotenData!$H$3)</f>
        <v>0.47499999999999998</v>
      </c>
      <c r="U12">
        <f>IF(AND(ISNUMBER(System!$C9),ABS(B12)+ABS(C12)&lt;&gt;0),IF(B12&gt;=0,P12,O12)+B12*$R$1*MIN(D12,$E$1)*E12,KnotenData!$H$3)</f>
        <v>0.47499999999999998</v>
      </c>
      <c r="V12" s="30">
        <f>IF(AND(ISNUMBER(System!$C9),ABS(B12)+ABS(C12)&lt;&gt;0),IF(B12&gt;=0,Q12,R12)+B12*$R$1*MIN(D12,$E$1)*E12,KnotenData!$H$3)</f>
        <v>0.47499999999999998</v>
      </c>
    </row>
    <row r="13" spans="1:22" x14ac:dyDescent="0.2">
      <c r="A13" s="30">
        <v>9</v>
      </c>
      <c r="B13">
        <f>IF(ISNUMBER(System!$C10),SIGN(System!$G10),0)</f>
        <v>0</v>
      </c>
      <c r="C13" s="30">
        <f>IF(ISNUMBER(System!$C10),SIGN(System!$H10),0)</f>
        <v>0</v>
      </c>
      <c r="D13" s="30">
        <f>IF(ISNUMBER(System!$C10),System!O10,0)</f>
        <v>0</v>
      </c>
      <c r="E13">
        <f>IF(ISNUMBER(System!$C10),System!$Q10,0)</f>
        <v>0</v>
      </c>
      <c r="F13" s="30">
        <f>IF(ISNUMBER(System!$C10),System!$R10,0)</f>
        <v>0</v>
      </c>
      <c r="G13">
        <f>IF(AND(ISNUMBER(System!$C10),ABS(B13)+ABS(C13)&lt;&gt;0),System!K10+$J$1*MIN($E$1,D13)*F13 - C13*$H$1*$E$1*E13,KnotenData!$H$2)</f>
        <v>0.5</v>
      </c>
      <c r="H13">
        <f>IF(AND(ISNUMBER(System!$C10),ABS(B13)+ABS(C13)&lt;&gt;0),System!L10-$J$1*MIN($E$1,D13)*F13 - C13*$H$1*$E$1*E13,KnotenData!$H$2)</f>
        <v>0.5</v>
      </c>
      <c r="I13">
        <f>IF(AND(ISNUMBER(System!$C10),ABS(B13)+ABS(C13)&lt;&gt;0),H13 - C13*$E$1*E13,KnotenData!$H$2)</f>
        <v>0.5</v>
      </c>
      <c r="J13">
        <f>IF(AND(ISNUMBER(System!$C10),ABS(B13)+ABS(C13)&lt;&gt;0),G13 - C13*$E$1*E13,KnotenData!$H$2)</f>
        <v>0.5</v>
      </c>
      <c r="K13">
        <f>IF(AND(ISNUMBER(System!$C10),ABS(B13)+ABS(C13)&lt;&gt;0),G13 - C13*$N$1*$E$1*E13,KnotenData!$H$2)</f>
        <v>0.5</v>
      </c>
      <c r="L13">
        <f>IF(AND(ISNUMBER(System!$C10),ABS(B13)+ABS(C13)&lt;&gt;0),H13 - C13*$N$1*$E$1*E13,KnotenData!$H$2)</f>
        <v>0.5</v>
      </c>
      <c r="M13">
        <f>IF(AND(ISNUMBER(System!$C10),ABS(B13)+ABS(C13)&lt;&gt;0),IF(B13&gt;=0,H13,G13)-B13*$R$1*MIN(D13,$E$1)*F13,KnotenData!$H$2)</f>
        <v>0.5</v>
      </c>
      <c r="N13" s="30">
        <f>IF(AND(ISNUMBER(System!$C10),ABS(B13)+ABS(C13)&lt;&gt;0),IF(B13&gt;=0,I13,J13)-B13*$R$1*MIN(D13,$E$1)*F13,KnotenData!$H$2)</f>
        <v>0.5</v>
      </c>
      <c r="O13">
        <f>IF(AND(ISNUMBER(System!$C10),ABS(B13)+ABS(C13)&lt;&gt;0),System!M10-$J$1*MIN($E$1,D13)*E13 - SIGN(C13+0.2)*$H$1*$E$1*F13,KnotenData!$H$3)</f>
        <v>0.47499999999999998</v>
      </c>
      <c r="P13">
        <f>IF(AND(ISNUMBER(System!$C10),ABS(B13)+ABS(C13)&lt;&gt;0),System!N10+$J$1*MIN($E$1,D13)*E13 - SIGN(C13+0.2)*$H$1*$E$1*F13,KnotenData!$H$3)</f>
        <v>0.47499999999999998</v>
      </c>
      <c r="Q13">
        <f>IF(AND(ISNUMBER(System!$C10),ABS(B13)+ABS(C13)&lt;&gt;0),P13 - SIGN(C13+0.2)*$E$1*F13,KnotenData!$H$3)</f>
        <v>0.47499999999999998</v>
      </c>
      <c r="R13">
        <f>IF(AND(ISNUMBER(System!$C10),ABS(B13)+ABS(C13)&lt;&gt;0),O13 - SIGN(C13+0.2)*$E$1*F13,KnotenData!$H$3)</f>
        <v>0.47499999999999998</v>
      </c>
      <c r="S13">
        <f>IF(AND(ISNUMBER(System!$C10),ABS(B13)+ABS(C13)&lt;&gt;0),O13 - SIGN(C13+0.2)*$N$1*$E$1*F13,KnotenData!$H$3)</f>
        <v>0.47499999999999998</v>
      </c>
      <c r="T13">
        <f>IF(AND(ISNUMBER(System!$C10),ABS(B13)+ABS(C13)&lt;&gt;0),P13 - SIGN(C13+0.2)*$N$1*$E$1*F13,KnotenData!$H$3)</f>
        <v>0.47499999999999998</v>
      </c>
      <c r="U13">
        <f>IF(AND(ISNUMBER(System!$C10),ABS(B13)+ABS(C13)&lt;&gt;0),IF(B13&gt;=0,P13,O13)+B13*$R$1*MIN(D13,$E$1)*E13,KnotenData!$H$3)</f>
        <v>0.47499999999999998</v>
      </c>
      <c r="V13" s="30">
        <f>IF(AND(ISNUMBER(System!$C10),ABS(B13)+ABS(C13)&lt;&gt;0),IF(B13&gt;=0,Q13,R13)+B13*$R$1*MIN(D13,$E$1)*E13,KnotenData!$H$3)</f>
        <v>0.47499999999999998</v>
      </c>
    </row>
    <row r="14" spans="1:22" x14ac:dyDescent="0.2">
      <c r="A14" s="30">
        <v>10</v>
      </c>
      <c r="B14">
        <f>IF(ISNUMBER(System!$C11),SIGN(System!$G11),0)</f>
        <v>0</v>
      </c>
      <c r="C14" s="30">
        <f>IF(ISNUMBER(System!$C11),SIGN(System!$H11),0)</f>
        <v>0</v>
      </c>
      <c r="D14" s="30">
        <f>IF(ISNUMBER(System!$C11),System!O11,0)</f>
        <v>0</v>
      </c>
      <c r="E14">
        <f>IF(ISNUMBER(System!$C11),System!$Q11,0)</f>
        <v>0</v>
      </c>
      <c r="F14" s="30">
        <f>IF(ISNUMBER(System!$C11),System!$R11,0)</f>
        <v>0</v>
      </c>
      <c r="G14">
        <f>IF(AND(ISNUMBER(System!$C11),ABS(B14)+ABS(C14)&lt;&gt;0),System!K11+$J$1*MIN($E$1,D14)*F14 - C14*$H$1*$E$1*E14,KnotenData!$H$2)</f>
        <v>0.5</v>
      </c>
      <c r="H14">
        <f>IF(AND(ISNUMBER(System!$C11),ABS(B14)+ABS(C14)&lt;&gt;0),System!L11-$J$1*MIN($E$1,D14)*F14 - C14*$H$1*$E$1*E14,KnotenData!$H$2)</f>
        <v>0.5</v>
      </c>
      <c r="I14">
        <f>IF(AND(ISNUMBER(System!$C11),ABS(B14)+ABS(C14)&lt;&gt;0),H14 - C14*$E$1*E14,KnotenData!$H$2)</f>
        <v>0.5</v>
      </c>
      <c r="J14">
        <f>IF(AND(ISNUMBER(System!$C11),ABS(B14)+ABS(C14)&lt;&gt;0),G14 - C14*$E$1*E14,KnotenData!$H$2)</f>
        <v>0.5</v>
      </c>
      <c r="K14">
        <f>IF(AND(ISNUMBER(System!$C11),ABS(B14)+ABS(C14)&lt;&gt;0),G14 - C14*$N$1*$E$1*E14,KnotenData!$H$2)</f>
        <v>0.5</v>
      </c>
      <c r="L14">
        <f>IF(AND(ISNUMBER(System!$C11),ABS(B14)+ABS(C14)&lt;&gt;0),H14 - C14*$N$1*$E$1*E14,KnotenData!$H$2)</f>
        <v>0.5</v>
      </c>
      <c r="M14">
        <f>IF(AND(ISNUMBER(System!$C11),ABS(B14)+ABS(C14)&lt;&gt;0),IF(B14&gt;=0,H14,G14)-B14*$R$1*MIN(D14,$E$1)*F14,KnotenData!$H$2)</f>
        <v>0.5</v>
      </c>
      <c r="N14" s="30">
        <f>IF(AND(ISNUMBER(System!$C11),ABS(B14)+ABS(C14)&lt;&gt;0),IF(B14&gt;=0,I14,J14)-B14*$R$1*MIN(D14,$E$1)*F14,KnotenData!$H$2)</f>
        <v>0.5</v>
      </c>
      <c r="O14">
        <f>IF(AND(ISNUMBER(System!$C11),ABS(B14)+ABS(C14)&lt;&gt;0),System!M11-$J$1*MIN($E$1,D14)*E14 - SIGN(C14+0.2)*$H$1*$E$1*F14,KnotenData!$H$3)</f>
        <v>0.47499999999999998</v>
      </c>
      <c r="P14">
        <f>IF(AND(ISNUMBER(System!$C11),ABS(B14)+ABS(C14)&lt;&gt;0),System!N11+$J$1*MIN($E$1,D14)*E14 - SIGN(C14+0.2)*$H$1*$E$1*F14,KnotenData!$H$3)</f>
        <v>0.47499999999999998</v>
      </c>
      <c r="Q14">
        <f>IF(AND(ISNUMBER(System!$C11),ABS(B14)+ABS(C14)&lt;&gt;0),P14 - SIGN(C14+0.2)*$E$1*F14,KnotenData!$H$3)</f>
        <v>0.47499999999999998</v>
      </c>
      <c r="R14">
        <f>IF(AND(ISNUMBER(System!$C11),ABS(B14)+ABS(C14)&lt;&gt;0),O14 - SIGN(C14+0.2)*$E$1*F14,KnotenData!$H$3)</f>
        <v>0.47499999999999998</v>
      </c>
      <c r="S14">
        <f>IF(AND(ISNUMBER(System!$C11),ABS(B14)+ABS(C14)&lt;&gt;0),O14 - SIGN(C14+0.2)*$N$1*$E$1*F14,KnotenData!$H$3)</f>
        <v>0.47499999999999998</v>
      </c>
      <c r="T14">
        <f>IF(AND(ISNUMBER(System!$C11),ABS(B14)+ABS(C14)&lt;&gt;0),P14 - SIGN(C14+0.2)*$N$1*$E$1*F14,KnotenData!$H$3)</f>
        <v>0.47499999999999998</v>
      </c>
      <c r="U14">
        <f>IF(AND(ISNUMBER(System!$C11),ABS(B14)+ABS(C14)&lt;&gt;0),IF(B14&gt;=0,P14,O14)+B14*$R$1*MIN(D14,$E$1)*E14,KnotenData!$H$3)</f>
        <v>0.47499999999999998</v>
      </c>
      <c r="V14" s="30">
        <f>IF(AND(ISNUMBER(System!$C11),ABS(B14)+ABS(C14)&lt;&gt;0),IF(B14&gt;=0,Q14,R14)+B14*$R$1*MIN(D14,$E$1)*E14,KnotenData!$H$3)</f>
        <v>0.47499999999999998</v>
      </c>
    </row>
    <row r="15" spans="1:22" x14ac:dyDescent="0.2">
      <c r="A15" s="30">
        <v>11</v>
      </c>
      <c r="B15">
        <f>IF(ISNUMBER(System!$C12),SIGN(System!$G12),0)</f>
        <v>0</v>
      </c>
      <c r="C15" s="30">
        <f>IF(ISNUMBER(System!$C12),SIGN(System!$H12),0)</f>
        <v>0</v>
      </c>
      <c r="D15" s="30">
        <f>IF(ISNUMBER(System!$C12),System!O12,0)</f>
        <v>0</v>
      </c>
      <c r="E15">
        <f>IF(ISNUMBER(System!$C12),System!$Q12,0)</f>
        <v>0</v>
      </c>
      <c r="F15" s="30">
        <f>IF(ISNUMBER(System!$C12),System!$R12,0)</f>
        <v>0</v>
      </c>
      <c r="G15">
        <f>IF(AND(ISNUMBER(System!$C12),ABS(B15)+ABS(C15)&lt;&gt;0),System!K12+$J$1*MIN($E$1,D15)*F15 - C15*$H$1*$E$1*E15,KnotenData!$H$2)</f>
        <v>0.5</v>
      </c>
      <c r="H15">
        <f>IF(AND(ISNUMBER(System!$C12),ABS(B15)+ABS(C15)&lt;&gt;0),System!L12-$J$1*MIN($E$1,D15)*F15 - C15*$H$1*$E$1*E15,KnotenData!$H$2)</f>
        <v>0.5</v>
      </c>
      <c r="I15">
        <f>IF(AND(ISNUMBER(System!$C12),ABS(B15)+ABS(C15)&lt;&gt;0),H15 - C15*$E$1*E15,KnotenData!$H$2)</f>
        <v>0.5</v>
      </c>
      <c r="J15">
        <f>IF(AND(ISNUMBER(System!$C12),ABS(B15)+ABS(C15)&lt;&gt;0),G15 - C15*$E$1*E15,KnotenData!$H$2)</f>
        <v>0.5</v>
      </c>
      <c r="K15">
        <f>IF(AND(ISNUMBER(System!$C12),ABS(B15)+ABS(C15)&lt;&gt;0),G15 - C15*$N$1*$E$1*E15,KnotenData!$H$2)</f>
        <v>0.5</v>
      </c>
      <c r="L15">
        <f>IF(AND(ISNUMBER(System!$C12),ABS(B15)+ABS(C15)&lt;&gt;0),H15 - C15*$N$1*$E$1*E15,KnotenData!$H$2)</f>
        <v>0.5</v>
      </c>
      <c r="M15">
        <f>IF(AND(ISNUMBER(System!$C12),ABS(B15)+ABS(C15)&lt;&gt;0),IF(B15&gt;=0,H15,G15)-B15*$R$1*MIN(D15,$E$1)*F15,KnotenData!$H$2)</f>
        <v>0.5</v>
      </c>
      <c r="N15" s="30">
        <f>IF(AND(ISNUMBER(System!$C12),ABS(B15)+ABS(C15)&lt;&gt;0),IF(B15&gt;=0,I15,J15)-B15*$R$1*MIN(D15,$E$1)*F15,KnotenData!$H$2)</f>
        <v>0.5</v>
      </c>
      <c r="O15">
        <f>IF(AND(ISNUMBER(System!$C12),ABS(B15)+ABS(C15)&lt;&gt;0),System!M12-$J$1*MIN($E$1,D15)*E15 - SIGN(C15+0.2)*$H$1*$E$1*F15,KnotenData!$H$3)</f>
        <v>0.47499999999999998</v>
      </c>
      <c r="P15">
        <f>IF(AND(ISNUMBER(System!$C12),ABS(B15)+ABS(C15)&lt;&gt;0),System!N12+$J$1*MIN($E$1,D15)*E15 - SIGN(C15+0.2)*$H$1*$E$1*F15,KnotenData!$H$3)</f>
        <v>0.47499999999999998</v>
      </c>
      <c r="Q15">
        <f>IF(AND(ISNUMBER(System!$C12),ABS(B15)+ABS(C15)&lt;&gt;0),P15 - SIGN(C15+0.2)*$E$1*F15,KnotenData!$H$3)</f>
        <v>0.47499999999999998</v>
      </c>
      <c r="R15">
        <f>IF(AND(ISNUMBER(System!$C12),ABS(B15)+ABS(C15)&lt;&gt;0),O15 - SIGN(C15+0.2)*$E$1*F15,KnotenData!$H$3)</f>
        <v>0.47499999999999998</v>
      </c>
      <c r="S15">
        <f>IF(AND(ISNUMBER(System!$C12),ABS(B15)+ABS(C15)&lt;&gt;0),O15 - SIGN(C15+0.2)*$N$1*$E$1*F15,KnotenData!$H$3)</f>
        <v>0.47499999999999998</v>
      </c>
      <c r="T15">
        <f>IF(AND(ISNUMBER(System!$C12),ABS(B15)+ABS(C15)&lt;&gt;0),P15 - SIGN(C15+0.2)*$N$1*$E$1*F15,KnotenData!$H$3)</f>
        <v>0.47499999999999998</v>
      </c>
      <c r="U15">
        <f>IF(AND(ISNUMBER(System!$C12),ABS(B15)+ABS(C15)&lt;&gt;0),IF(B15&gt;=0,P15,O15)+B15*$R$1*MIN(D15,$E$1)*E15,KnotenData!$H$3)</f>
        <v>0.47499999999999998</v>
      </c>
      <c r="V15" s="30">
        <f>IF(AND(ISNUMBER(System!$C12),ABS(B15)+ABS(C15)&lt;&gt;0),IF(B15&gt;=0,Q15,R15)+B15*$R$1*MIN(D15,$E$1)*E15,KnotenData!$H$3)</f>
        <v>0.47499999999999998</v>
      </c>
    </row>
    <row r="16" spans="1:22" x14ac:dyDescent="0.2">
      <c r="A16" s="30">
        <v>12</v>
      </c>
      <c r="B16">
        <f>IF(ISNUMBER(System!$C13),SIGN(System!$G13),0)</f>
        <v>0</v>
      </c>
      <c r="C16" s="30">
        <f>IF(ISNUMBER(System!$C13),SIGN(System!$H13),0)</f>
        <v>0</v>
      </c>
      <c r="D16" s="30">
        <f>IF(ISNUMBER(System!$C13),System!O13,0)</f>
        <v>0</v>
      </c>
      <c r="E16">
        <f>IF(ISNUMBER(System!$C13),System!$Q13,0)</f>
        <v>0</v>
      </c>
      <c r="F16" s="30">
        <f>IF(ISNUMBER(System!$C13),System!$R13,0)</f>
        <v>0</v>
      </c>
      <c r="G16">
        <f>IF(AND(ISNUMBER(System!$C13),ABS(B16)+ABS(C16)&lt;&gt;0),System!K13+$J$1*MIN($E$1,D16)*F16 - C16*$H$1*$E$1*E16,KnotenData!$H$2)</f>
        <v>0.5</v>
      </c>
      <c r="H16">
        <f>IF(AND(ISNUMBER(System!$C13),ABS(B16)+ABS(C16)&lt;&gt;0),System!L13-$J$1*MIN($E$1,D16)*F16 - C16*$H$1*$E$1*E16,KnotenData!$H$2)</f>
        <v>0.5</v>
      </c>
      <c r="I16">
        <f>IF(AND(ISNUMBER(System!$C13),ABS(B16)+ABS(C16)&lt;&gt;0),H16 - C16*$E$1*E16,KnotenData!$H$2)</f>
        <v>0.5</v>
      </c>
      <c r="J16">
        <f>IF(AND(ISNUMBER(System!$C13),ABS(B16)+ABS(C16)&lt;&gt;0),G16 - C16*$E$1*E16,KnotenData!$H$2)</f>
        <v>0.5</v>
      </c>
      <c r="K16">
        <f>IF(AND(ISNUMBER(System!$C13),ABS(B16)+ABS(C16)&lt;&gt;0),G16 - C16*$N$1*$E$1*E16,KnotenData!$H$2)</f>
        <v>0.5</v>
      </c>
      <c r="L16">
        <f>IF(AND(ISNUMBER(System!$C13),ABS(B16)+ABS(C16)&lt;&gt;0),H16 - C16*$N$1*$E$1*E16,KnotenData!$H$2)</f>
        <v>0.5</v>
      </c>
      <c r="M16">
        <f>IF(AND(ISNUMBER(System!$C13),ABS(B16)+ABS(C16)&lt;&gt;0),IF(B16&gt;=0,H16,G16)-B16*$R$1*MIN(D16,$E$1)*F16,KnotenData!$H$2)</f>
        <v>0.5</v>
      </c>
      <c r="N16" s="30">
        <f>IF(AND(ISNUMBER(System!$C13),ABS(B16)+ABS(C16)&lt;&gt;0),IF(B16&gt;=0,I16,J16)-B16*$R$1*MIN(D16,$E$1)*F16,KnotenData!$H$2)</f>
        <v>0.5</v>
      </c>
      <c r="O16">
        <f>IF(AND(ISNUMBER(System!$C13),ABS(B16)+ABS(C16)&lt;&gt;0),System!M13-$J$1*MIN($E$1,D16)*E16 - SIGN(C16+0.2)*$H$1*$E$1*F16,KnotenData!$H$3)</f>
        <v>0.47499999999999998</v>
      </c>
      <c r="P16">
        <f>IF(AND(ISNUMBER(System!$C13),ABS(B16)+ABS(C16)&lt;&gt;0),System!N13+$J$1*MIN($E$1,D16)*E16 - SIGN(C16+0.2)*$H$1*$E$1*F16,KnotenData!$H$3)</f>
        <v>0.47499999999999998</v>
      </c>
      <c r="Q16">
        <f>IF(AND(ISNUMBER(System!$C13),ABS(B16)+ABS(C16)&lt;&gt;0),P16 - SIGN(C16+0.2)*$E$1*F16,KnotenData!$H$3)</f>
        <v>0.47499999999999998</v>
      </c>
      <c r="R16">
        <f>IF(AND(ISNUMBER(System!$C13),ABS(B16)+ABS(C16)&lt;&gt;0),O16 - SIGN(C16+0.2)*$E$1*F16,KnotenData!$H$3)</f>
        <v>0.47499999999999998</v>
      </c>
      <c r="S16">
        <f>IF(AND(ISNUMBER(System!$C13),ABS(B16)+ABS(C16)&lt;&gt;0),O16 - SIGN(C16+0.2)*$N$1*$E$1*F16,KnotenData!$H$3)</f>
        <v>0.47499999999999998</v>
      </c>
      <c r="T16">
        <f>IF(AND(ISNUMBER(System!$C13),ABS(B16)+ABS(C16)&lt;&gt;0),P16 - SIGN(C16+0.2)*$N$1*$E$1*F16,KnotenData!$H$3)</f>
        <v>0.47499999999999998</v>
      </c>
      <c r="U16">
        <f>IF(AND(ISNUMBER(System!$C13),ABS(B16)+ABS(C16)&lt;&gt;0),IF(B16&gt;=0,P16,O16)+B16*$R$1*MIN(D16,$E$1)*E16,KnotenData!$H$3)</f>
        <v>0.47499999999999998</v>
      </c>
      <c r="V16" s="30">
        <f>IF(AND(ISNUMBER(System!$C13),ABS(B16)+ABS(C16)&lt;&gt;0),IF(B16&gt;=0,Q16,R16)+B16*$R$1*MIN(D16,$E$1)*E16,KnotenData!$H$3)</f>
        <v>0.47499999999999998</v>
      </c>
    </row>
    <row r="17" spans="1:35" x14ac:dyDescent="0.2">
      <c r="A17" s="30">
        <v>13</v>
      </c>
      <c r="B17">
        <f>IF(ISNUMBER(System!$C14),SIGN(System!$G14),0)</f>
        <v>0</v>
      </c>
      <c r="C17" s="30">
        <f>IF(ISNUMBER(System!$C14),SIGN(System!$H14),0)</f>
        <v>0</v>
      </c>
      <c r="D17" s="30">
        <f>IF(ISNUMBER(System!$C14),System!O14,0)</f>
        <v>0</v>
      </c>
      <c r="E17">
        <f>IF(ISNUMBER(System!$C14),System!$Q14,0)</f>
        <v>0</v>
      </c>
      <c r="F17" s="30">
        <f>IF(ISNUMBER(System!$C14),System!$R14,0)</f>
        <v>0</v>
      </c>
      <c r="G17">
        <f>IF(AND(ISNUMBER(System!$C14),ABS(B17)+ABS(C17)&lt;&gt;0),System!K14+$J$1*MIN($E$1,D17)*F17 - C17*$H$1*$E$1*E17,KnotenData!$H$2)</f>
        <v>0.5</v>
      </c>
      <c r="H17">
        <f>IF(AND(ISNUMBER(System!$C14),ABS(B17)+ABS(C17)&lt;&gt;0),System!L14-$J$1*MIN($E$1,D17)*F17 - C17*$H$1*$E$1*E17,KnotenData!$H$2)</f>
        <v>0.5</v>
      </c>
      <c r="I17">
        <f>IF(AND(ISNUMBER(System!$C14),ABS(B17)+ABS(C17)&lt;&gt;0),H17 - C17*$E$1*E17,KnotenData!$H$2)</f>
        <v>0.5</v>
      </c>
      <c r="J17">
        <f>IF(AND(ISNUMBER(System!$C14),ABS(B17)+ABS(C17)&lt;&gt;0),G17 - C17*$E$1*E17,KnotenData!$H$2)</f>
        <v>0.5</v>
      </c>
      <c r="K17">
        <f>IF(AND(ISNUMBER(System!$C14),ABS(B17)+ABS(C17)&lt;&gt;0),G17 - C17*$N$1*$E$1*E17,KnotenData!$H$2)</f>
        <v>0.5</v>
      </c>
      <c r="L17">
        <f>IF(AND(ISNUMBER(System!$C14),ABS(B17)+ABS(C17)&lt;&gt;0),H17 - C17*$N$1*$E$1*E17,KnotenData!$H$2)</f>
        <v>0.5</v>
      </c>
      <c r="M17">
        <f>IF(AND(ISNUMBER(System!$C14),ABS(B17)+ABS(C17)&lt;&gt;0),IF(B17&gt;=0,H17,G17)-B17*$R$1*MIN(D17,$E$1)*F17,KnotenData!$H$2)</f>
        <v>0.5</v>
      </c>
      <c r="N17" s="30">
        <f>IF(AND(ISNUMBER(System!$C14),ABS(B17)+ABS(C17)&lt;&gt;0),IF(B17&gt;=0,I17,J17)-B17*$R$1*MIN(D17,$E$1)*F17,KnotenData!$H$2)</f>
        <v>0.5</v>
      </c>
      <c r="O17">
        <f>IF(AND(ISNUMBER(System!$C14),ABS(B17)+ABS(C17)&lt;&gt;0),System!M14-$J$1*MIN($E$1,D17)*E17 - SIGN(C17+0.2)*$H$1*$E$1*F17,KnotenData!$H$3)</f>
        <v>0.47499999999999998</v>
      </c>
      <c r="P17">
        <f>IF(AND(ISNUMBER(System!$C14),ABS(B17)+ABS(C17)&lt;&gt;0),System!N14+$J$1*MIN($E$1,D17)*E17 - SIGN(C17+0.2)*$H$1*$E$1*F17,KnotenData!$H$3)</f>
        <v>0.47499999999999998</v>
      </c>
      <c r="Q17">
        <f>IF(AND(ISNUMBER(System!$C14),ABS(B17)+ABS(C17)&lt;&gt;0),P17 - SIGN(C17+0.2)*$E$1*F17,KnotenData!$H$3)</f>
        <v>0.47499999999999998</v>
      </c>
      <c r="R17">
        <f>IF(AND(ISNUMBER(System!$C14),ABS(B17)+ABS(C17)&lt;&gt;0),O17 - SIGN(C17+0.2)*$E$1*F17,KnotenData!$H$3)</f>
        <v>0.47499999999999998</v>
      </c>
      <c r="S17">
        <f>IF(AND(ISNUMBER(System!$C14),ABS(B17)+ABS(C17)&lt;&gt;0),O17 - SIGN(C17+0.2)*$N$1*$E$1*F17,KnotenData!$H$3)</f>
        <v>0.47499999999999998</v>
      </c>
      <c r="T17">
        <f>IF(AND(ISNUMBER(System!$C14),ABS(B17)+ABS(C17)&lt;&gt;0),P17 - SIGN(C17+0.2)*$N$1*$E$1*F17,KnotenData!$H$3)</f>
        <v>0.47499999999999998</v>
      </c>
      <c r="U17">
        <f>IF(AND(ISNUMBER(System!$C14),ABS(B17)+ABS(C17)&lt;&gt;0),IF(B17&gt;=0,P17,O17)+B17*$R$1*MIN(D17,$E$1)*E17,KnotenData!$H$3)</f>
        <v>0.47499999999999998</v>
      </c>
      <c r="V17" s="30">
        <f>IF(AND(ISNUMBER(System!$C14),ABS(B17)+ABS(C17)&lt;&gt;0),IF(B17&gt;=0,Q17,R17)+B17*$R$1*MIN(D17,$E$1)*E17,KnotenData!$H$3)</f>
        <v>0.47499999999999998</v>
      </c>
    </row>
    <row r="18" spans="1:35" x14ac:dyDescent="0.2">
      <c r="A18" s="30">
        <v>14</v>
      </c>
      <c r="B18">
        <f>IF(ISNUMBER(System!$C15),SIGN(System!$G15),0)</f>
        <v>0</v>
      </c>
      <c r="C18" s="30">
        <f>IF(ISNUMBER(System!$C15),SIGN(System!$H15),0)</f>
        <v>0</v>
      </c>
      <c r="D18" s="30">
        <f>IF(ISNUMBER(System!$C15),System!O15,0)</f>
        <v>0</v>
      </c>
      <c r="E18">
        <f>IF(ISNUMBER(System!$C15),System!$Q15,0)</f>
        <v>0</v>
      </c>
      <c r="F18" s="30">
        <f>IF(ISNUMBER(System!$C15),System!$R15,0)</f>
        <v>0</v>
      </c>
      <c r="G18">
        <f>IF(AND(ISNUMBER(System!$C15),ABS(B18)+ABS(C18)&lt;&gt;0),System!K15+$J$1*MIN($E$1,D18)*F18 - C18*$H$1*$E$1*E18,KnotenData!$H$2)</f>
        <v>0.5</v>
      </c>
      <c r="H18">
        <f>IF(AND(ISNUMBER(System!$C15),ABS(B18)+ABS(C18)&lt;&gt;0),System!L15-$J$1*MIN($E$1,D18)*F18 - C18*$H$1*$E$1*E18,KnotenData!$H$2)</f>
        <v>0.5</v>
      </c>
      <c r="I18">
        <f>IF(AND(ISNUMBER(System!$C15),ABS(B18)+ABS(C18)&lt;&gt;0),H18 - C18*$E$1*E18,KnotenData!$H$2)</f>
        <v>0.5</v>
      </c>
      <c r="J18">
        <f>IF(AND(ISNUMBER(System!$C15),ABS(B18)+ABS(C18)&lt;&gt;0),G18 - C18*$E$1*E18,KnotenData!$H$2)</f>
        <v>0.5</v>
      </c>
      <c r="K18">
        <f>IF(AND(ISNUMBER(System!$C15),ABS(B18)+ABS(C18)&lt;&gt;0),G18 - C18*$N$1*$E$1*E18,KnotenData!$H$2)</f>
        <v>0.5</v>
      </c>
      <c r="L18">
        <f>IF(AND(ISNUMBER(System!$C15),ABS(B18)+ABS(C18)&lt;&gt;0),H18 - C18*$N$1*$E$1*E18,KnotenData!$H$2)</f>
        <v>0.5</v>
      </c>
      <c r="M18">
        <f>IF(AND(ISNUMBER(System!$C15),ABS(B18)+ABS(C18)&lt;&gt;0),IF(B18&gt;=0,H18,G18)-B18*$R$1*MIN(D18,$E$1)*F18,KnotenData!$H$2)</f>
        <v>0.5</v>
      </c>
      <c r="N18" s="30">
        <f>IF(AND(ISNUMBER(System!$C15),ABS(B18)+ABS(C18)&lt;&gt;0),IF(B18&gt;=0,I18,J18)-B18*$R$1*MIN(D18,$E$1)*F18,KnotenData!$H$2)</f>
        <v>0.5</v>
      </c>
      <c r="O18">
        <f>IF(AND(ISNUMBER(System!$C15),ABS(B18)+ABS(C18)&lt;&gt;0),System!M15-$J$1*MIN($E$1,D18)*E18 - SIGN(C18+0.2)*$H$1*$E$1*F18,KnotenData!$H$3)</f>
        <v>0.47499999999999998</v>
      </c>
      <c r="P18">
        <f>IF(AND(ISNUMBER(System!$C15),ABS(B18)+ABS(C18)&lt;&gt;0),System!N15+$J$1*MIN($E$1,D18)*E18 - SIGN(C18+0.2)*$H$1*$E$1*F18,KnotenData!$H$3)</f>
        <v>0.47499999999999998</v>
      </c>
      <c r="Q18">
        <f>IF(AND(ISNUMBER(System!$C15),ABS(B18)+ABS(C18)&lt;&gt;0),P18 - SIGN(C18+0.2)*$E$1*F18,KnotenData!$H$3)</f>
        <v>0.47499999999999998</v>
      </c>
      <c r="R18">
        <f>IF(AND(ISNUMBER(System!$C15),ABS(B18)+ABS(C18)&lt;&gt;0),O18 - SIGN(C18+0.2)*$E$1*F18,KnotenData!$H$3)</f>
        <v>0.47499999999999998</v>
      </c>
      <c r="S18">
        <f>IF(AND(ISNUMBER(System!$C15),ABS(B18)+ABS(C18)&lt;&gt;0),O18 - SIGN(C18+0.2)*$N$1*$E$1*F18,KnotenData!$H$3)</f>
        <v>0.47499999999999998</v>
      </c>
      <c r="T18">
        <f>IF(AND(ISNUMBER(System!$C15),ABS(B18)+ABS(C18)&lt;&gt;0),P18 - SIGN(C18+0.2)*$N$1*$E$1*F18,KnotenData!$H$3)</f>
        <v>0.47499999999999998</v>
      </c>
      <c r="U18">
        <f>IF(AND(ISNUMBER(System!$C15),ABS(B18)+ABS(C18)&lt;&gt;0),IF(B18&gt;=0,P18,O18)+B18*$R$1*MIN(D18,$E$1)*E18,KnotenData!$H$3)</f>
        <v>0.47499999999999998</v>
      </c>
      <c r="V18" s="30">
        <f>IF(AND(ISNUMBER(System!$C15),ABS(B18)+ABS(C18)&lt;&gt;0),IF(B18&gt;=0,Q18,R18)+B18*$R$1*MIN(D18,$E$1)*E18,KnotenData!$H$3)</f>
        <v>0.47499999999999998</v>
      </c>
    </row>
    <row r="19" spans="1:35" x14ac:dyDescent="0.2">
      <c r="A19" s="30">
        <v>15</v>
      </c>
      <c r="B19">
        <f>IF(ISNUMBER(System!$C16),SIGN(System!$G16),0)</f>
        <v>0</v>
      </c>
      <c r="C19" s="30">
        <f>IF(ISNUMBER(System!$C16),SIGN(System!$H16),0)</f>
        <v>0</v>
      </c>
      <c r="D19" s="30">
        <f>IF(ISNUMBER(System!$C16),System!O16,0)</f>
        <v>0</v>
      </c>
      <c r="E19">
        <f>IF(ISNUMBER(System!$C16),System!$Q16,0)</f>
        <v>0</v>
      </c>
      <c r="F19" s="30">
        <f>IF(ISNUMBER(System!$C16),System!$R16,0)</f>
        <v>0</v>
      </c>
      <c r="G19">
        <f>IF(AND(ISNUMBER(System!$C16),ABS(B19)+ABS(C19)&lt;&gt;0),System!K16+$J$1*MIN($E$1,D19)*F19 - C19*$H$1*$E$1*E19,KnotenData!$H$2)</f>
        <v>0.5</v>
      </c>
      <c r="H19">
        <f>IF(AND(ISNUMBER(System!$C16),ABS(B19)+ABS(C19)&lt;&gt;0),System!L16-$J$1*MIN($E$1,D19)*F19 - C19*$H$1*$E$1*E19,KnotenData!$H$2)</f>
        <v>0.5</v>
      </c>
      <c r="I19">
        <f>IF(AND(ISNUMBER(System!$C16),ABS(B19)+ABS(C19)&lt;&gt;0),H19 - C19*$E$1*E19,KnotenData!$H$2)</f>
        <v>0.5</v>
      </c>
      <c r="J19">
        <f>IF(AND(ISNUMBER(System!$C16),ABS(B19)+ABS(C19)&lt;&gt;0),G19 - C19*$E$1*E19,KnotenData!$H$2)</f>
        <v>0.5</v>
      </c>
      <c r="K19">
        <f>IF(AND(ISNUMBER(System!$C16),ABS(B19)+ABS(C19)&lt;&gt;0),G19 - C19*$N$1*$E$1*E19,KnotenData!$H$2)</f>
        <v>0.5</v>
      </c>
      <c r="L19">
        <f>IF(AND(ISNUMBER(System!$C16),ABS(B19)+ABS(C19)&lt;&gt;0),H19 - C19*$N$1*$E$1*E19,KnotenData!$H$2)</f>
        <v>0.5</v>
      </c>
      <c r="M19">
        <f>IF(AND(ISNUMBER(System!$C16),ABS(B19)+ABS(C19)&lt;&gt;0),IF(B19&gt;=0,H19,G19)-B19*$R$1*MIN(D19,$E$1)*F19,KnotenData!$H$2)</f>
        <v>0.5</v>
      </c>
      <c r="N19" s="30">
        <f>IF(AND(ISNUMBER(System!$C16),ABS(B19)+ABS(C19)&lt;&gt;0),IF(B19&gt;=0,I19,J19)-B19*$R$1*MIN(D19,$E$1)*F19,KnotenData!$H$2)</f>
        <v>0.5</v>
      </c>
      <c r="O19">
        <f>IF(AND(ISNUMBER(System!$C16),ABS(B19)+ABS(C19)&lt;&gt;0),System!M16-$J$1*MIN($E$1,D19)*E19 - SIGN(C19+0.2)*$H$1*$E$1*F19,KnotenData!$H$3)</f>
        <v>0.47499999999999998</v>
      </c>
      <c r="P19">
        <f>IF(AND(ISNUMBER(System!$C16),ABS(B19)+ABS(C19)&lt;&gt;0),System!N16+$J$1*MIN($E$1,D19)*E19 - SIGN(C19+0.2)*$H$1*$E$1*F19,KnotenData!$H$3)</f>
        <v>0.47499999999999998</v>
      </c>
      <c r="Q19">
        <f>IF(AND(ISNUMBER(System!$C16),ABS(B19)+ABS(C19)&lt;&gt;0),P19 - SIGN(C19+0.2)*$E$1*F19,KnotenData!$H$3)</f>
        <v>0.47499999999999998</v>
      </c>
      <c r="R19">
        <f>IF(AND(ISNUMBER(System!$C16),ABS(B19)+ABS(C19)&lt;&gt;0),O19 - SIGN(C19+0.2)*$E$1*F19,KnotenData!$H$3)</f>
        <v>0.47499999999999998</v>
      </c>
      <c r="S19">
        <f>IF(AND(ISNUMBER(System!$C16),ABS(B19)+ABS(C19)&lt;&gt;0),O19 - SIGN(C19+0.2)*$N$1*$E$1*F19,KnotenData!$H$3)</f>
        <v>0.47499999999999998</v>
      </c>
      <c r="T19">
        <f>IF(AND(ISNUMBER(System!$C16),ABS(B19)+ABS(C19)&lt;&gt;0),P19 - SIGN(C19+0.2)*$N$1*$E$1*F19,KnotenData!$H$3)</f>
        <v>0.47499999999999998</v>
      </c>
      <c r="U19">
        <f>IF(AND(ISNUMBER(System!$C16),ABS(B19)+ABS(C19)&lt;&gt;0),IF(B19&gt;=0,P19,O19)+B19*$R$1*MIN(D19,$E$1)*E19,KnotenData!$H$3)</f>
        <v>0.47499999999999998</v>
      </c>
      <c r="V19" s="30">
        <f>IF(AND(ISNUMBER(System!$C16),ABS(B19)+ABS(C19)&lt;&gt;0),IF(B19&gt;=0,Q19,R19)+B19*$R$1*MIN(D19,$E$1)*E19,KnotenData!$H$3)</f>
        <v>0.47499999999999998</v>
      </c>
    </row>
    <row r="20" spans="1:35" x14ac:dyDescent="0.2">
      <c r="A20" s="30">
        <v>16</v>
      </c>
      <c r="B20">
        <f>IF(ISNUMBER(System!$C17),SIGN(System!$G17),0)</f>
        <v>0</v>
      </c>
      <c r="C20" s="30">
        <f>IF(ISNUMBER(System!$C17),SIGN(System!$H17),0)</f>
        <v>0</v>
      </c>
      <c r="D20" s="30">
        <f>IF(ISNUMBER(System!$C17),System!O17,0)</f>
        <v>0</v>
      </c>
      <c r="E20">
        <f>IF(ISNUMBER(System!$C17),System!$Q17,0)</f>
        <v>0</v>
      </c>
      <c r="F20" s="30">
        <f>IF(ISNUMBER(System!$C17),System!$R17,0)</f>
        <v>0</v>
      </c>
      <c r="G20">
        <f>IF(AND(ISNUMBER(System!$C17),ABS(B20)+ABS(C20)&lt;&gt;0),System!K17+$J$1*MIN($E$1,D20)*F20 - C20*$H$1*$E$1*E20,KnotenData!$H$2)</f>
        <v>0.5</v>
      </c>
      <c r="H20">
        <f>IF(AND(ISNUMBER(System!$C17),ABS(B20)+ABS(C20)&lt;&gt;0),System!L17-$J$1*MIN($E$1,D20)*F20 - C20*$H$1*$E$1*E20,KnotenData!$H$2)</f>
        <v>0.5</v>
      </c>
      <c r="I20">
        <f>IF(AND(ISNUMBER(System!$C17),ABS(B20)+ABS(C20)&lt;&gt;0),H20 - C20*$E$1*E20,KnotenData!$H$2)</f>
        <v>0.5</v>
      </c>
      <c r="J20">
        <f>IF(AND(ISNUMBER(System!$C17),ABS(B20)+ABS(C20)&lt;&gt;0),G20 - C20*$E$1*E20,KnotenData!$H$2)</f>
        <v>0.5</v>
      </c>
      <c r="K20">
        <f>IF(AND(ISNUMBER(System!$C17),ABS(B20)+ABS(C20)&lt;&gt;0),G20 - C20*$N$1*$E$1*E20,KnotenData!$H$2)</f>
        <v>0.5</v>
      </c>
      <c r="L20">
        <f>IF(AND(ISNUMBER(System!$C17),ABS(B20)+ABS(C20)&lt;&gt;0),H20 - C20*$N$1*$E$1*E20,KnotenData!$H$2)</f>
        <v>0.5</v>
      </c>
      <c r="M20">
        <f>IF(AND(ISNUMBER(System!$C17),ABS(B20)+ABS(C20)&lt;&gt;0),IF(B20&gt;=0,H20,G20)-B20*$R$1*MIN(D20,$E$1)*F20,KnotenData!$H$2)</f>
        <v>0.5</v>
      </c>
      <c r="N20" s="30">
        <f>IF(AND(ISNUMBER(System!$C17),ABS(B20)+ABS(C20)&lt;&gt;0),IF(B20&gt;=0,I20,J20)-B20*$R$1*MIN(D20,$E$1)*F20,KnotenData!$H$2)</f>
        <v>0.5</v>
      </c>
      <c r="O20">
        <f>IF(AND(ISNUMBER(System!$C17),ABS(B20)+ABS(C20)&lt;&gt;0),System!M17-$J$1*MIN($E$1,D20)*E20 - SIGN(C20+0.2)*$H$1*$E$1*F20,KnotenData!$H$3)</f>
        <v>0.47499999999999998</v>
      </c>
      <c r="P20">
        <f>IF(AND(ISNUMBER(System!$C17),ABS(B20)+ABS(C20)&lt;&gt;0),System!N17+$J$1*MIN($E$1,D20)*E20 - SIGN(C20+0.2)*$H$1*$E$1*F20,KnotenData!$H$3)</f>
        <v>0.47499999999999998</v>
      </c>
      <c r="Q20">
        <f>IF(AND(ISNUMBER(System!$C17),ABS(B20)+ABS(C20)&lt;&gt;0),P20 - SIGN(C20+0.2)*$E$1*F20,KnotenData!$H$3)</f>
        <v>0.47499999999999998</v>
      </c>
      <c r="R20">
        <f>IF(AND(ISNUMBER(System!$C17),ABS(B20)+ABS(C20)&lt;&gt;0),O20 - SIGN(C20+0.2)*$E$1*F20,KnotenData!$H$3)</f>
        <v>0.47499999999999998</v>
      </c>
      <c r="S20">
        <f>IF(AND(ISNUMBER(System!$C17),ABS(B20)+ABS(C20)&lt;&gt;0),O20 - SIGN(C20+0.2)*$N$1*$E$1*F20,KnotenData!$H$3)</f>
        <v>0.47499999999999998</v>
      </c>
      <c r="T20">
        <f>IF(AND(ISNUMBER(System!$C17),ABS(B20)+ABS(C20)&lt;&gt;0),P20 - SIGN(C20+0.2)*$N$1*$E$1*F20,KnotenData!$H$3)</f>
        <v>0.47499999999999998</v>
      </c>
      <c r="U20">
        <f>IF(AND(ISNUMBER(System!$C17),ABS(B20)+ABS(C20)&lt;&gt;0),IF(B20&gt;=0,P20,O20)+B20*$R$1*MIN(D20,$E$1)*E20,KnotenData!$H$3)</f>
        <v>0.47499999999999998</v>
      </c>
      <c r="V20" s="30">
        <f>IF(AND(ISNUMBER(System!$C17),ABS(B20)+ABS(C20)&lt;&gt;0),IF(B20&gt;=0,Q20,R20)+B20*$R$1*MIN(D20,$E$1)*E20,KnotenData!$H$3)</f>
        <v>0.47499999999999998</v>
      </c>
    </row>
    <row r="21" spans="1:35" x14ac:dyDescent="0.2">
      <c r="A21" s="30">
        <v>17</v>
      </c>
      <c r="B21">
        <f>IF(ISNUMBER(System!$C18),SIGN(System!$G18),0)</f>
        <v>0</v>
      </c>
      <c r="C21" s="30">
        <f>IF(ISNUMBER(System!$C18),SIGN(System!$H18),0)</f>
        <v>0</v>
      </c>
      <c r="D21" s="30">
        <f>IF(ISNUMBER(System!$C18),System!O18,0)</f>
        <v>0</v>
      </c>
      <c r="E21">
        <f>IF(ISNUMBER(System!$C18),System!$Q18,0)</f>
        <v>0</v>
      </c>
      <c r="F21" s="30">
        <f>IF(ISNUMBER(System!$C18),System!$R18,0)</f>
        <v>0</v>
      </c>
      <c r="G21">
        <f>IF(AND(ISNUMBER(System!$C18),ABS(B21)+ABS(C21)&lt;&gt;0),System!K18+$J$1*MIN($E$1,D21)*F21 - C21*$H$1*$E$1*E21,KnotenData!$H$2)</f>
        <v>0.5</v>
      </c>
      <c r="H21">
        <f>IF(AND(ISNUMBER(System!$C18),ABS(B21)+ABS(C21)&lt;&gt;0),System!L18-$J$1*MIN($E$1,D21)*F21 - C21*$H$1*$E$1*E21,KnotenData!$H$2)</f>
        <v>0.5</v>
      </c>
      <c r="I21">
        <f>IF(AND(ISNUMBER(System!$C18),ABS(B21)+ABS(C21)&lt;&gt;0),H21 - C21*$E$1*E21,KnotenData!$H$2)</f>
        <v>0.5</v>
      </c>
      <c r="J21">
        <f>IF(AND(ISNUMBER(System!$C18),ABS(B21)+ABS(C21)&lt;&gt;0),G21 - C21*$E$1*E21,KnotenData!$H$2)</f>
        <v>0.5</v>
      </c>
      <c r="K21">
        <f>IF(AND(ISNUMBER(System!$C18),ABS(B21)+ABS(C21)&lt;&gt;0),G21 - C21*$N$1*$E$1*E21,KnotenData!$H$2)</f>
        <v>0.5</v>
      </c>
      <c r="L21">
        <f>IF(AND(ISNUMBER(System!$C18),ABS(B21)+ABS(C21)&lt;&gt;0),H21 - C21*$N$1*$E$1*E21,KnotenData!$H$2)</f>
        <v>0.5</v>
      </c>
      <c r="M21">
        <f>IF(AND(ISNUMBER(System!$C18),ABS(B21)+ABS(C21)&lt;&gt;0),IF(B21&gt;=0,H21,G21)-B21*$R$1*MIN(D21,$E$1)*F21,KnotenData!$H$2)</f>
        <v>0.5</v>
      </c>
      <c r="N21" s="30">
        <f>IF(AND(ISNUMBER(System!$C18),ABS(B21)+ABS(C21)&lt;&gt;0),IF(B21&gt;=0,I21,J21)-B21*$R$1*MIN(D21,$E$1)*F21,KnotenData!$H$2)</f>
        <v>0.5</v>
      </c>
      <c r="O21">
        <f>IF(AND(ISNUMBER(System!$C18),ABS(B21)+ABS(C21)&lt;&gt;0),System!M18-$J$1*MIN($E$1,D21)*E21 - SIGN(C21+0.2)*$H$1*$E$1*F21,KnotenData!$H$3)</f>
        <v>0.47499999999999998</v>
      </c>
      <c r="P21">
        <f>IF(AND(ISNUMBER(System!$C18),ABS(B21)+ABS(C21)&lt;&gt;0),System!N18+$J$1*MIN($E$1,D21)*E21 - SIGN(C21+0.2)*$H$1*$E$1*F21,KnotenData!$H$3)</f>
        <v>0.47499999999999998</v>
      </c>
      <c r="Q21">
        <f>IF(AND(ISNUMBER(System!$C18),ABS(B21)+ABS(C21)&lt;&gt;0),P21 - SIGN(C21+0.2)*$E$1*F21,KnotenData!$H$3)</f>
        <v>0.47499999999999998</v>
      </c>
      <c r="R21">
        <f>IF(AND(ISNUMBER(System!$C18),ABS(B21)+ABS(C21)&lt;&gt;0),O21 - SIGN(C21+0.2)*$E$1*F21,KnotenData!$H$3)</f>
        <v>0.47499999999999998</v>
      </c>
      <c r="S21">
        <f>IF(AND(ISNUMBER(System!$C18),ABS(B21)+ABS(C21)&lt;&gt;0),O21 - SIGN(C21+0.2)*$N$1*$E$1*F21,KnotenData!$H$3)</f>
        <v>0.47499999999999998</v>
      </c>
      <c r="T21">
        <f>IF(AND(ISNUMBER(System!$C18),ABS(B21)+ABS(C21)&lt;&gt;0),P21 - SIGN(C21+0.2)*$N$1*$E$1*F21,KnotenData!$H$3)</f>
        <v>0.47499999999999998</v>
      </c>
      <c r="U21">
        <f>IF(AND(ISNUMBER(System!$C18),ABS(B21)+ABS(C21)&lt;&gt;0),IF(B21&gt;=0,P21,O21)+B21*$R$1*MIN(D21,$E$1)*E21,KnotenData!$H$3)</f>
        <v>0.47499999999999998</v>
      </c>
      <c r="V21" s="30">
        <f>IF(AND(ISNUMBER(System!$C18),ABS(B21)+ABS(C21)&lt;&gt;0),IF(B21&gt;=0,Q21,R21)+B21*$R$1*MIN(D21,$E$1)*E21,KnotenData!$H$3)</f>
        <v>0.47499999999999998</v>
      </c>
    </row>
    <row r="22" spans="1:35" x14ac:dyDescent="0.2">
      <c r="A22" s="30">
        <v>18</v>
      </c>
      <c r="B22">
        <f>IF(ISNUMBER(System!$C19),SIGN(System!$G19),0)</f>
        <v>0</v>
      </c>
      <c r="C22" s="30">
        <f>IF(ISNUMBER(System!$C19),SIGN(System!$H19),0)</f>
        <v>0</v>
      </c>
      <c r="D22" s="30">
        <f>IF(ISNUMBER(System!$C19),System!O19,0)</f>
        <v>0</v>
      </c>
      <c r="E22">
        <f>IF(ISNUMBER(System!$C19),System!$Q19,0)</f>
        <v>0</v>
      </c>
      <c r="F22" s="30">
        <f>IF(ISNUMBER(System!$C19),System!$R19,0)</f>
        <v>0</v>
      </c>
      <c r="G22">
        <f>IF(AND(ISNUMBER(System!$C19),ABS(B22)+ABS(C22)&lt;&gt;0),System!K19+$J$1*MIN($E$1,D22)*F22 - C22*$H$1*$E$1*E22,KnotenData!$H$2)</f>
        <v>0.5</v>
      </c>
      <c r="H22">
        <f>IF(AND(ISNUMBER(System!$C19),ABS(B22)+ABS(C22)&lt;&gt;0),System!L19-$J$1*MIN($E$1,D22)*F22 - C22*$H$1*$E$1*E22,KnotenData!$H$2)</f>
        <v>0.5</v>
      </c>
      <c r="I22">
        <f>IF(AND(ISNUMBER(System!$C19),ABS(B22)+ABS(C22)&lt;&gt;0),H22 - C22*$E$1*E22,KnotenData!$H$2)</f>
        <v>0.5</v>
      </c>
      <c r="J22">
        <f>IF(AND(ISNUMBER(System!$C19),ABS(B22)+ABS(C22)&lt;&gt;0),G22 - C22*$E$1*E22,KnotenData!$H$2)</f>
        <v>0.5</v>
      </c>
      <c r="K22">
        <f>IF(AND(ISNUMBER(System!$C19),ABS(B22)+ABS(C22)&lt;&gt;0),G22 - C22*$N$1*$E$1*E22,KnotenData!$H$2)</f>
        <v>0.5</v>
      </c>
      <c r="L22">
        <f>IF(AND(ISNUMBER(System!$C19),ABS(B22)+ABS(C22)&lt;&gt;0),H22 - C22*$N$1*$E$1*E22,KnotenData!$H$2)</f>
        <v>0.5</v>
      </c>
      <c r="M22">
        <f>IF(AND(ISNUMBER(System!$C19),ABS(B22)+ABS(C22)&lt;&gt;0),IF(B22&gt;=0,H22,G22)-B22*$R$1*MIN(D22,$E$1)*F22,KnotenData!$H$2)</f>
        <v>0.5</v>
      </c>
      <c r="N22" s="30">
        <f>IF(AND(ISNUMBER(System!$C19),ABS(B22)+ABS(C22)&lt;&gt;0),IF(B22&gt;=0,I22,J22)-B22*$R$1*MIN(D22,$E$1)*F22,KnotenData!$H$2)</f>
        <v>0.5</v>
      </c>
      <c r="O22">
        <f>IF(AND(ISNUMBER(System!$C19),ABS(B22)+ABS(C22)&lt;&gt;0),System!M19-$J$1*MIN($E$1,D22)*E22 - SIGN(C22+0.2)*$H$1*$E$1*F22,KnotenData!$H$3)</f>
        <v>0.47499999999999998</v>
      </c>
      <c r="P22">
        <f>IF(AND(ISNUMBER(System!$C19),ABS(B22)+ABS(C22)&lt;&gt;0),System!N19+$J$1*MIN($E$1,D22)*E22 - SIGN(C22+0.2)*$H$1*$E$1*F22,KnotenData!$H$3)</f>
        <v>0.47499999999999998</v>
      </c>
      <c r="Q22">
        <f>IF(AND(ISNUMBER(System!$C19),ABS(B22)+ABS(C22)&lt;&gt;0),P22 - SIGN(C22+0.2)*$E$1*F22,KnotenData!$H$3)</f>
        <v>0.47499999999999998</v>
      </c>
      <c r="R22">
        <f>IF(AND(ISNUMBER(System!$C19),ABS(B22)+ABS(C22)&lt;&gt;0),O22 - SIGN(C22+0.2)*$E$1*F22,KnotenData!$H$3)</f>
        <v>0.47499999999999998</v>
      </c>
      <c r="S22">
        <f>IF(AND(ISNUMBER(System!$C19),ABS(B22)+ABS(C22)&lt;&gt;0),O22 - SIGN(C22+0.2)*$N$1*$E$1*F22,KnotenData!$H$3)</f>
        <v>0.47499999999999998</v>
      </c>
      <c r="T22">
        <f>IF(AND(ISNUMBER(System!$C19),ABS(B22)+ABS(C22)&lt;&gt;0),P22 - SIGN(C22+0.2)*$N$1*$E$1*F22,KnotenData!$H$3)</f>
        <v>0.47499999999999998</v>
      </c>
      <c r="U22">
        <f>IF(AND(ISNUMBER(System!$C19),ABS(B22)+ABS(C22)&lt;&gt;0),IF(B22&gt;=0,P22,O22)+B22*$R$1*MIN(D22,$E$1)*E22,KnotenData!$H$3)</f>
        <v>0.47499999999999998</v>
      </c>
      <c r="V22" s="30">
        <f>IF(AND(ISNUMBER(System!$C19),ABS(B22)+ABS(C22)&lt;&gt;0),IF(B22&gt;=0,Q22,R22)+B22*$R$1*MIN(D22,$E$1)*E22,KnotenData!$H$3)</f>
        <v>0.47499999999999998</v>
      </c>
    </row>
    <row r="23" spans="1:35" x14ac:dyDescent="0.2">
      <c r="A23" s="30">
        <v>19</v>
      </c>
      <c r="B23">
        <f>IF(ISNUMBER(System!$C20),SIGN(System!$G20),0)</f>
        <v>0</v>
      </c>
      <c r="C23" s="30">
        <f>IF(ISNUMBER(System!$C20),SIGN(System!$H20),0)</f>
        <v>0</v>
      </c>
      <c r="D23" s="30">
        <f>IF(ISNUMBER(System!$C20),System!O20,0)</f>
        <v>0</v>
      </c>
      <c r="E23">
        <f>IF(ISNUMBER(System!$C20),System!$Q20,0)</f>
        <v>0</v>
      </c>
      <c r="F23" s="30">
        <f>IF(ISNUMBER(System!$C20),System!$R20,0)</f>
        <v>0</v>
      </c>
      <c r="G23">
        <f>IF(AND(ISNUMBER(System!$C20),ABS(B23)+ABS(C23)&lt;&gt;0),System!K20+$J$1*MIN($E$1,D23)*F23 - C23*$H$1*$E$1*E23,KnotenData!$H$2)</f>
        <v>0.5</v>
      </c>
      <c r="H23">
        <f>IF(AND(ISNUMBER(System!$C20),ABS(B23)+ABS(C23)&lt;&gt;0),System!L20-$J$1*MIN($E$1,D23)*F23 - C23*$H$1*$E$1*E23,KnotenData!$H$2)</f>
        <v>0.5</v>
      </c>
      <c r="I23">
        <f>IF(AND(ISNUMBER(System!$C20),ABS(B23)+ABS(C23)&lt;&gt;0),H23 - C23*$E$1*E23,KnotenData!$H$2)</f>
        <v>0.5</v>
      </c>
      <c r="J23">
        <f>IF(AND(ISNUMBER(System!$C20),ABS(B23)+ABS(C23)&lt;&gt;0),G23 - C23*$E$1*E23,KnotenData!$H$2)</f>
        <v>0.5</v>
      </c>
      <c r="K23">
        <f>IF(AND(ISNUMBER(System!$C20),ABS(B23)+ABS(C23)&lt;&gt;0),G23 - C23*$N$1*$E$1*E23,KnotenData!$H$2)</f>
        <v>0.5</v>
      </c>
      <c r="L23">
        <f>IF(AND(ISNUMBER(System!$C20),ABS(B23)+ABS(C23)&lt;&gt;0),H23 - C23*$N$1*$E$1*E23,KnotenData!$H$2)</f>
        <v>0.5</v>
      </c>
      <c r="M23">
        <f>IF(AND(ISNUMBER(System!$C20),ABS(B23)+ABS(C23)&lt;&gt;0),IF(B23&gt;=0,H23,G23)-B23*$R$1*MIN(D23,$E$1)*F23,KnotenData!$H$2)</f>
        <v>0.5</v>
      </c>
      <c r="N23" s="30">
        <f>IF(AND(ISNUMBER(System!$C20),ABS(B23)+ABS(C23)&lt;&gt;0),IF(B23&gt;=0,I23,J23)-B23*$R$1*MIN(D23,$E$1)*F23,KnotenData!$H$2)</f>
        <v>0.5</v>
      </c>
      <c r="O23">
        <f>IF(AND(ISNUMBER(System!$C20),ABS(B23)+ABS(C23)&lt;&gt;0),System!M20-$J$1*MIN($E$1,D23)*E23 - SIGN(C23+0.2)*$H$1*$E$1*F23,KnotenData!$H$3)</f>
        <v>0.47499999999999998</v>
      </c>
      <c r="P23">
        <f>IF(AND(ISNUMBER(System!$C20),ABS(B23)+ABS(C23)&lt;&gt;0),System!N20+$J$1*MIN($E$1,D23)*E23 - SIGN(C23+0.2)*$H$1*$E$1*F23,KnotenData!$H$3)</f>
        <v>0.47499999999999998</v>
      </c>
      <c r="Q23">
        <f>IF(AND(ISNUMBER(System!$C20),ABS(B23)+ABS(C23)&lt;&gt;0),P23 - SIGN(C23+0.2)*$E$1*F23,KnotenData!$H$3)</f>
        <v>0.47499999999999998</v>
      </c>
      <c r="R23">
        <f>IF(AND(ISNUMBER(System!$C20),ABS(B23)+ABS(C23)&lt;&gt;0),O23 - SIGN(C23+0.2)*$E$1*F23,KnotenData!$H$3)</f>
        <v>0.47499999999999998</v>
      </c>
      <c r="S23">
        <f>IF(AND(ISNUMBER(System!$C20),ABS(B23)+ABS(C23)&lt;&gt;0),O23 - SIGN(C23+0.2)*$N$1*$E$1*F23,KnotenData!$H$3)</f>
        <v>0.47499999999999998</v>
      </c>
      <c r="T23">
        <f>IF(AND(ISNUMBER(System!$C20),ABS(B23)+ABS(C23)&lt;&gt;0),P23 - SIGN(C23+0.2)*$N$1*$E$1*F23,KnotenData!$H$3)</f>
        <v>0.47499999999999998</v>
      </c>
      <c r="U23">
        <f>IF(AND(ISNUMBER(System!$C20),ABS(B23)+ABS(C23)&lt;&gt;0),IF(B23&gt;=0,P23,O23)+B23*$R$1*MIN(D23,$E$1)*E23,KnotenData!$H$3)</f>
        <v>0.47499999999999998</v>
      </c>
      <c r="V23" s="30">
        <f>IF(AND(ISNUMBER(System!$C20),ABS(B23)+ABS(C23)&lt;&gt;0),IF(B23&gt;=0,Q23,R23)+B23*$R$1*MIN(D23,$E$1)*E23,KnotenData!$H$3)</f>
        <v>0.47499999999999998</v>
      </c>
    </row>
    <row r="24" spans="1:35" x14ac:dyDescent="0.2">
      <c r="A24" s="30">
        <v>20</v>
      </c>
      <c r="B24">
        <f>IF(ISNUMBER(System!$C21),SIGN(System!$G21),0)</f>
        <v>0</v>
      </c>
      <c r="C24" s="30">
        <f>IF(ISNUMBER(System!$C21),SIGN(System!$H21),0)</f>
        <v>0</v>
      </c>
      <c r="D24" s="30">
        <f>IF(ISNUMBER(System!$C21),System!O21,0)</f>
        <v>0</v>
      </c>
      <c r="E24">
        <f>IF(ISNUMBER(System!$C21),System!$Q21,0)</f>
        <v>0</v>
      </c>
      <c r="F24" s="30">
        <f>IF(ISNUMBER(System!$C21),System!$R21,0)</f>
        <v>0</v>
      </c>
      <c r="G24">
        <f>IF(AND(ISNUMBER(System!$C21),ABS(B24)+ABS(C24)&lt;&gt;0),System!K21+$J$1*MIN($E$1,D24)*F24 - C24*$H$1*$E$1*E24,KnotenData!$H$2)</f>
        <v>0.5</v>
      </c>
      <c r="H24">
        <f>IF(AND(ISNUMBER(System!$C21),ABS(B24)+ABS(C24)&lt;&gt;0),System!L21-$J$1*MIN($E$1,D24)*F24 - C24*$H$1*$E$1*E24,KnotenData!$H$2)</f>
        <v>0.5</v>
      </c>
      <c r="I24">
        <f>IF(AND(ISNUMBER(System!$C21),ABS(B24)+ABS(C24)&lt;&gt;0),H24 - C24*$E$1*E24,KnotenData!$H$2)</f>
        <v>0.5</v>
      </c>
      <c r="J24">
        <f>IF(AND(ISNUMBER(System!$C21),ABS(B24)+ABS(C24)&lt;&gt;0),G24 - C24*$E$1*E24,KnotenData!$H$2)</f>
        <v>0.5</v>
      </c>
      <c r="K24">
        <f>IF(AND(ISNUMBER(System!$C21),ABS(B24)+ABS(C24)&lt;&gt;0),G24 - C24*$N$1*$E$1*E24,KnotenData!$H$2)</f>
        <v>0.5</v>
      </c>
      <c r="L24">
        <f>IF(AND(ISNUMBER(System!$C21),ABS(B24)+ABS(C24)&lt;&gt;0),H24 - C24*$N$1*$E$1*E24,KnotenData!$H$2)</f>
        <v>0.5</v>
      </c>
      <c r="M24">
        <f>IF(AND(ISNUMBER(System!$C21),ABS(B24)+ABS(C24)&lt;&gt;0),IF(B24&gt;=0,H24,G24)-B24*$R$1*MIN(D24,$E$1)*F24,KnotenData!$H$2)</f>
        <v>0.5</v>
      </c>
      <c r="N24" s="30">
        <f>IF(AND(ISNUMBER(System!$C21),ABS(B24)+ABS(C24)&lt;&gt;0),IF(B24&gt;=0,I24,J24)-B24*$R$1*MIN(D24,$E$1)*F24,KnotenData!$H$2)</f>
        <v>0.5</v>
      </c>
      <c r="O24">
        <f>IF(AND(ISNUMBER(System!$C21),ABS(B24)+ABS(C24)&lt;&gt;0),System!M21-$J$1*MIN($E$1,D24)*E24 - SIGN(C24+0.2)*$H$1*$E$1*F24,KnotenData!$H$3)</f>
        <v>0.47499999999999998</v>
      </c>
      <c r="P24">
        <f>IF(AND(ISNUMBER(System!$C21),ABS(B24)+ABS(C24)&lt;&gt;0),System!N21+$J$1*MIN($E$1,D24)*E24 - SIGN(C24+0.2)*$H$1*$E$1*F24,KnotenData!$H$3)</f>
        <v>0.47499999999999998</v>
      </c>
      <c r="Q24">
        <f>IF(AND(ISNUMBER(System!$C21),ABS(B24)+ABS(C24)&lt;&gt;0),P24 - SIGN(C24+0.2)*$E$1*F24,KnotenData!$H$3)</f>
        <v>0.47499999999999998</v>
      </c>
      <c r="R24">
        <f>IF(AND(ISNUMBER(System!$C21),ABS(B24)+ABS(C24)&lt;&gt;0),O24 - SIGN(C24+0.2)*$E$1*F24,KnotenData!$H$3)</f>
        <v>0.47499999999999998</v>
      </c>
      <c r="S24">
        <f>IF(AND(ISNUMBER(System!$C21),ABS(B24)+ABS(C24)&lt;&gt;0),O24 - SIGN(C24+0.2)*$N$1*$E$1*F24,KnotenData!$H$3)</f>
        <v>0.47499999999999998</v>
      </c>
      <c r="T24">
        <f>IF(AND(ISNUMBER(System!$C21),ABS(B24)+ABS(C24)&lt;&gt;0),P24 - SIGN(C24+0.2)*$N$1*$E$1*F24,KnotenData!$H$3)</f>
        <v>0.47499999999999998</v>
      </c>
      <c r="U24">
        <f>IF(AND(ISNUMBER(System!$C21),ABS(B24)+ABS(C24)&lt;&gt;0),IF(B24&gt;=0,P24,O24)+B24*$R$1*MIN(D24,$E$1)*E24,KnotenData!$H$3)</f>
        <v>0.47499999999999998</v>
      </c>
      <c r="V24" s="30">
        <f>IF(AND(ISNUMBER(System!$C21),ABS(B24)+ABS(C24)&lt;&gt;0),IF(B24&gt;=0,Q24,R24)+B24*$R$1*MIN(D24,$E$1)*E24,KnotenData!$H$3)</f>
        <v>0.47499999999999998</v>
      </c>
    </row>
    <row r="27" spans="1:35" x14ac:dyDescent="0.2">
      <c r="D27" s="172"/>
      <c r="E27" s="172"/>
      <c r="H27" s="172"/>
      <c r="I27" s="172"/>
      <c r="K27" s="172"/>
      <c r="N27" s="172"/>
      <c r="O27" s="172"/>
      <c r="R27" s="172"/>
    </row>
    <row r="29" spans="1:35" ht="13.5" thickBot="1" x14ac:dyDescent="0.25">
      <c r="A29" s="89"/>
      <c r="B29" s="329" t="s">
        <v>151</v>
      </c>
      <c r="C29" s="329" t="s">
        <v>169</v>
      </c>
      <c r="D29" s="329" t="s">
        <v>170</v>
      </c>
      <c r="E29" s="329" t="s">
        <v>171</v>
      </c>
      <c r="F29" s="329" t="s">
        <v>172</v>
      </c>
      <c r="G29" s="329" t="s">
        <v>173</v>
      </c>
      <c r="H29" s="329" t="s">
        <v>174</v>
      </c>
      <c r="I29" s="329" t="s">
        <v>175</v>
      </c>
      <c r="J29" s="329" t="s">
        <v>176</v>
      </c>
      <c r="K29" s="329" t="s">
        <v>177</v>
      </c>
      <c r="L29" s="329" t="s">
        <v>178</v>
      </c>
      <c r="M29" s="329" t="s">
        <v>179</v>
      </c>
      <c r="N29" s="329" t="s">
        <v>180</v>
      </c>
      <c r="O29" s="329" t="s">
        <v>181</v>
      </c>
      <c r="P29" s="329" t="s">
        <v>182</v>
      </c>
      <c r="Q29" s="329" t="s">
        <v>183</v>
      </c>
      <c r="R29" s="341" t="s">
        <v>184</v>
      </c>
      <c r="S29" s="329" t="s">
        <v>152</v>
      </c>
      <c r="T29" s="329" t="s">
        <v>153</v>
      </c>
      <c r="U29" s="329" t="s">
        <v>154</v>
      </c>
      <c r="V29" s="329" t="s">
        <v>155</v>
      </c>
      <c r="W29" s="329" t="s">
        <v>156</v>
      </c>
      <c r="X29" s="329" t="s">
        <v>157</v>
      </c>
      <c r="Y29" s="329" t="s">
        <v>158</v>
      </c>
      <c r="Z29" s="329" t="s">
        <v>159</v>
      </c>
      <c r="AA29" s="329" t="s">
        <v>160</v>
      </c>
      <c r="AB29" s="329" t="s">
        <v>161</v>
      </c>
      <c r="AC29" s="329" t="s">
        <v>162</v>
      </c>
      <c r="AD29" s="329" t="s">
        <v>163</v>
      </c>
      <c r="AE29" s="329" t="s">
        <v>164</v>
      </c>
      <c r="AF29" s="329" t="s">
        <v>165</v>
      </c>
      <c r="AG29" s="329" t="s">
        <v>166</v>
      </c>
      <c r="AH29" s="329" t="s">
        <v>167</v>
      </c>
      <c r="AI29" s="341" t="s">
        <v>168</v>
      </c>
    </row>
    <row r="30" spans="1:35" x14ac:dyDescent="0.2">
      <c r="A30" s="30">
        <v>1</v>
      </c>
      <c r="B30">
        <f t="shared" ref="B30" si="0">IF(B5&gt;=0,J5,I5)</f>
        <v>0.5</v>
      </c>
      <c r="C30">
        <f t="shared" ref="C30" si="1">IF(B5&gt;=0,G5,H5)</f>
        <v>0.5</v>
      </c>
      <c r="D30">
        <f t="shared" ref="D30" ca="1" si="2">IF(B5&gt;=0,K5,L5) + C5* $T$1*F5</f>
        <v>0.5</v>
      </c>
      <c r="E30">
        <f t="shared" ref="E30" ca="1" si="3">IF(B5&gt;=0,K5,L5) - C5* $T$1*F5</f>
        <v>0.5</v>
      </c>
      <c r="F30">
        <f>C30</f>
        <v>0.5</v>
      </c>
      <c r="G30">
        <f t="shared" ref="G30" si="4">IF(B5&gt;=0,H5,G5)</f>
        <v>0.5</v>
      </c>
      <c r="H30">
        <f ca="1">M5 - B5 * E5 * $T$1</f>
        <v>0.5</v>
      </c>
      <c r="I30">
        <f ca="1">M5 + B5 * E5 * $T$1</f>
        <v>0.5</v>
      </c>
      <c r="J30">
        <f>G30</f>
        <v>0.5</v>
      </c>
      <c r="K30">
        <f t="shared" ref="K30" ca="1" si="5">IF(B5&gt;=0,L5,K5) + C5* F5 * $T$1</f>
        <v>0.5</v>
      </c>
      <c r="L30">
        <f t="shared" ref="L30" ca="1" si="6">IF(B5&gt;=0,L5,K5) - C5* F5 * $T$1</f>
        <v>0.5</v>
      </c>
      <c r="M30">
        <f>J30</f>
        <v>0.5</v>
      </c>
      <c r="N30">
        <f t="shared" ref="N30" si="7">IF(B5&gt;=0,I5,J5)</f>
        <v>0.5</v>
      </c>
      <c r="O30">
        <f ca="1">N5 - B5*E5*$T$1</f>
        <v>0.5</v>
      </c>
      <c r="P30">
        <f ca="1">N5 + B5*E5*$T$1</f>
        <v>0.5</v>
      </c>
      <c r="Q30">
        <f>N30</f>
        <v>0.5</v>
      </c>
      <c r="R30" s="30">
        <f>B30</f>
        <v>0.5</v>
      </c>
      <c r="S30">
        <f t="shared" ref="S30" si="8">IF(B5&gt;=0,R5,Q5)</f>
        <v>0.47499999999999998</v>
      </c>
      <c r="T30">
        <f t="shared" ref="T30" si="9">IF(B5&gt;=0,O5,P5)</f>
        <v>0.47499999999999998</v>
      </c>
      <c r="U30">
        <f ca="1">IF(B5&gt;=0,S5,T5) - C5*E5*$T$1</f>
        <v>0.47499999999999998</v>
      </c>
      <c r="V30">
        <f ca="1">IF(B5&gt;=0,S5,T5) + C5*E5*$T$1</f>
        <v>0.47499999999999998</v>
      </c>
      <c r="W30">
        <f>T30</f>
        <v>0.47499999999999998</v>
      </c>
      <c r="X30">
        <f t="shared" ref="X30" si="10">IF(B5&gt;=0,P5,O5)</f>
        <v>0.47499999999999998</v>
      </c>
      <c r="Y30">
        <f t="shared" ref="Y30" ca="1" si="11">U5 - B5 *F5*$T$1</f>
        <v>0.47499999999999998</v>
      </c>
      <c r="Z30">
        <f t="shared" ref="Z30" ca="1" si="12">U5 + B5 *F5*$T$1</f>
        <v>0.47499999999999998</v>
      </c>
      <c r="AA30">
        <f>X30</f>
        <v>0.47499999999999998</v>
      </c>
      <c r="AB30">
        <f ca="1">IF(B5&gt;=0,T5,S5) - C5*E5*$T$1</f>
        <v>0.47499999999999998</v>
      </c>
      <c r="AC30">
        <f ca="1">IF(B5&gt;=0,T5,S5) + C5*E5*$T$1</f>
        <v>0.47499999999999998</v>
      </c>
      <c r="AD30">
        <f>AA30</f>
        <v>0.47499999999999998</v>
      </c>
      <c r="AE30">
        <f t="shared" ref="AE30" si="13">IF(B5&gt;=0,Q5,R5)</f>
        <v>0.47499999999999998</v>
      </c>
      <c r="AF30">
        <f t="shared" ref="AF30" ca="1" si="14">V5 - B5*F5*$T$1</f>
        <v>0.47499999999999998</v>
      </c>
      <c r="AG30">
        <f t="shared" ref="AG30" ca="1" si="15">V5 + B5*F5*$T$1</f>
        <v>0.47499999999999998</v>
      </c>
      <c r="AH30">
        <f>AE30</f>
        <v>0.47499999999999998</v>
      </c>
      <c r="AI30" s="30">
        <f>S30</f>
        <v>0.47499999999999998</v>
      </c>
    </row>
    <row r="31" spans="1:35" x14ac:dyDescent="0.2">
      <c r="A31" s="30">
        <v>2</v>
      </c>
      <c r="B31">
        <f t="shared" ref="B31:B49" ca="1" si="16">IF(B6&gt;=0,J6,I6)</f>
        <v>0.518830975147347</v>
      </c>
      <c r="C31">
        <f t="shared" ref="C31:C49" ca="1" si="17">IF(B6&gt;=0,G6,H6)</f>
        <v>0.518830975147347</v>
      </c>
      <c r="D31">
        <f t="shared" ref="D31:D49" ca="1" si="18">IF(B6&gt;=0,K6,L6) + C6* $T$1*F6</f>
        <v>0.52510796686312933</v>
      </c>
      <c r="E31">
        <f t="shared" ref="E31:E49" ca="1" si="19">IF(B6&gt;=0,K6,L6) - C6* $T$1*F6</f>
        <v>0.51255398343156466</v>
      </c>
      <c r="F31">
        <f t="shared" ref="F31:F49" ca="1" si="20">C31</f>
        <v>0.518830975147347</v>
      </c>
      <c r="G31">
        <f t="shared" ref="G31:G49" ca="1" si="21">IF(B6&gt;=0,H6,G6)</f>
        <v>0.981169024852653</v>
      </c>
      <c r="H31">
        <f t="shared" ref="H31:H49" ca="1" si="22">M6 - B6 * E6 * $T$1</f>
        <v>0.981169024852653</v>
      </c>
      <c r="I31">
        <f t="shared" ref="I31:I49" ca="1" si="23">M6 + B6 * E6 * $T$1</f>
        <v>0.981169024852653</v>
      </c>
      <c r="J31">
        <f t="shared" ref="J31:J49" ca="1" si="24">G31</f>
        <v>0.981169024852653</v>
      </c>
      <c r="K31">
        <f t="shared" ref="K31:K49" ca="1" si="25">IF(B6&gt;=0,L6,K6) + C6* F6 * $T$1</f>
        <v>0.98744601656843534</v>
      </c>
      <c r="L31">
        <f t="shared" ref="L31:L49" ca="1" si="26">IF(B6&gt;=0,L6,K6) - C6* F6 * $T$1</f>
        <v>0.97489203313687067</v>
      </c>
      <c r="M31">
        <f t="shared" ref="M31:M49" ca="1" si="27">J31</f>
        <v>0.981169024852653</v>
      </c>
      <c r="N31">
        <f t="shared" ref="N31:N49" ca="1" si="28">IF(B6&gt;=0,I6,J6)</f>
        <v>0.981169024852653</v>
      </c>
      <c r="O31">
        <f t="shared" ref="O31:O49" ca="1" si="29">N6 - B6*E6*$T$1</f>
        <v>0.981169024852653</v>
      </c>
      <c r="P31">
        <f t="shared" ref="P31:P49" ca="1" si="30">N6 + B6*E6*$T$1</f>
        <v>0.981169024852653</v>
      </c>
      <c r="Q31">
        <f t="shared" ref="Q31:Q49" ca="1" si="31">N31</f>
        <v>0.981169024852653</v>
      </c>
      <c r="R31" s="30">
        <f t="shared" ref="R31:R49" ca="1" si="32">B31</f>
        <v>0.518830975147347</v>
      </c>
      <c r="S31">
        <f t="shared" ref="S31:S49" ca="1" si="33">IF(B6&gt;=0,R6,Q6)</f>
        <v>0.16839910769482969</v>
      </c>
      <c r="T31">
        <f t="shared" ref="T31:T49" ca="1" si="34">IF(B6&gt;=0,O6,P6)</f>
        <v>0.231169024852653</v>
      </c>
      <c r="U31">
        <f t="shared" ref="U31:U49" ca="1" si="35">IF(B6&gt;=0,S6,T6) - C6*E6*$T$1</f>
        <v>0.20919955384741484</v>
      </c>
      <c r="V31">
        <f t="shared" ref="V31:V49" ca="1" si="36">IF(B6&gt;=0,S6,T6) + C6*E6*$T$1</f>
        <v>0.20919955384741484</v>
      </c>
      <c r="W31">
        <f t="shared" ref="W31:W49" ca="1" si="37">T31</f>
        <v>0.231169024852653</v>
      </c>
      <c r="X31">
        <f t="shared" ref="X31:X49" ca="1" si="38">IF(B6&gt;=0,P6,O6)</f>
        <v>0.231169024852653</v>
      </c>
      <c r="Y31">
        <f t="shared" ref="Y31:Y49" ca="1" si="39">U6 - B6 *F6*$T$1</f>
        <v>0.231169024852653</v>
      </c>
      <c r="Z31">
        <f t="shared" ref="Z31:Z49" ca="1" si="40">U6 + B6 *F6*$T$1</f>
        <v>0.231169024852653</v>
      </c>
      <c r="AA31">
        <f t="shared" ref="AA31:AA49" ca="1" si="41">X31</f>
        <v>0.231169024852653</v>
      </c>
      <c r="AB31">
        <f t="shared" ref="AB31:AB49" ca="1" si="42">IF(B6&gt;=0,T6,S6) - C6*E6*$T$1</f>
        <v>0.20919955384741484</v>
      </c>
      <c r="AC31">
        <f t="shared" ref="AC31:AC49" ca="1" si="43">IF(B6&gt;=0,T6,S6) + C6*E6*$T$1</f>
        <v>0.20919955384741484</v>
      </c>
      <c r="AD31">
        <f t="shared" ref="AD31:AD49" ca="1" si="44">AA31</f>
        <v>0.231169024852653</v>
      </c>
      <c r="AE31">
        <f t="shared" ref="AE31:AE49" ca="1" si="45">IF(B6&gt;=0,Q6,R6)</f>
        <v>0.16839910769482969</v>
      </c>
      <c r="AF31">
        <f t="shared" ref="AF31:AF49" ca="1" si="46">V6 - B6*F6*$T$1</f>
        <v>0.16839910769482969</v>
      </c>
      <c r="AG31">
        <f t="shared" ref="AG31:AG49" ca="1" si="47">V6 + B6*F6*$T$1</f>
        <v>0.16839910769482969</v>
      </c>
      <c r="AH31">
        <f t="shared" ref="AH31:AH49" ca="1" si="48">AE31</f>
        <v>0.16839910769482969</v>
      </c>
      <c r="AI31" s="30">
        <f t="shared" ref="AI31:AI49" ca="1" si="49">S31</f>
        <v>0.16839910769482969</v>
      </c>
    </row>
    <row r="32" spans="1:35" x14ac:dyDescent="0.2">
      <c r="A32" s="30">
        <v>3</v>
      </c>
      <c r="B32">
        <f t="shared" si="16"/>
        <v>0.5</v>
      </c>
      <c r="C32">
        <f t="shared" si="17"/>
        <v>0.5</v>
      </c>
      <c r="D32">
        <f t="shared" si="18"/>
        <v>0.5</v>
      </c>
      <c r="E32">
        <f t="shared" si="19"/>
        <v>0.5</v>
      </c>
      <c r="F32">
        <f t="shared" si="20"/>
        <v>0.5</v>
      </c>
      <c r="G32">
        <f t="shared" si="21"/>
        <v>0.5</v>
      </c>
      <c r="H32">
        <f t="shared" si="22"/>
        <v>0.5</v>
      </c>
      <c r="I32">
        <f t="shared" si="23"/>
        <v>0.5</v>
      </c>
      <c r="J32">
        <f t="shared" si="24"/>
        <v>0.5</v>
      </c>
      <c r="K32">
        <f t="shared" si="25"/>
        <v>0.5</v>
      </c>
      <c r="L32">
        <f t="shared" si="26"/>
        <v>0.5</v>
      </c>
      <c r="M32">
        <f t="shared" si="27"/>
        <v>0.5</v>
      </c>
      <c r="N32">
        <f t="shared" si="28"/>
        <v>0.5</v>
      </c>
      <c r="O32">
        <f t="shared" si="29"/>
        <v>0.5</v>
      </c>
      <c r="P32">
        <f t="shared" si="30"/>
        <v>0.5</v>
      </c>
      <c r="Q32">
        <f t="shared" si="31"/>
        <v>0.5</v>
      </c>
      <c r="R32" s="30">
        <f t="shared" si="32"/>
        <v>0.5</v>
      </c>
      <c r="S32">
        <f t="shared" si="33"/>
        <v>0.47499999999999998</v>
      </c>
      <c r="T32">
        <f t="shared" si="34"/>
        <v>0.47499999999999998</v>
      </c>
      <c r="U32">
        <f t="shared" si="35"/>
        <v>0.47499999999999998</v>
      </c>
      <c r="V32">
        <f t="shared" si="36"/>
        <v>0.47499999999999998</v>
      </c>
      <c r="W32">
        <f t="shared" si="37"/>
        <v>0.47499999999999998</v>
      </c>
      <c r="X32">
        <f t="shared" si="38"/>
        <v>0.47499999999999998</v>
      </c>
      <c r="Y32">
        <f t="shared" si="39"/>
        <v>0.47499999999999998</v>
      </c>
      <c r="Z32">
        <f t="shared" si="40"/>
        <v>0.47499999999999998</v>
      </c>
      <c r="AA32">
        <f t="shared" si="41"/>
        <v>0.47499999999999998</v>
      </c>
      <c r="AB32">
        <f t="shared" si="42"/>
        <v>0.47499999999999998</v>
      </c>
      <c r="AC32">
        <f t="shared" si="43"/>
        <v>0.47499999999999998</v>
      </c>
      <c r="AD32">
        <f t="shared" si="44"/>
        <v>0.47499999999999998</v>
      </c>
      <c r="AE32">
        <f t="shared" si="45"/>
        <v>0.47499999999999998</v>
      </c>
      <c r="AF32">
        <f t="shared" si="46"/>
        <v>0.47499999999999998</v>
      </c>
      <c r="AG32">
        <f t="shared" si="47"/>
        <v>0.47499999999999998</v>
      </c>
      <c r="AH32">
        <f t="shared" si="48"/>
        <v>0.47499999999999998</v>
      </c>
      <c r="AI32" s="30">
        <f t="shared" si="49"/>
        <v>0.47499999999999998</v>
      </c>
    </row>
    <row r="33" spans="1:35" x14ac:dyDescent="0.2">
      <c r="A33" s="30">
        <v>4</v>
      </c>
      <c r="B33">
        <f t="shared" si="16"/>
        <v>0.5</v>
      </c>
      <c r="C33">
        <f t="shared" si="17"/>
        <v>0.5</v>
      </c>
      <c r="D33">
        <f t="shared" si="18"/>
        <v>0.5</v>
      </c>
      <c r="E33">
        <f t="shared" si="19"/>
        <v>0.5</v>
      </c>
      <c r="F33">
        <f t="shared" si="20"/>
        <v>0.5</v>
      </c>
      <c r="G33">
        <f t="shared" si="21"/>
        <v>0.5</v>
      </c>
      <c r="H33">
        <f t="shared" si="22"/>
        <v>0.5</v>
      </c>
      <c r="I33">
        <f t="shared" si="23"/>
        <v>0.5</v>
      </c>
      <c r="J33">
        <f t="shared" si="24"/>
        <v>0.5</v>
      </c>
      <c r="K33">
        <f t="shared" si="25"/>
        <v>0.5</v>
      </c>
      <c r="L33">
        <f t="shared" si="26"/>
        <v>0.5</v>
      </c>
      <c r="M33">
        <f t="shared" si="27"/>
        <v>0.5</v>
      </c>
      <c r="N33">
        <f t="shared" si="28"/>
        <v>0.5</v>
      </c>
      <c r="O33">
        <f t="shared" si="29"/>
        <v>0.5</v>
      </c>
      <c r="P33">
        <f t="shared" si="30"/>
        <v>0.5</v>
      </c>
      <c r="Q33">
        <f t="shared" si="31"/>
        <v>0.5</v>
      </c>
      <c r="R33" s="30">
        <f t="shared" si="32"/>
        <v>0.5</v>
      </c>
      <c r="S33">
        <f t="shared" si="33"/>
        <v>0.47499999999999998</v>
      </c>
      <c r="T33">
        <f t="shared" si="34"/>
        <v>0.47499999999999998</v>
      </c>
      <c r="U33">
        <f t="shared" si="35"/>
        <v>0.47499999999999998</v>
      </c>
      <c r="V33">
        <f t="shared" si="36"/>
        <v>0.47499999999999998</v>
      </c>
      <c r="W33">
        <f t="shared" si="37"/>
        <v>0.47499999999999998</v>
      </c>
      <c r="X33">
        <f t="shared" si="38"/>
        <v>0.47499999999999998</v>
      </c>
      <c r="Y33">
        <f t="shared" si="39"/>
        <v>0.47499999999999998</v>
      </c>
      <c r="Z33">
        <f t="shared" si="40"/>
        <v>0.47499999999999998</v>
      </c>
      <c r="AA33">
        <f t="shared" si="41"/>
        <v>0.47499999999999998</v>
      </c>
      <c r="AB33">
        <f t="shared" si="42"/>
        <v>0.47499999999999998</v>
      </c>
      <c r="AC33">
        <f t="shared" si="43"/>
        <v>0.47499999999999998</v>
      </c>
      <c r="AD33">
        <f t="shared" si="44"/>
        <v>0.47499999999999998</v>
      </c>
      <c r="AE33">
        <f t="shared" si="45"/>
        <v>0.47499999999999998</v>
      </c>
      <c r="AF33">
        <f t="shared" si="46"/>
        <v>0.47499999999999998</v>
      </c>
      <c r="AG33">
        <f t="shared" si="47"/>
        <v>0.47499999999999998</v>
      </c>
      <c r="AH33">
        <f t="shared" si="48"/>
        <v>0.47499999999999998</v>
      </c>
      <c r="AI33" s="30">
        <f t="shared" si="49"/>
        <v>0.47499999999999998</v>
      </c>
    </row>
    <row r="34" spans="1:35" x14ac:dyDescent="0.2">
      <c r="A34" s="30">
        <v>5</v>
      </c>
      <c r="B34">
        <f t="shared" si="16"/>
        <v>0.5</v>
      </c>
      <c r="C34">
        <f t="shared" si="17"/>
        <v>0.5</v>
      </c>
      <c r="D34">
        <f t="shared" si="18"/>
        <v>0.5</v>
      </c>
      <c r="E34">
        <f t="shared" si="19"/>
        <v>0.5</v>
      </c>
      <c r="F34">
        <f t="shared" si="20"/>
        <v>0.5</v>
      </c>
      <c r="G34">
        <f t="shared" si="21"/>
        <v>0.5</v>
      </c>
      <c r="H34">
        <f t="shared" si="22"/>
        <v>0.5</v>
      </c>
      <c r="I34">
        <f t="shared" si="23"/>
        <v>0.5</v>
      </c>
      <c r="J34">
        <f t="shared" si="24"/>
        <v>0.5</v>
      </c>
      <c r="K34">
        <f t="shared" si="25"/>
        <v>0.5</v>
      </c>
      <c r="L34">
        <f t="shared" si="26"/>
        <v>0.5</v>
      </c>
      <c r="M34">
        <f t="shared" si="27"/>
        <v>0.5</v>
      </c>
      <c r="N34">
        <f t="shared" si="28"/>
        <v>0.5</v>
      </c>
      <c r="O34">
        <f t="shared" si="29"/>
        <v>0.5</v>
      </c>
      <c r="P34">
        <f t="shared" si="30"/>
        <v>0.5</v>
      </c>
      <c r="Q34">
        <f t="shared" si="31"/>
        <v>0.5</v>
      </c>
      <c r="R34" s="30">
        <f t="shared" si="32"/>
        <v>0.5</v>
      </c>
      <c r="S34">
        <f t="shared" si="33"/>
        <v>0.47499999999999998</v>
      </c>
      <c r="T34">
        <f t="shared" si="34"/>
        <v>0.47499999999999998</v>
      </c>
      <c r="U34">
        <f t="shared" si="35"/>
        <v>0.47499999999999998</v>
      </c>
      <c r="V34">
        <f t="shared" si="36"/>
        <v>0.47499999999999998</v>
      </c>
      <c r="W34">
        <f t="shared" si="37"/>
        <v>0.47499999999999998</v>
      </c>
      <c r="X34">
        <f t="shared" si="38"/>
        <v>0.47499999999999998</v>
      </c>
      <c r="Y34">
        <f t="shared" si="39"/>
        <v>0.47499999999999998</v>
      </c>
      <c r="Z34">
        <f t="shared" si="40"/>
        <v>0.47499999999999998</v>
      </c>
      <c r="AA34">
        <f t="shared" si="41"/>
        <v>0.47499999999999998</v>
      </c>
      <c r="AB34">
        <f t="shared" si="42"/>
        <v>0.47499999999999998</v>
      </c>
      <c r="AC34">
        <f t="shared" si="43"/>
        <v>0.47499999999999998</v>
      </c>
      <c r="AD34">
        <f t="shared" si="44"/>
        <v>0.47499999999999998</v>
      </c>
      <c r="AE34">
        <f t="shared" si="45"/>
        <v>0.47499999999999998</v>
      </c>
      <c r="AF34">
        <f t="shared" si="46"/>
        <v>0.47499999999999998</v>
      </c>
      <c r="AG34">
        <f t="shared" si="47"/>
        <v>0.47499999999999998</v>
      </c>
      <c r="AH34">
        <f t="shared" si="48"/>
        <v>0.47499999999999998</v>
      </c>
      <c r="AI34" s="30">
        <f t="shared" si="49"/>
        <v>0.47499999999999998</v>
      </c>
    </row>
    <row r="35" spans="1:35" x14ac:dyDescent="0.2">
      <c r="A35" s="30">
        <v>6</v>
      </c>
      <c r="B35">
        <f t="shared" si="16"/>
        <v>0.5</v>
      </c>
      <c r="C35">
        <f t="shared" si="17"/>
        <v>0.5</v>
      </c>
      <c r="D35">
        <f t="shared" si="18"/>
        <v>0.5</v>
      </c>
      <c r="E35">
        <f t="shared" si="19"/>
        <v>0.5</v>
      </c>
      <c r="F35">
        <f t="shared" si="20"/>
        <v>0.5</v>
      </c>
      <c r="G35">
        <f t="shared" si="21"/>
        <v>0.5</v>
      </c>
      <c r="H35">
        <f t="shared" si="22"/>
        <v>0.5</v>
      </c>
      <c r="I35">
        <f t="shared" si="23"/>
        <v>0.5</v>
      </c>
      <c r="J35">
        <f t="shared" si="24"/>
        <v>0.5</v>
      </c>
      <c r="K35">
        <f t="shared" si="25"/>
        <v>0.5</v>
      </c>
      <c r="L35">
        <f t="shared" si="26"/>
        <v>0.5</v>
      </c>
      <c r="M35">
        <f t="shared" si="27"/>
        <v>0.5</v>
      </c>
      <c r="N35">
        <f t="shared" si="28"/>
        <v>0.5</v>
      </c>
      <c r="O35">
        <f t="shared" si="29"/>
        <v>0.5</v>
      </c>
      <c r="P35">
        <f t="shared" si="30"/>
        <v>0.5</v>
      </c>
      <c r="Q35">
        <f t="shared" si="31"/>
        <v>0.5</v>
      </c>
      <c r="R35" s="30">
        <f t="shared" si="32"/>
        <v>0.5</v>
      </c>
      <c r="S35">
        <f t="shared" si="33"/>
        <v>0.47499999999999998</v>
      </c>
      <c r="T35">
        <f t="shared" si="34"/>
        <v>0.47499999999999998</v>
      </c>
      <c r="U35">
        <f t="shared" si="35"/>
        <v>0.47499999999999998</v>
      </c>
      <c r="V35">
        <f t="shared" si="36"/>
        <v>0.47499999999999998</v>
      </c>
      <c r="W35">
        <f t="shared" si="37"/>
        <v>0.47499999999999998</v>
      </c>
      <c r="X35">
        <f t="shared" si="38"/>
        <v>0.47499999999999998</v>
      </c>
      <c r="Y35">
        <f t="shared" si="39"/>
        <v>0.47499999999999998</v>
      </c>
      <c r="Z35">
        <f t="shared" si="40"/>
        <v>0.47499999999999998</v>
      </c>
      <c r="AA35">
        <f t="shared" si="41"/>
        <v>0.47499999999999998</v>
      </c>
      <c r="AB35">
        <f t="shared" si="42"/>
        <v>0.47499999999999998</v>
      </c>
      <c r="AC35">
        <f t="shared" si="43"/>
        <v>0.47499999999999998</v>
      </c>
      <c r="AD35">
        <f t="shared" si="44"/>
        <v>0.47499999999999998</v>
      </c>
      <c r="AE35">
        <f t="shared" si="45"/>
        <v>0.47499999999999998</v>
      </c>
      <c r="AF35">
        <f t="shared" si="46"/>
        <v>0.47499999999999998</v>
      </c>
      <c r="AG35">
        <f t="shared" si="47"/>
        <v>0.47499999999999998</v>
      </c>
      <c r="AH35">
        <f t="shared" si="48"/>
        <v>0.47499999999999998</v>
      </c>
      <c r="AI35" s="30">
        <f t="shared" si="49"/>
        <v>0.47499999999999998</v>
      </c>
    </row>
    <row r="36" spans="1:35" x14ac:dyDescent="0.2">
      <c r="A36" s="30">
        <v>7</v>
      </c>
      <c r="B36">
        <f t="shared" si="16"/>
        <v>0.5</v>
      </c>
      <c r="C36">
        <f t="shared" si="17"/>
        <v>0.5</v>
      </c>
      <c r="D36">
        <f t="shared" si="18"/>
        <v>0.5</v>
      </c>
      <c r="E36">
        <f t="shared" si="19"/>
        <v>0.5</v>
      </c>
      <c r="F36">
        <f t="shared" si="20"/>
        <v>0.5</v>
      </c>
      <c r="G36">
        <f t="shared" si="21"/>
        <v>0.5</v>
      </c>
      <c r="H36">
        <f t="shared" si="22"/>
        <v>0.5</v>
      </c>
      <c r="I36">
        <f t="shared" si="23"/>
        <v>0.5</v>
      </c>
      <c r="J36">
        <f t="shared" si="24"/>
        <v>0.5</v>
      </c>
      <c r="K36">
        <f t="shared" si="25"/>
        <v>0.5</v>
      </c>
      <c r="L36">
        <f t="shared" si="26"/>
        <v>0.5</v>
      </c>
      <c r="M36">
        <f t="shared" si="27"/>
        <v>0.5</v>
      </c>
      <c r="N36">
        <f t="shared" si="28"/>
        <v>0.5</v>
      </c>
      <c r="O36">
        <f t="shared" si="29"/>
        <v>0.5</v>
      </c>
      <c r="P36">
        <f t="shared" si="30"/>
        <v>0.5</v>
      </c>
      <c r="Q36">
        <f t="shared" si="31"/>
        <v>0.5</v>
      </c>
      <c r="R36" s="30">
        <f t="shared" si="32"/>
        <v>0.5</v>
      </c>
      <c r="S36">
        <f t="shared" si="33"/>
        <v>0.47499999999999998</v>
      </c>
      <c r="T36">
        <f t="shared" si="34"/>
        <v>0.47499999999999998</v>
      </c>
      <c r="U36">
        <f t="shared" si="35"/>
        <v>0.47499999999999998</v>
      </c>
      <c r="V36">
        <f t="shared" si="36"/>
        <v>0.47499999999999998</v>
      </c>
      <c r="W36">
        <f t="shared" si="37"/>
        <v>0.47499999999999998</v>
      </c>
      <c r="X36">
        <f t="shared" si="38"/>
        <v>0.47499999999999998</v>
      </c>
      <c r="Y36">
        <f t="shared" si="39"/>
        <v>0.47499999999999998</v>
      </c>
      <c r="Z36">
        <f t="shared" si="40"/>
        <v>0.47499999999999998</v>
      </c>
      <c r="AA36">
        <f t="shared" si="41"/>
        <v>0.47499999999999998</v>
      </c>
      <c r="AB36">
        <f t="shared" si="42"/>
        <v>0.47499999999999998</v>
      </c>
      <c r="AC36">
        <f t="shared" si="43"/>
        <v>0.47499999999999998</v>
      </c>
      <c r="AD36">
        <f t="shared" si="44"/>
        <v>0.47499999999999998</v>
      </c>
      <c r="AE36">
        <f t="shared" si="45"/>
        <v>0.47499999999999998</v>
      </c>
      <c r="AF36">
        <f t="shared" si="46"/>
        <v>0.47499999999999998</v>
      </c>
      <c r="AG36">
        <f t="shared" si="47"/>
        <v>0.47499999999999998</v>
      </c>
      <c r="AH36">
        <f t="shared" si="48"/>
        <v>0.47499999999999998</v>
      </c>
      <c r="AI36" s="30">
        <f t="shared" si="49"/>
        <v>0.47499999999999998</v>
      </c>
    </row>
    <row r="37" spans="1:35" x14ac:dyDescent="0.2">
      <c r="A37" s="30">
        <v>8</v>
      </c>
      <c r="B37">
        <f t="shared" si="16"/>
        <v>0.5</v>
      </c>
      <c r="C37">
        <f t="shared" si="17"/>
        <v>0.5</v>
      </c>
      <c r="D37">
        <f t="shared" si="18"/>
        <v>0.5</v>
      </c>
      <c r="E37">
        <f t="shared" si="19"/>
        <v>0.5</v>
      </c>
      <c r="F37">
        <f t="shared" si="20"/>
        <v>0.5</v>
      </c>
      <c r="G37">
        <f t="shared" si="21"/>
        <v>0.5</v>
      </c>
      <c r="H37">
        <f t="shared" si="22"/>
        <v>0.5</v>
      </c>
      <c r="I37">
        <f t="shared" si="23"/>
        <v>0.5</v>
      </c>
      <c r="J37">
        <f t="shared" si="24"/>
        <v>0.5</v>
      </c>
      <c r="K37">
        <f t="shared" si="25"/>
        <v>0.5</v>
      </c>
      <c r="L37">
        <f t="shared" si="26"/>
        <v>0.5</v>
      </c>
      <c r="M37">
        <f t="shared" si="27"/>
        <v>0.5</v>
      </c>
      <c r="N37">
        <f t="shared" si="28"/>
        <v>0.5</v>
      </c>
      <c r="O37">
        <f t="shared" si="29"/>
        <v>0.5</v>
      </c>
      <c r="P37">
        <f t="shared" si="30"/>
        <v>0.5</v>
      </c>
      <c r="Q37">
        <f t="shared" si="31"/>
        <v>0.5</v>
      </c>
      <c r="R37" s="30">
        <f t="shared" si="32"/>
        <v>0.5</v>
      </c>
      <c r="S37">
        <f t="shared" si="33"/>
        <v>0.47499999999999998</v>
      </c>
      <c r="T37">
        <f t="shared" si="34"/>
        <v>0.47499999999999998</v>
      </c>
      <c r="U37">
        <f t="shared" si="35"/>
        <v>0.47499999999999998</v>
      </c>
      <c r="V37">
        <f t="shared" si="36"/>
        <v>0.47499999999999998</v>
      </c>
      <c r="W37">
        <f t="shared" si="37"/>
        <v>0.47499999999999998</v>
      </c>
      <c r="X37">
        <f t="shared" si="38"/>
        <v>0.47499999999999998</v>
      </c>
      <c r="Y37">
        <f t="shared" si="39"/>
        <v>0.47499999999999998</v>
      </c>
      <c r="Z37">
        <f t="shared" si="40"/>
        <v>0.47499999999999998</v>
      </c>
      <c r="AA37">
        <f t="shared" si="41"/>
        <v>0.47499999999999998</v>
      </c>
      <c r="AB37">
        <f t="shared" si="42"/>
        <v>0.47499999999999998</v>
      </c>
      <c r="AC37">
        <f t="shared" si="43"/>
        <v>0.47499999999999998</v>
      </c>
      <c r="AD37">
        <f t="shared" si="44"/>
        <v>0.47499999999999998</v>
      </c>
      <c r="AE37">
        <f t="shared" si="45"/>
        <v>0.47499999999999998</v>
      </c>
      <c r="AF37">
        <f t="shared" si="46"/>
        <v>0.47499999999999998</v>
      </c>
      <c r="AG37">
        <f t="shared" si="47"/>
        <v>0.47499999999999998</v>
      </c>
      <c r="AH37">
        <f t="shared" si="48"/>
        <v>0.47499999999999998</v>
      </c>
      <c r="AI37" s="30">
        <f t="shared" si="49"/>
        <v>0.47499999999999998</v>
      </c>
    </row>
    <row r="38" spans="1:35" x14ac:dyDescent="0.2">
      <c r="A38" s="30">
        <v>9</v>
      </c>
      <c r="B38">
        <f t="shared" si="16"/>
        <v>0.5</v>
      </c>
      <c r="C38">
        <f t="shared" si="17"/>
        <v>0.5</v>
      </c>
      <c r="D38">
        <f t="shared" si="18"/>
        <v>0.5</v>
      </c>
      <c r="E38">
        <f t="shared" si="19"/>
        <v>0.5</v>
      </c>
      <c r="F38">
        <f t="shared" si="20"/>
        <v>0.5</v>
      </c>
      <c r="G38">
        <f t="shared" si="21"/>
        <v>0.5</v>
      </c>
      <c r="H38">
        <f t="shared" si="22"/>
        <v>0.5</v>
      </c>
      <c r="I38">
        <f t="shared" si="23"/>
        <v>0.5</v>
      </c>
      <c r="J38">
        <f t="shared" si="24"/>
        <v>0.5</v>
      </c>
      <c r="K38">
        <f t="shared" si="25"/>
        <v>0.5</v>
      </c>
      <c r="L38">
        <f t="shared" si="26"/>
        <v>0.5</v>
      </c>
      <c r="M38">
        <f t="shared" si="27"/>
        <v>0.5</v>
      </c>
      <c r="N38">
        <f t="shared" si="28"/>
        <v>0.5</v>
      </c>
      <c r="O38">
        <f t="shared" si="29"/>
        <v>0.5</v>
      </c>
      <c r="P38">
        <f t="shared" si="30"/>
        <v>0.5</v>
      </c>
      <c r="Q38">
        <f t="shared" si="31"/>
        <v>0.5</v>
      </c>
      <c r="R38" s="30">
        <f t="shared" si="32"/>
        <v>0.5</v>
      </c>
      <c r="S38">
        <f t="shared" si="33"/>
        <v>0.47499999999999998</v>
      </c>
      <c r="T38">
        <f t="shared" si="34"/>
        <v>0.47499999999999998</v>
      </c>
      <c r="U38">
        <f t="shared" si="35"/>
        <v>0.47499999999999998</v>
      </c>
      <c r="V38">
        <f t="shared" si="36"/>
        <v>0.47499999999999998</v>
      </c>
      <c r="W38">
        <f t="shared" si="37"/>
        <v>0.47499999999999998</v>
      </c>
      <c r="X38">
        <f t="shared" si="38"/>
        <v>0.47499999999999998</v>
      </c>
      <c r="Y38">
        <f t="shared" si="39"/>
        <v>0.47499999999999998</v>
      </c>
      <c r="Z38">
        <f t="shared" si="40"/>
        <v>0.47499999999999998</v>
      </c>
      <c r="AA38">
        <f t="shared" si="41"/>
        <v>0.47499999999999998</v>
      </c>
      <c r="AB38">
        <f t="shared" si="42"/>
        <v>0.47499999999999998</v>
      </c>
      <c r="AC38">
        <f t="shared" si="43"/>
        <v>0.47499999999999998</v>
      </c>
      <c r="AD38">
        <f t="shared" si="44"/>
        <v>0.47499999999999998</v>
      </c>
      <c r="AE38">
        <f t="shared" si="45"/>
        <v>0.47499999999999998</v>
      </c>
      <c r="AF38">
        <f t="shared" si="46"/>
        <v>0.47499999999999998</v>
      </c>
      <c r="AG38">
        <f t="shared" si="47"/>
        <v>0.47499999999999998</v>
      </c>
      <c r="AH38">
        <f t="shared" si="48"/>
        <v>0.47499999999999998</v>
      </c>
      <c r="AI38" s="30">
        <f t="shared" si="49"/>
        <v>0.47499999999999998</v>
      </c>
    </row>
    <row r="39" spans="1:35" x14ac:dyDescent="0.2">
      <c r="A39" s="30">
        <v>10</v>
      </c>
      <c r="B39">
        <f t="shared" si="16"/>
        <v>0.5</v>
      </c>
      <c r="C39">
        <f t="shared" si="17"/>
        <v>0.5</v>
      </c>
      <c r="D39">
        <f t="shared" si="18"/>
        <v>0.5</v>
      </c>
      <c r="E39">
        <f t="shared" si="19"/>
        <v>0.5</v>
      </c>
      <c r="F39">
        <f t="shared" si="20"/>
        <v>0.5</v>
      </c>
      <c r="G39">
        <f t="shared" si="21"/>
        <v>0.5</v>
      </c>
      <c r="H39">
        <f t="shared" si="22"/>
        <v>0.5</v>
      </c>
      <c r="I39">
        <f t="shared" si="23"/>
        <v>0.5</v>
      </c>
      <c r="J39">
        <f t="shared" si="24"/>
        <v>0.5</v>
      </c>
      <c r="K39">
        <f t="shared" si="25"/>
        <v>0.5</v>
      </c>
      <c r="L39">
        <f t="shared" si="26"/>
        <v>0.5</v>
      </c>
      <c r="M39">
        <f t="shared" si="27"/>
        <v>0.5</v>
      </c>
      <c r="N39">
        <f t="shared" si="28"/>
        <v>0.5</v>
      </c>
      <c r="O39">
        <f t="shared" si="29"/>
        <v>0.5</v>
      </c>
      <c r="P39">
        <f t="shared" si="30"/>
        <v>0.5</v>
      </c>
      <c r="Q39">
        <f t="shared" si="31"/>
        <v>0.5</v>
      </c>
      <c r="R39" s="30">
        <f t="shared" si="32"/>
        <v>0.5</v>
      </c>
      <c r="S39">
        <f t="shared" si="33"/>
        <v>0.47499999999999998</v>
      </c>
      <c r="T39">
        <f t="shared" si="34"/>
        <v>0.47499999999999998</v>
      </c>
      <c r="U39">
        <f t="shared" si="35"/>
        <v>0.47499999999999998</v>
      </c>
      <c r="V39">
        <f t="shared" si="36"/>
        <v>0.47499999999999998</v>
      </c>
      <c r="W39">
        <f t="shared" si="37"/>
        <v>0.47499999999999998</v>
      </c>
      <c r="X39">
        <f t="shared" si="38"/>
        <v>0.47499999999999998</v>
      </c>
      <c r="Y39">
        <f t="shared" si="39"/>
        <v>0.47499999999999998</v>
      </c>
      <c r="Z39">
        <f t="shared" si="40"/>
        <v>0.47499999999999998</v>
      </c>
      <c r="AA39">
        <f t="shared" si="41"/>
        <v>0.47499999999999998</v>
      </c>
      <c r="AB39">
        <f t="shared" si="42"/>
        <v>0.47499999999999998</v>
      </c>
      <c r="AC39">
        <f t="shared" si="43"/>
        <v>0.47499999999999998</v>
      </c>
      <c r="AD39">
        <f t="shared" si="44"/>
        <v>0.47499999999999998</v>
      </c>
      <c r="AE39">
        <f t="shared" si="45"/>
        <v>0.47499999999999998</v>
      </c>
      <c r="AF39">
        <f t="shared" si="46"/>
        <v>0.47499999999999998</v>
      </c>
      <c r="AG39">
        <f t="shared" si="47"/>
        <v>0.47499999999999998</v>
      </c>
      <c r="AH39">
        <f t="shared" si="48"/>
        <v>0.47499999999999998</v>
      </c>
      <c r="AI39" s="30">
        <f t="shared" si="49"/>
        <v>0.47499999999999998</v>
      </c>
    </row>
    <row r="40" spans="1:35" x14ac:dyDescent="0.2">
      <c r="A40" s="30">
        <v>11</v>
      </c>
      <c r="B40">
        <f t="shared" si="16"/>
        <v>0.5</v>
      </c>
      <c r="C40">
        <f t="shared" si="17"/>
        <v>0.5</v>
      </c>
      <c r="D40">
        <f t="shared" si="18"/>
        <v>0.5</v>
      </c>
      <c r="E40">
        <f t="shared" si="19"/>
        <v>0.5</v>
      </c>
      <c r="F40">
        <f t="shared" si="20"/>
        <v>0.5</v>
      </c>
      <c r="G40">
        <f t="shared" si="21"/>
        <v>0.5</v>
      </c>
      <c r="H40">
        <f t="shared" si="22"/>
        <v>0.5</v>
      </c>
      <c r="I40">
        <f t="shared" si="23"/>
        <v>0.5</v>
      </c>
      <c r="J40">
        <f t="shared" si="24"/>
        <v>0.5</v>
      </c>
      <c r="K40">
        <f t="shared" si="25"/>
        <v>0.5</v>
      </c>
      <c r="L40">
        <f t="shared" si="26"/>
        <v>0.5</v>
      </c>
      <c r="M40">
        <f t="shared" si="27"/>
        <v>0.5</v>
      </c>
      <c r="N40">
        <f t="shared" si="28"/>
        <v>0.5</v>
      </c>
      <c r="O40">
        <f t="shared" si="29"/>
        <v>0.5</v>
      </c>
      <c r="P40">
        <f t="shared" si="30"/>
        <v>0.5</v>
      </c>
      <c r="Q40">
        <f t="shared" si="31"/>
        <v>0.5</v>
      </c>
      <c r="R40" s="30">
        <f t="shared" si="32"/>
        <v>0.5</v>
      </c>
      <c r="S40">
        <f t="shared" si="33"/>
        <v>0.47499999999999998</v>
      </c>
      <c r="T40">
        <f t="shared" si="34"/>
        <v>0.47499999999999998</v>
      </c>
      <c r="U40">
        <f t="shared" si="35"/>
        <v>0.47499999999999998</v>
      </c>
      <c r="V40">
        <f t="shared" si="36"/>
        <v>0.47499999999999998</v>
      </c>
      <c r="W40">
        <f t="shared" si="37"/>
        <v>0.47499999999999998</v>
      </c>
      <c r="X40">
        <f t="shared" si="38"/>
        <v>0.47499999999999998</v>
      </c>
      <c r="Y40">
        <f t="shared" si="39"/>
        <v>0.47499999999999998</v>
      </c>
      <c r="Z40">
        <f t="shared" si="40"/>
        <v>0.47499999999999998</v>
      </c>
      <c r="AA40">
        <f t="shared" si="41"/>
        <v>0.47499999999999998</v>
      </c>
      <c r="AB40">
        <f t="shared" si="42"/>
        <v>0.47499999999999998</v>
      </c>
      <c r="AC40">
        <f t="shared" si="43"/>
        <v>0.47499999999999998</v>
      </c>
      <c r="AD40">
        <f t="shared" si="44"/>
        <v>0.47499999999999998</v>
      </c>
      <c r="AE40">
        <f t="shared" si="45"/>
        <v>0.47499999999999998</v>
      </c>
      <c r="AF40">
        <f t="shared" si="46"/>
        <v>0.47499999999999998</v>
      </c>
      <c r="AG40">
        <f t="shared" si="47"/>
        <v>0.47499999999999998</v>
      </c>
      <c r="AH40">
        <f t="shared" si="48"/>
        <v>0.47499999999999998</v>
      </c>
      <c r="AI40" s="30">
        <f t="shared" si="49"/>
        <v>0.47499999999999998</v>
      </c>
    </row>
    <row r="41" spans="1:35" x14ac:dyDescent="0.2">
      <c r="A41" s="30">
        <v>12</v>
      </c>
      <c r="B41">
        <f t="shared" si="16"/>
        <v>0.5</v>
      </c>
      <c r="C41">
        <f t="shared" si="17"/>
        <v>0.5</v>
      </c>
      <c r="D41">
        <f t="shared" si="18"/>
        <v>0.5</v>
      </c>
      <c r="E41">
        <f t="shared" si="19"/>
        <v>0.5</v>
      </c>
      <c r="F41">
        <f t="shared" si="20"/>
        <v>0.5</v>
      </c>
      <c r="G41">
        <f t="shared" si="21"/>
        <v>0.5</v>
      </c>
      <c r="H41">
        <f t="shared" si="22"/>
        <v>0.5</v>
      </c>
      <c r="I41">
        <f t="shared" si="23"/>
        <v>0.5</v>
      </c>
      <c r="J41">
        <f t="shared" si="24"/>
        <v>0.5</v>
      </c>
      <c r="K41">
        <f t="shared" si="25"/>
        <v>0.5</v>
      </c>
      <c r="L41">
        <f t="shared" si="26"/>
        <v>0.5</v>
      </c>
      <c r="M41">
        <f t="shared" si="27"/>
        <v>0.5</v>
      </c>
      <c r="N41">
        <f t="shared" si="28"/>
        <v>0.5</v>
      </c>
      <c r="O41">
        <f t="shared" si="29"/>
        <v>0.5</v>
      </c>
      <c r="P41">
        <f t="shared" si="30"/>
        <v>0.5</v>
      </c>
      <c r="Q41">
        <f t="shared" si="31"/>
        <v>0.5</v>
      </c>
      <c r="R41" s="30">
        <f t="shared" si="32"/>
        <v>0.5</v>
      </c>
      <c r="S41">
        <f t="shared" si="33"/>
        <v>0.47499999999999998</v>
      </c>
      <c r="T41">
        <f t="shared" si="34"/>
        <v>0.47499999999999998</v>
      </c>
      <c r="U41">
        <f t="shared" si="35"/>
        <v>0.47499999999999998</v>
      </c>
      <c r="V41">
        <f t="shared" si="36"/>
        <v>0.47499999999999998</v>
      </c>
      <c r="W41">
        <f t="shared" si="37"/>
        <v>0.47499999999999998</v>
      </c>
      <c r="X41">
        <f t="shared" si="38"/>
        <v>0.47499999999999998</v>
      </c>
      <c r="Y41">
        <f t="shared" si="39"/>
        <v>0.47499999999999998</v>
      </c>
      <c r="Z41">
        <f t="shared" si="40"/>
        <v>0.47499999999999998</v>
      </c>
      <c r="AA41">
        <f t="shared" si="41"/>
        <v>0.47499999999999998</v>
      </c>
      <c r="AB41">
        <f t="shared" si="42"/>
        <v>0.47499999999999998</v>
      </c>
      <c r="AC41">
        <f t="shared" si="43"/>
        <v>0.47499999999999998</v>
      </c>
      <c r="AD41">
        <f t="shared" si="44"/>
        <v>0.47499999999999998</v>
      </c>
      <c r="AE41">
        <f t="shared" si="45"/>
        <v>0.47499999999999998</v>
      </c>
      <c r="AF41">
        <f t="shared" si="46"/>
        <v>0.47499999999999998</v>
      </c>
      <c r="AG41">
        <f t="shared" si="47"/>
        <v>0.47499999999999998</v>
      </c>
      <c r="AH41">
        <f t="shared" si="48"/>
        <v>0.47499999999999998</v>
      </c>
      <c r="AI41" s="30">
        <f t="shared" si="49"/>
        <v>0.47499999999999998</v>
      </c>
    </row>
    <row r="42" spans="1:35" x14ac:dyDescent="0.2">
      <c r="A42" s="30">
        <v>13</v>
      </c>
      <c r="B42">
        <f t="shared" si="16"/>
        <v>0.5</v>
      </c>
      <c r="C42">
        <f t="shared" si="17"/>
        <v>0.5</v>
      </c>
      <c r="D42">
        <f t="shared" si="18"/>
        <v>0.5</v>
      </c>
      <c r="E42">
        <f t="shared" si="19"/>
        <v>0.5</v>
      </c>
      <c r="F42">
        <f t="shared" si="20"/>
        <v>0.5</v>
      </c>
      <c r="G42">
        <f t="shared" si="21"/>
        <v>0.5</v>
      </c>
      <c r="H42">
        <f t="shared" si="22"/>
        <v>0.5</v>
      </c>
      <c r="I42">
        <f t="shared" si="23"/>
        <v>0.5</v>
      </c>
      <c r="J42">
        <f t="shared" si="24"/>
        <v>0.5</v>
      </c>
      <c r="K42">
        <f t="shared" si="25"/>
        <v>0.5</v>
      </c>
      <c r="L42">
        <f t="shared" si="26"/>
        <v>0.5</v>
      </c>
      <c r="M42">
        <f t="shared" si="27"/>
        <v>0.5</v>
      </c>
      <c r="N42">
        <f t="shared" si="28"/>
        <v>0.5</v>
      </c>
      <c r="O42">
        <f t="shared" si="29"/>
        <v>0.5</v>
      </c>
      <c r="P42">
        <f t="shared" si="30"/>
        <v>0.5</v>
      </c>
      <c r="Q42">
        <f t="shared" si="31"/>
        <v>0.5</v>
      </c>
      <c r="R42" s="30">
        <f t="shared" si="32"/>
        <v>0.5</v>
      </c>
      <c r="S42">
        <f t="shared" si="33"/>
        <v>0.47499999999999998</v>
      </c>
      <c r="T42">
        <f t="shared" si="34"/>
        <v>0.47499999999999998</v>
      </c>
      <c r="U42">
        <f t="shared" si="35"/>
        <v>0.47499999999999998</v>
      </c>
      <c r="V42">
        <f t="shared" si="36"/>
        <v>0.47499999999999998</v>
      </c>
      <c r="W42">
        <f t="shared" si="37"/>
        <v>0.47499999999999998</v>
      </c>
      <c r="X42">
        <f t="shared" si="38"/>
        <v>0.47499999999999998</v>
      </c>
      <c r="Y42">
        <f t="shared" si="39"/>
        <v>0.47499999999999998</v>
      </c>
      <c r="Z42">
        <f t="shared" si="40"/>
        <v>0.47499999999999998</v>
      </c>
      <c r="AA42">
        <f t="shared" si="41"/>
        <v>0.47499999999999998</v>
      </c>
      <c r="AB42">
        <f t="shared" si="42"/>
        <v>0.47499999999999998</v>
      </c>
      <c r="AC42">
        <f t="shared" si="43"/>
        <v>0.47499999999999998</v>
      </c>
      <c r="AD42">
        <f t="shared" si="44"/>
        <v>0.47499999999999998</v>
      </c>
      <c r="AE42">
        <f t="shared" si="45"/>
        <v>0.47499999999999998</v>
      </c>
      <c r="AF42">
        <f t="shared" si="46"/>
        <v>0.47499999999999998</v>
      </c>
      <c r="AG42">
        <f t="shared" si="47"/>
        <v>0.47499999999999998</v>
      </c>
      <c r="AH42">
        <f t="shared" si="48"/>
        <v>0.47499999999999998</v>
      </c>
      <c r="AI42" s="30">
        <f t="shared" si="49"/>
        <v>0.47499999999999998</v>
      </c>
    </row>
    <row r="43" spans="1:35" x14ac:dyDescent="0.2">
      <c r="A43" s="30">
        <v>14</v>
      </c>
      <c r="B43">
        <f t="shared" si="16"/>
        <v>0.5</v>
      </c>
      <c r="C43">
        <f t="shared" si="17"/>
        <v>0.5</v>
      </c>
      <c r="D43">
        <f t="shared" si="18"/>
        <v>0.5</v>
      </c>
      <c r="E43">
        <f t="shared" si="19"/>
        <v>0.5</v>
      </c>
      <c r="F43">
        <f t="shared" si="20"/>
        <v>0.5</v>
      </c>
      <c r="G43">
        <f t="shared" si="21"/>
        <v>0.5</v>
      </c>
      <c r="H43">
        <f t="shared" si="22"/>
        <v>0.5</v>
      </c>
      <c r="I43">
        <f t="shared" si="23"/>
        <v>0.5</v>
      </c>
      <c r="J43">
        <f t="shared" si="24"/>
        <v>0.5</v>
      </c>
      <c r="K43">
        <f t="shared" si="25"/>
        <v>0.5</v>
      </c>
      <c r="L43">
        <f t="shared" si="26"/>
        <v>0.5</v>
      </c>
      <c r="M43">
        <f t="shared" si="27"/>
        <v>0.5</v>
      </c>
      <c r="N43">
        <f t="shared" si="28"/>
        <v>0.5</v>
      </c>
      <c r="O43">
        <f t="shared" si="29"/>
        <v>0.5</v>
      </c>
      <c r="P43">
        <f t="shared" si="30"/>
        <v>0.5</v>
      </c>
      <c r="Q43">
        <f t="shared" si="31"/>
        <v>0.5</v>
      </c>
      <c r="R43" s="30">
        <f t="shared" si="32"/>
        <v>0.5</v>
      </c>
      <c r="S43">
        <f t="shared" si="33"/>
        <v>0.47499999999999998</v>
      </c>
      <c r="T43">
        <f t="shared" si="34"/>
        <v>0.47499999999999998</v>
      </c>
      <c r="U43">
        <f t="shared" si="35"/>
        <v>0.47499999999999998</v>
      </c>
      <c r="V43">
        <f t="shared" si="36"/>
        <v>0.47499999999999998</v>
      </c>
      <c r="W43">
        <f t="shared" si="37"/>
        <v>0.47499999999999998</v>
      </c>
      <c r="X43">
        <f t="shared" si="38"/>
        <v>0.47499999999999998</v>
      </c>
      <c r="Y43">
        <f t="shared" si="39"/>
        <v>0.47499999999999998</v>
      </c>
      <c r="Z43">
        <f t="shared" si="40"/>
        <v>0.47499999999999998</v>
      </c>
      <c r="AA43">
        <f t="shared" si="41"/>
        <v>0.47499999999999998</v>
      </c>
      <c r="AB43">
        <f t="shared" si="42"/>
        <v>0.47499999999999998</v>
      </c>
      <c r="AC43">
        <f t="shared" si="43"/>
        <v>0.47499999999999998</v>
      </c>
      <c r="AD43">
        <f t="shared" si="44"/>
        <v>0.47499999999999998</v>
      </c>
      <c r="AE43">
        <f t="shared" si="45"/>
        <v>0.47499999999999998</v>
      </c>
      <c r="AF43">
        <f t="shared" si="46"/>
        <v>0.47499999999999998</v>
      </c>
      <c r="AG43">
        <f t="shared" si="47"/>
        <v>0.47499999999999998</v>
      </c>
      <c r="AH43">
        <f t="shared" si="48"/>
        <v>0.47499999999999998</v>
      </c>
      <c r="AI43" s="30">
        <f t="shared" si="49"/>
        <v>0.47499999999999998</v>
      </c>
    </row>
    <row r="44" spans="1:35" x14ac:dyDescent="0.2">
      <c r="A44" s="30">
        <v>15</v>
      </c>
      <c r="B44">
        <f t="shared" si="16"/>
        <v>0.5</v>
      </c>
      <c r="C44">
        <f t="shared" si="17"/>
        <v>0.5</v>
      </c>
      <c r="D44">
        <f t="shared" si="18"/>
        <v>0.5</v>
      </c>
      <c r="E44">
        <f t="shared" si="19"/>
        <v>0.5</v>
      </c>
      <c r="F44">
        <f t="shared" si="20"/>
        <v>0.5</v>
      </c>
      <c r="G44">
        <f t="shared" si="21"/>
        <v>0.5</v>
      </c>
      <c r="H44">
        <f t="shared" si="22"/>
        <v>0.5</v>
      </c>
      <c r="I44">
        <f t="shared" si="23"/>
        <v>0.5</v>
      </c>
      <c r="J44">
        <f t="shared" si="24"/>
        <v>0.5</v>
      </c>
      <c r="K44">
        <f t="shared" si="25"/>
        <v>0.5</v>
      </c>
      <c r="L44">
        <f t="shared" si="26"/>
        <v>0.5</v>
      </c>
      <c r="M44">
        <f t="shared" si="27"/>
        <v>0.5</v>
      </c>
      <c r="N44">
        <f t="shared" si="28"/>
        <v>0.5</v>
      </c>
      <c r="O44">
        <f t="shared" si="29"/>
        <v>0.5</v>
      </c>
      <c r="P44">
        <f t="shared" si="30"/>
        <v>0.5</v>
      </c>
      <c r="Q44">
        <f t="shared" si="31"/>
        <v>0.5</v>
      </c>
      <c r="R44" s="30">
        <f t="shared" si="32"/>
        <v>0.5</v>
      </c>
      <c r="S44">
        <f t="shared" si="33"/>
        <v>0.47499999999999998</v>
      </c>
      <c r="T44">
        <f t="shared" si="34"/>
        <v>0.47499999999999998</v>
      </c>
      <c r="U44">
        <f t="shared" si="35"/>
        <v>0.47499999999999998</v>
      </c>
      <c r="V44">
        <f t="shared" si="36"/>
        <v>0.47499999999999998</v>
      </c>
      <c r="W44">
        <f t="shared" si="37"/>
        <v>0.47499999999999998</v>
      </c>
      <c r="X44">
        <f t="shared" si="38"/>
        <v>0.47499999999999998</v>
      </c>
      <c r="Y44">
        <f t="shared" si="39"/>
        <v>0.47499999999999998</v>
      </c>
      <c r="Z44">
        <f t="shared" si="40"/>
        <v>0.47499999999999998</v>
      </c>
      <c r="AA44">
        <f t="shared" si="41"/>
        <v>0.47499999999999998</v>
      </c>
      <c r="AB44">
        <f t="shared" si="42"/>
        <v>0.47499999999999998</v>
      </c>
      <c r="AC44">
        <f t="shared" si="43"/>
        <v>0.47499999999999998</v>
      </c>
      <c r="AD44">
        <f t="shared" si="44"/>
        <v>0.47499999999999998</v>
      </c>
      <c r="AE44">
        <f t="shared" si="45"/>
        <v>0.47499999999999998</v>
      </c>
      <c r="AF44">
        <f t="shared" si="46"/>
        <v>0.47499999999999998</v>
      </c>
      <c r="AG44">
        <f t="shared" si="47"/>
        <v>0.47499999999999998</v>
      </c>
      <c r="AH44">
        <f t="shared" si="48"/>
        <v>0.47499999999999998</v>
      </c>
      <c r="AI44" s="30">
        <f t="shared" si="49"/>
        <v>0.47499999999999998</v>
      </c>
    </row>
    <row r="45" spans="1:35" x14ac:dyDescent="0.2">
      <c r="A45" s="30">
        <v>16</v>
      </c>
      <c r="B45">
        <f t="shared" si="16"/>
        <v>0.5</v>
      </c>
      <c r="C45">
        <f t="shared" si="17"/>
        <v>0.5</v>
      </c>
      <c r="D45">
        <f t="shared" si="18"/>
        <v>0.5</v>
      </c>
      <c r="E45">
        <f t="shared" si="19"/>
        <v>0.5</v>
      </c>
      <c r="F45">
        <f t="shared" si="20"/>
        <v>0.5</v>
      </c>
      <c r="G45">
        <f t="shared" si="21"/>
        <v>0.5</v>
      </c>
      <c r="H45">
        <f t="shared" si="22"/>
        <v>0.5</v>
      </c>
      <c r="I45">
        <f t="shared" si="23"/>
        <v>0.5</v>
      </c>
      <c r="J45">
        <f t="shared" si="24"/>
        <v>0.5</v>
      </c>
      <c r="K45">
        <f t="shared" si="25"/>
        <v>0.5</v>
      </c>
      <c r="L45">
        <f t="shared" si="26"/>
        <v>0.5</v>
      </c>
      <c r="M45">
        <f t="shared" si="27"/>
        <v>0.5</v>
      </c>
      <c r="N45">
        <f t="shared" si="28"/>
        <v>0.5</v>
      </c>
      <c r="O45">
        <f t="shared" si="29"/>
        <v>0.5</v>
      </c>
      <c r="P45">
        <f t="shared" si="30"/>
        <v>0.5</v>
      </c>
      <c r="Q45">
        <f t="shared" si="31"/>
        <v>0.5</v>
      </c>
      <c r="R45" s="30">
        <f t="shared" si="32"/>
        <v>0.5</v>
      </c>
      <c r="S45">
        <f t="shared" si="33"/>
        <v>0.47499999999999998</v>
      </c>
      <c r="T45">
        <f t="shared" si="34"/>
        <v>0.47499999999999998</v>
      </c>
      <c r="U45">
        <f t="shared" si="35"/>
        <v>0.47499999999999998</v>
      </c>
      <c r="V45">
        <f t="shared" si="36"/>
        <v>0.47499999999999998</v>
      </c>
      <c r="W45">
        <f t="shared" si="37"/>
        <v>0.47499999999999998</v>
      </c>
      <c r="X45">
        <f t="shared" si="38"/>
        <v>0.47499999999999998</v>
      </c>
      <c r="Y45">
        <f t="shared" si="39"/>
        <v>0.47499999999999998</v>
      </c>
      <c r="Z45">
        <f t="shared" si="40"/>
        <v>0.47499999999999998</v>
      </c>
      <c r="AA45">
        <f t="shared" si="41"/>
        <v>0.47499999999999998</v>
      </c>
      <c r="AB45">
        <f t="shared" si="42"/>
        <v>0.47499999999999998</v>
      </c>
      <c r="AC45">
        <f t="shared" si="43"/>
        <v>0.47499999999999998</v>
      </c>
      <c r="AD45">
        <f t="shared" si="44"/>
        <v>0.47499999999999998</v>
      </c>
      <c r="AE45">
        <f t="shared" si="45"/>
        <v>0.47499999999999998</v>
      </c>
      <c r="AF45">
        <f t="shared" si="46"/>
        <v>0.47499999999999998</v>
      </c>
      <c r="AG45">
        <f t="shared" si="47"/>
        <v>0.47499999999999998</v>
      </c>
      <c r="AH45">
        <f t="shared" si="48"/>
        <v>0.47499999999999998</v>
      </c>
      <c r="AI45" s="30">
        <f t="shared" si="49"/>
        <v>0.47499999999999998</v>
      </c>
    </row>
    <row r="46" spans="1:35" x14ac:dyDescent="0.2">
      <c r="A46" s="30">
        <v>17</v>
      </c>
      <c r="B46">
        <f t="shared" si="16"/>
        <v>0.5</v>
      </c>
      <c r="C46">
        <f t="shared" si="17"/>
        <v>0.5</v>
      </c>
      <c r="D46">
        <f t="shared" si="18"/>
        <v>0.5</v>
      </c>
      <c r="E46">
        <f t="shared" si="19"/>
        <v>0.5</v>
      </c>
      <c r="F46">
        <f t="shared" si="20"/>
        <v>0.5</v>
      </c>
      <c r="G46">
        <f t="shared" si="21"/>
        <v>0.5</v>
      </c>
      <c r="H46">
        <f t="shared" si="22"/>
        <v>0.5</v>
      </c>
      <c r="I46">
        <f t="shared" si="23"/>
        <v>0.5</v>
      </c>
      <c r="J46">
        <f t="shared" si="24"/>
        <v>0.5</v>
      </c>
      <c r="K46">
        <f t="shared" si="25"/>
        <v>0.5</v>
      </c>
      <c r="L46">
        <f t="shared" si="26"/>
        <v>0.5</v>
      </c>
      <c r="M46">
        <f t="shared" si="27"/>
        <v>0.5</v>
      </c>
      <c r="N46">
        <f t="shared" si="28"/>
        <v>0.5</v>
      </c>
      <c r="O46">
        <f t="shared" si="29"/>
        <v>0.5</v>
      </c>
      <c r="P46">
        <f t="shared" si="30"/>
        <v>0.5</v>
      </c>
      <c r="Q46">
        <f t="shared" si="31"/>
        <v>0.5</v>
      </c>
      <c r="R46" s="30">
        <f t="shared" si="32"/>
        <v>0.5</v>
      </c>
      <c r="S46">
        <f t="shared" si="33"/>
        <v>0.47499999999999998</v>
      </c>
      <c r="T46">
        <f t="shared" si="34"/>
        <v>0.47499999999999998</v>
      </c>
      <c r="U46">
        <f t="shared" si="35"/>
        <v>0.47499999999999998</v>
      </c>
      <c r="V46">
        <f t="shared" si="36"/>
        <v>0.47499999999999998</v>
      </c>
      <c r="W46">
        <f t="shared" si="37"/>
        <v>0.47499999999999998</v>
      </c>
      <c r="X46">
        <f t="shared" si="38"/>
        <v>0.47499999999999998</v>
      </c>
      <c r="Y46">
        <f t="shared" si="39"/>
        <v>0.47499999999999998</v>
      </c>
      <c r="Z46">
        <f t="shared" si="40"/>
        <v>0.47499999999999998</v>
      </c>
      <c r="AA46">
        <f t="shared" si="41"/>
        <v>0.47499999999999998</v>
      </c>
      <c r="AB46">
        <f t="shared" si="42"/>
        <v>0.47499999999999998</v>
      </c>
      <c r="AC46">
        <f t="shared" si="43"/>
        <v>0.47499999999999998</v>
      </c>
      <c r="AD46">
        <f t="shared" si="44"/>
        <v>0.47499999999999998</v>
      </c>
      <c r="AE46">
        <f t="shared" si="45"/>
        <v>0.47499999999999998</v>
      </c>
      <c r="AF46">
        <f t="shared" si="46"/>
        <v>0.47499999999999998</v>
      </c>
      <c r="AG46">
        <f t="shared" si="47"/>
        <v>0.47499999999999998</v>
      </c>
      <c r="AH46">
        <f t="shared" si="48"/>
        <v>0.47499999999999998</v>
      </c>
      <c r="AI46" s="30">
        <f t="shared" si="49"/>
        <v>0.47499999999999998</v>
      </c>
    </row>
    <row r="47" spans="1:35" x14ac:dyDescent="0.2">
      <c r="A47" s="30">
        <v>18</v>
      </c>
      <c r="B47">
        <f t="shared" si="16"/>
        <v>0.5</v>
      </c>
      <c r="C47">
        <f t="shared" si="17"/>
        <v>0.5</v>
      </c>
      <c r="D47">
        <f t="shared" si="18"/>
        <v>0.5</v>
      </c>
      <c r="E47">
        <f t="shared" si="19"/>
        <v>0.5</v>
      </c>
      <c r="F47">
        <f t="shared" si="20"/>
        <v>0.5</v>
      </c>
      <c r="G47">
        <f t="shared" si="21"/>
        <v>0.5</v>
      </c>
      <c r="H47">
        <f t="shared" si="22"/>
        <v>0.5</v>
      </c>
      <c r="I47">
        <f t="shared" si="23"/>
        <v>0.5</v>
      </c>
      <c r="J47">
        <f t="shared" si="24"/>
        <v>0.5</v>
      </c>
      <c r="K47">
        <f t="shared" si="25"/>
        <v>0.5</v>
      </c>
      <c r="L47">
        <f t="shared" si="26"/>
        <v>0.5</v>
      </c>
      <c r="M47">
        <f t="shared" si="27"/>
        <v>0.5</v>
      </c>
      <c r="N47">
        <f t="shared" si="28"/>
        <v>0.5</v>
      </c>
      <c r="O47">
        <f t="shared" si="29"/>
        <v>0.5</v>
      </c>
      <c r="P47">
        <f t="shared" si="30"/>
        <v>0.5</v>
      </c>
      <c r="Q47">
        <f t="shared" si="31"/>
        <v>0.5</v>
      </c>
      <c r="R47" s="30">
        <f t="shared" si="32"/>
        <v>0.5</v>
      </c>
      <c r="S47">
        <f t="shared" si="33"/>
        <v>0.47499999999999998</v>
      </c>
      <c r="T47">
        <f t="shared" si="34"/>
        <v>0.47499999999999998</v>
      </c>
      <c r="U47">
        <f t="shared" si="35"/>
        <v>0.47499999999999998</v>
      </c>
      <c r="V47">
        <f t="shared" si="36"/>
        <v>0.47499999999999998</v>
      </c>
      <c r="W47">
        <f t="shared" si="37"/>
        <v>0.47499999999999998</v>
      </c>
      <c r="X47">
        <f t="shared" si="38"/>
        <v>0.47499999999999998</v>
      </c>
      <c r="Y47">
        <f t="shared" si="39"/>
        <v>0.47499999999999998</v>
      </c>
      <c r="Z47">
        <f t="shared" si="40"/>
        <v>0.47499999999999998</v>
      </c>
      <c r="AA47">
        <f t="shared" si="41"/>
        <v>0.47499999999999998</v>
      </c>
      <c r="AB47">
        <f t="shared" si="42"/>
        <v>0.47499999999999998</v>
      </c>
      <c r="AC47">
        <f t="shared" si="43"/>
        <v>0.47499999999999998</v>
      </c>
      <c r="AD47">
        <f t="shared" si="44"/>
        <v>0.47499999999999998</v>
      </c>
      <c r="AE47">
        <f t="shared" si="45"/>
        <v>0.47499999999999998</v>
      </c>
      <c r="AF47">
        <f t="shared" si="46"/>
        <v>0.47499999999999998</v>
      </c>
      <c r="AG47">
        <f t="shared" si="47"/>
        <v>0.47499999999999998</v>
      </c>
      <c r="AH47">
        <f t="shared" si="48"/>
        <v>0.47499999999999998</v>
      </c>
      <c r="AI47" s="30">
        <f t="shared" si="49"/>
        <v>0.47499999999999998</v>
      </c>
    </row>
    <row r="48" spans="1:35" x14ac:dyDescent="0.2">
      <c r="A48" s="30">
        <v>19</v>
      </c>
      <c r="B48">
        <f t="shared" si="16"/>
        <v>0.5</v>
      </c>
      <c r="C48">
        <f t="shared" si="17"/>
        <v>0.5</v>
      </c>
      <c r="D48">
        <f t="shared" si="18"/>
        <v>0.5</v>
      </c>
      <c r="E48">
        <f t="shared" si="19"/>
        <v>0.5</v>
      </c>
      <c r="F48">
        <f t="shared" si="20"/>
        <v>0.5</v>
      </c>
      <c r="G48">
        <f t="shared" si="21"/>
        <v>0.5</v>
      </c>
      <c r="H48">
        <f t="shared" si="22"/>
        <v>0.5</v>
      </c>
      <c r="I48">
        <f t="shared" si="23"/>
        <v>0.5</v>
      </c>
      <c r="J48">
        <f t="shared" si="24"/>
        <v>0.5</v>
      </c>
      <c r="K48">
        <f t="shared" si="25"/>
        <v>0.5</v>
      </c>
      <c r="L48">
        <f t="shared" si="26"/>
        <v>0.5</v>
      </c>
      <c r="M48">
        <f t="shared" si="27"/>
        <v>0.5</v>
      </c>
      <c r="N48">
        <f t="shared" si="28"/>
        <v>0.5</v>
      </c>
      <c r="O48">
        <f t="shared" si="29"/>
        <v>0.5</v>
      </c>
      <c r="P48">
        <f t="shared" si="30"/>
        <v>0.5</v>
      </c>
      <c r="Q48">
        <f t="shared" si="31"/>
        <v>0.5</v>
      </c>
      <c r="R48" s="30">
        <f t="shared" si="32"/>
        <v>0.5</v>
      </c>
      <c r="S48">
        <f t="shared" si="33"/>
        <v>0.47499999999999998</v>
      </c>
      <c r="T48">
        <f t="shared" si="34"/>
        <v>0.47499999999999998</v>
      </c>
      <c r="U48">
        <f t="shared" si="35"/>
        <v>0.47499999999999998</v>
      </c>
      <c r="V48">
        <f t="shared" si="36"/>
        <v>0.47499999999999998</v>
      </c>
      <c r="W48">
        <f t="shared" si="37"/>
        <v>0.47499999999999998</v>
      </c>
      <c r="X48">
        <f t="shared" si="38"/>
        <v>0.47499999999999998</v>
      </c>
      <c r="Y48">
        <f t="shared" si="39"/>
        <v>0.47499999999999998</v>
      </c>
      <c r="Z48">
        <f t="shared" si="40"/>
        <v>0.47499999999999998</v>
      </c>
      <c r="AA48">
        <f t="shared" si="41"/>
        <v>0.47499999999999998</v>
      </c>
      <c r="AB48">
        <f t="shared" si="42"/>
        <v>0.47499999999999998</v>
      </c>
      <c r="AC48">
        <f t="shared" si="43"/>
        <v>0.47499999999999998</v>
      </c>
      <c r="AD48">
        <f t="shared" si="44"/>
        <v>0.47499999999999998</v>
      </c>
      <c r="AE48">
        <f t="shared" si="45"/>
        <v>0.47499999999999998</v>
      </c>
      <c r="AF48">
        <f t="shared" si="46"/>
        <v>0.47499999999999998</v>
      </c>
      <c r="AG48">
        <f t="shared" si="47"/>
        <v>0.47499999999999998</v>
      </c>
      <c r="AH48">
        <f t="shared" si="48"/>
        <v>0.47499999999999998</v>
      </c>
      <c r="AI48" s="30">
        <f t="shared" si="49"/>
        <v>0.47499999999999998</v>
      </c>
    </row>
    <row r="49" spans="1:35" x14ac:dyDescent="0.2">
      <c r="A49" s="30">
        <v>20</v>
      </c>
      <c r="B49">
        <f t="shared" si="16"/>
        <v>0.5</v>
      </c>
      <c r="C49">
        <f t="shared" si="17"/>
        <v>0.5</v>
      </c>
      <c r="D49">
        <f t="shared" si="18"/>
        <v>0.5</v>
      </c>
      <c r="E49">
        <f t="shared" si="19"/>
        <v>0.5</v>
      </c>
      <c r="F49">
        <f t="shared" si="20"/>
        <v>0.5</v>
      </c>
      <c r="G49">
        <f t="shared" si="21"/>
        <v>0.5</v>
      </c>
      <c r="H49">
        <f t="shared" si="22"/>
        <v>0.5</v>
      </c>
      <c r="I49">
        <f t="shared" si="23"/>
        <v>0.5</v>
      </c>
      <c r="J49">
        <f t="shared" si="24"/>
        <v>0.5</v>
      </c>
      <c r="K49">
        <f t="shared" si="25"/>
        <v>0.5</v>
      </c>
      <c r="L49">
        <f t="shared" si="26"/>
        <v>0.5</v>
      </c>
      <c r="M49">
        <f t="shared" si="27"/>
        <v>0.5</v>
      </c>
      <c r="N49">
        <f t="shared" si="28"/>
        <v>0.5</v>
      </c>
      <c r="O49">
        <f t="shared" si="29"/>
        <v>0.5</v>
      </c>
      <c r="P49">
        <f t="shared" si="30"/>
        <v>0.5</v>
      </c>
      <c r="Q49">
        <f t="shared" si="31"/>
        <v>0.5</v>
      </c>
      <c r="R49" s="30">
        <f t="shared" si="32"/>
        <v>0.5</v>
      </c>
      <c r="S49">
        <f t="shared" si="33"/>
        <v>0.47499999999999998</v>
      </c>
      <c r="T49">
        <f t="shared" si="34"/>
        <v>0.47499999999999998</v>
      </c>
      <c r="U49">
        <f t="shared" si="35"/>
        <v>0.47499999999999998</v>
      </c>
      <c r="V49">
        <f t="shared" si="36"/>
        <v>0.47499999999999998</v>
      </c>
      <c r="W49">
        <f t="shared" si="37"/>
        <v>0.47499999999999998</v>
      </c>
      <c r="X49">
        <f t="shared" si="38"/>
        <v>0.47499999999999998</v>
      </c>
      <c r="Y49">
        <f t="shared" si="39"/>
        <v>0.47499999999999998</v>
      </c>
      <c r="Z49">
        <f t="shared" si="40"/>
        <v>0.47499999999999998</v>
      </c>
      <c r="AA49">
        <f t="shared" si="41"/>
        <v>0.47499999999999998</v>
      </c>
      <c r="AB49">
        <f t="shared" si="42"/>
        <v>0.47499999999999998</v>
      </c>
      <c r="AC49">
        <f t="shared" si="43"/>
        <v>0.47499999999999998</v>
      </c>
      <c r="AD49">
        <f t="shared" si="44"/>
        <v>0.47499999999999998</v>
      </c>
      <c r="AE49">
        <f t="shared" si="45"/>
        <v>0.47499999999999998</v>
      </c>
      <c r="AF49">
        <f t="shared" si="46"/>
        <v>0.47499999999999998</v>
      </c>
      <c r="AG49">
        <f t="shared" si="47"/>
        <v>0.47499999999999998</v>
      </c>
      <c r="AH49">
        <f t="shared" si="48"/>
        <v>0.47499999999999998</v>
      </c>
      <c r="AI49" s="30">
        <f t="shared" si="49"/>
        <v>0.47499999999999998</v>
      </c>
    </row>
  </sheetData>
  <sheetProtection password="C69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Knoten</vt:lpstr>
      <vt:lpstr>System</vt:lpstr>
      <vt:lpstr>Element</vt:lpstr>
      <vt:lpstr>Ksys</vt:lpstr>
      <vt:lpstr>Momente</vt:lpstr>
      <vt:lpstr>Querkräfte</vt:lpstr>
      <vt:lpstr>Normalkräfte</vt:lpstr>
      <vt:lpstr>KnotenData</vt:lpstr>
      <vt:lpstr>EleData</vt:lpstr>
      <vt:lpstr>Symbole</vt:lpstr>
      <vt:lpstr>KLasten</vt:lpstr>
      <vt:lpstr>ELasten</vt:lpstr>
      <vt:lpstr>cos</vt:lpstr>
      <vt:lpstr>EA</vt:lpstr>
      <vt:lpstr>EI</vt:lpstr>
      <vt:lpstr>GE</vt:lpstr>
      <vt:lpstr>k_e</vt:lpstr>
      <vt:lpstr>k_Global</vt:lpstr>
      <vt:lpstr>L</vt:lpstr>
      <vt:lpstr>p</vt:lpstr>
      <vt:lpstr>qx</vt:lpstr>
      <vt:lpstr>qz</vt:lpstr>
      <vt:lpstr>sin</vt:lpstr>
      <vt:lpstr>T</vt:lpstr>
    </vt:vector>
  </TitlesOfParts>
  <Company>TU-München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K.-U. Bletzinger</dc:creator>
  <cp:lastModifiedBy>Kai-Uwe Bletzinger</cp:lastModifiedBy>
  <dcterms:created xsi:type="dcterms:W3CDTF">2000-01-12T21:59:50Z</dcterms:created>
  <dcterms:modified xsi:type="dcterms:W3CDTF">2017-07-18T09:59:10Z</dcterms:modified>
</cp:coreProperties>
</file>